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8.xml" ContentType="application/vnd.openxmlformats-officedocument.drawing+xml"/>
  <Override PartName="/xl/charts/chart18.xml" ContentType="application/vnd.openxmlformats-officedocument.drawingml.chart+xml"/>
  <Override PartName="/xl/drawings/drawing9.xml" ContentType="application/vnd.openxmlformats-officedocument.drawingml.chartshapes+xml"/>
  <Override PartName="/xl/charts/chart19.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drawings/drawing12.xml" ContentType="application/vnd.openxmlformats-officedocument.drawing+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EstaPastaDeTrabalho"/>
  <mc:AlternateContent xmlns:mc="http://schemas.openxmlformats.org/markup-compatibility/2006">
    <mc:Choice Requires="x15">
      <x15ac:absPath xmlns:x15ac="http://schemas.microsoft.com/office/spreadsheetml/2010/11/ac" url="G:\Meu Drive\HAOC\UATS - equipe\Artigos\Planilha AIO\Revisão 2\"/>
    </mc:Choice>
  </mc:AlternateContent>
  <xr:revisionPtr revIDLastSave="0" documentId="13_ncr:1_{B70F9CC4-DF62-46E6-8FEC-2A5ED0E13AB5}" xr6:coauthVersionLast="47" xr6:coauthVersionMax="47" xr10:uidLastSave="{00000000-0000-0000-0000-000000000000}"/>
  <bookViews>
    <workbookView xWindow="-28920" yWindow="-120" windowWidth="29040" windowHeight="15840" tabRatio="825" activeTab="11" xr2:uid="{4EB315A7-D404-4984-8A1B-CFA6B4A28D2D}"/>
  </bookViews>
  <sheets>
    <sheet name="Introduction" sheetId="1" r:id="rId1"/>
    <sheet name="Definitions" sheetId="5" r:id="rId2"/>
    <sheet name="Mkt share" sheetId="3" r:id="rId3"/>
    <sheet name="Population" sheetId="24" r:id="rId4"/>
    <sheet name="Costs" sheetId="4" r:id="rId5"/>
    <sheet name="Time on treatment" sheetId="15" r:id="rId6"/>
    <sheet name="Results" sheetId="11" r:id="rId7"/>
    <sheet name="SensibilityAn" sheetId="27" r:id="rId8"/>
    <sheet name="PSA" sheetId="28" r:id="rId9"/>
    <sheet name="Data" sheetId="26" r:id="rId10"/>
    <sheet name="Calculations" sheetId="9" r:id="rId11"/>
    <sheet name="Calculations2" sheetId="29" r:id="rId12"/>
    <sheet name="Calculations3" sheetId="20" r:id="rId13"/>
    <sheet name="Parameters" sheetId="7" r:id="rId14"/>
    <sheet name="DSA" sheetId="21" r:id="rId15"/>
  </sheets>
  <definedNames>
    <definedName name="_xlnm._FilterDatabase" localSheetId="14" hidden="1">DSA!$H$69:$K$69</definedName>
    <definedName name="_xlnm._FilterDatabase" localSheetId="2" hidden="1">'Mkt share'!$B$21:$P$96</definedName>
    <definedName name="_xlnm._FilterDatabase" localSheetId="5" hidden="1">'Time on treatment'!$C$11:$J$28</definedName>
    <definedName name="_xlchart.v2.0" hidden="1">Population!$C$80:$C$88</definedName>
    <definedName name="_xlchart.v2.1" hidden="1">Population!$J$79</definedName>
    <definedName name="_xlchart.v2.2" hidden="1">Population!$J$80:$J$88</definedName>
    <definedName name="_xleta.AND" hidden="1" xlm="1">#NAME?</definedName>
    <definedName name="_xleta.AVERAGE" hidden="1" xlm="1">#NAME?</definedName>
    <definedName name="_xleta.AVERAGEIF" hidden="1" xlm="1">#NAME?</definedName>
    <definedName name="_xleta.CORREL" hidden="1" xlm="1">#NAME?</definedName>
    <definedName name="_xleta.DATE" hidden="1" xlm="1">#NAME?</definedName>
    <definedName name="_xleta.DISC" hidden="1" xlm="1">#NAME?</definedName>
    <definedName name="_xleta.IF" hidden="1" xlm="1">#NAME?</definedName>
    <definedName name="_xleta.IFERROR" hidden="1" xlm="1">#NAME?</definedName>
    <definedName name="_xleta.NOT" hidden="1" xlm="1">#NAME?</definedName>
    <definedName name="_xleta.OR" hidden="1" xlm="1">#NAME?</definedName>
    <definedName name="_xleta.RATE" hidden="1" xlm="1">#NAME?</definedName>
    <definedName name="_xleta.RSQ" hidden="1" xlm="1">#NAME?</definedName>
    <definedName name="_xleta.SECOND" hidden="1" xlm="1">#NAME?</definedName>
    <definedName name="_xleta.SUM" hidden="1" xlm="1">#NAME?</definedName>
    <definedName name="_xleta.T" hidden="1" xlm="1">#NAME?</definedName>
    <definedName name="_xleta.TIME" hidden="1" xlm="1">#NAME?</definedName>
    <definedName name="_xleta.YEAR" hidden="1" xlm="1">#NAME?</definedName>
    <definedName name="ano_1">'Mkt share'!$E$10</definedName>
    <definedName name="c_inicial">Parameters!$E$56</definedName>
    <definedName name="c_off">Parameters!$E$58</definedName>
    <definedName name="c_on">Parameters!$E$57</definedName>
    <definedName name="ca_comp1">Parameters!$E$46</definedName>
    <definedName name="ca_comp10">Parameters!$E$55</definedName>
    <definedName name="ca_comp2">Parameters!$E$47</definedName>
    <definedName name="ca_comp3">Parameters!$E$48</definedName>
    <definedName name="ca_comp4">Parameters!$E$49</definedName>
    <definedName name="ca_comp5">Parameters!$E$50</definedName>
    <definedName name="ca_comp6">Parameters!$E$51</definedName>
    <definedName name="ca_comp7">Parameters!$E$52</definedName>
    <definedName name="ca_comp8">Parameters!$E$53</definedName>
    <definedName name="ca_comp9">Parameters!$E$54</definedName>
    <definedName name="ca_int1">Parameters!$E$42</definedName>
    <definedName name="ca_int2">Parameters!$E$43</definedName>
    <definedName name="ca_int3">Parameters!$E$44</definedName>
    <definedName name="ca_int4">Parameters!$E$45</definedName>
    <definedName name="calculo">Population!$P$14</definedName>
    <definedName name="cen_atual">Definitions!$E$55</definedName>
    <definedName name="cen_prop1">Definitions!$E$57</definedName>
    <definedName name="cen_prop2">Definitions!$E$58</definedName>
    <definedName name="cen_prop3">Definitions!$E$59</definedName>
    <definedName name="ci_comp1">Parameters!$E$18</definedName>
    <definedName name="ci_comp10">Parameters!$E$27</definedName>
    <definedName name="ci_comp2">Parameters!$E$19</definedName>
    <definedName name="ci_comp3">Parameters!$E$20</definedName>
    <definedName name="ci_comp4">Parameters!$E$21</definedName>
    <definedName name="ci_comp5">Parameters!$E$22</definedName>
    <definedName name="ci_comp6">Parameters!$E$23</definedName>
    <definedName name="ci_comp7">Parameters!$E$24</definedName>
    <definedName name="ci_comp8">Parameters!$E$25</definedName>
    <definedName name="ci_comp9">Parameters!$E$26</definedName>
    <definedName name="ci_int1">Parameters!$E$14</definedName>
    <definedName name="ci_int2">Parameters!$E$15</definedName>
    <definedName name="ci_int3">Parameters!$E$16</definedName>
    <definedName name="ci_int4">Parameters!$E$17</definedName>
    <definedName name="comparador1">Definitions!$E$42</definedName>
    <definedName name="comparador10">Definitions!$E$51</definedName>
    <definedName name="comparador2">Definitions!$E$43</definedName>
    <definedName name="comparador3">Definitions!$E$44</definedName>
    <definedName name="comparador4">Definitions!$E$45</definedName>
    <definedName name="comparador5">Definitions!$E$46</definedName>
    <definedName name="comparador6">Definitions!$E$47</definedName>
    <definedName name="comparador7">Definitions!$E$48</definedName>
    <definedName name="comparador8">Definitions!$E$49</definedName>
    <definedName name="comparador9">Definitions!$E$50</definedName>
    <definedName name="ct_comp1">Parameters!$E$32</definedName>
    <definedName name="ct_comp10">Parameters!$E$41</definedName>
    <definedName name="ct_comp2">Parameters!$E$33</definedName>
    <definedName name="ct_comp3">Parameters!$E$34</definedName>
    <definedName name="ct_comp4">Parameters!$E$35</definedName>
    <definedName name="ct_comp5">Parameters!$E$36</definedName>
    <definedName name="ct_comp6">Parameters!$E$37</definedName>
    <definedName name="ct_comp7">Parameters!$E$38</definedName>
    <definedName name="ct_comp8">Parameters!$E$39</definedName>
    <definedName name="ct_comp9">Parameters!$E$40</definedName>
    <definedName name="ct_int1">Parameters!$E$28</definedName>
    <definedName name="ct_int2">Parameters!$E$29</definedName>
    <definedName name="ct_int3">Parameters!$E$30</definedName>
    <definedName name="ct_int4">Parameters!$E$31</definedName>
    <definedName name="demanda">Population!$E$9</definedName>
    <definedName name="desc_por_ob">'Time on treatment'!$J$54</definedName>
    <definedName name="desc1_1">'Time on treatment'!$R$65</definedName>
    <definedName name="desc1_2">'Time on treatment'!$S$65</definedName>
    <definedName name="desc1_3">'Time on treatment'!$T$65</definedName>
    <definedName name="desc1_4">'Time on treatment'!$U$65</definedName>
    <definedName name="desc10_1">'Time on treatment'!$R$75</definedName>
    <definedName name="desc10_2">'Time on treatment'!$S$75</definedName>
    <definedName name="desc10_3">'Time on treatment'!$T$75</definedName>
    <definedName name="desc10_4">'Time on treatment'!$U$75</definedName>
    <definedName name="desc11_1">'Time on treatment'!$R$76</definedName>
    <definedName name="desc11_2">'Time on treatment'!$S$76</definedName>
    <definedName name="desc11_3">'Time on treatment'!$T$76</definedName>
    <definedName name="desc11_4">'Time on treatment'!$U$76</definedName>
    <definedName name="desc12_1">'Time on treatment'!$R$77</definedName>
    <definedName name="desc12_2">'Time on treatment'!$S$77</definedName>
    <definedName name="desc12_3">'Time on treatment'!$T$77</definedName>
    <definedName name="desc12_4">'Time on treatment'!$U$77</definedName>
    <definedName name="desc13_1">'Time on treatment'!$R$78</definedName>
    <definedName name="desc13_2">'Time on treatment'!$S$78</definedName>
    <definedName name="desc13_3">'Time on treatment'!$T$78</definedName>
    <definedName name="desc13_4">'Time on treatment'!$U$78</definedName>
    <definedName name="desc14_1">'Time on treatment'!$R$79</definedName>
    <definedName name="desc14_2">'Time on treatment'!$S$79</definedName>
    <definedName name="desc14_3">'Time on treatment'!$T$79</definedName>
    <definedName name="desc14_4">'Time on treatment'!$U$79</definedName>
    <definedName name="desc2_1">'Time on treatment'!$R$66</definedName>
    <definedName name="desc2_2">'Time on treatment'!$S$66</definedName>
    <definedName name="desc2_3">'Time on treatment'!$T$66</definedName>
    <definedName name="desc2_4">'Time on treatment'!$U$66</definedName>
    <definedName name="desc3_1">'Time on treatment'!$R$67</definedName>
    <definedName name="desc3_2">'Time on treatment'!$S$67</definedName>
    <definedName name="desc3_3">'Time on treatment'!$T$67</definedName>
    <definedName name="desc3_4">'Time on treatment'!$U$67</definedName>
    <definedName name="desc4_1">'Time on treatment'!$R$68</definedName>
    <definedName name="desc4_2">'Time on treatment'!$S$68</definedName>
    <definedName name="desc4_3">'Time on treatment'!$T$68</definedName>
    <definedName name="desc4_4">'Time on treatment'!$U$68</definedName>
    <definedName name="desc5_1">'Time on treatment'!$R$70</definedName>
    <definedName name="desc5_2">'Time on treatment'!$S$70</definedName>
    <definedName name="desc5_3">'Time on treatment'!$T$70</definedName>
    <definedName name="desc5_4">'Time on treatment'!$U$70</definedName>
    <definedName name="desc6_1">'Time on treatment'!$R$71</definedName>
    <definedName name="desc6_2">'Time on treatment'!$S$71</definedName>
    <definedName name="desc6_3">'Time on treatment'!$T$71</definedName>
    <definedName name="desc6_4">'Time on treatment'!$U$71</definedName>
    <definedName name="desc7_1">'Time on treatment'!$R$72</definedName>
    <definedName name="desc7_2">'Time on treatment'!$S$72</definedName>
    <definedName name="desc7_3">'Time on treatment'!$T$72</definedName>
    <definedName name="desc7_4">'Time on treatment'!$U$72</definedName>
    <definedName name="desc8_1">'Time on treatment'!$R$73</definedName>
    <definedName name="desc8_2">'Time on treatment'!$S$73</definedName>
    <definedName name="desc8_3">'Time on treatment'!$T$73</definedName>
    <definedName name="desc8_4">'Time on treatment'!$U$73</definedName>
    <definedName name="desc9_1">'Time on treatment'!$R$74</definedName>
    <definedName name="desc9_2">'Time on treatment'!$S$74</definedName>
    <definedName name="desc9_3">'Time on treatment'!$T$74</definedName>
    <definedName name="desc9_4">'Time on treatment'!$U$74</definedName>
    <definedName name="descontinua">'Time on treatment'!$H$40</definedName>
    <definedName name="dynamic">Results!$D$13</definedName>
    <definedName name="horizonte">'Mkt share'!$M$8</definedName>
    <definedName name="intervencao1">Definitions!$E$33</definedName>
    <definedName name="intervencao2">Definitions!$E$34</definedName>
    <definedName name="intervencao3">Definitions!$E$35</definedName>
    <definedName name="intervencao4">Definitions!$E$36</definedName>
    <definedName name="line">Population!$E$18</definedName>
    <definedName name="morte">'Time on treatment'!$H$102</definedName>
    <definedName name="n_compar">Definitions!$E$40</definedName>
    <definedName name="n_interv">Definitions!$E$31</definedName>
    <definedName name="ob1_1">'Time on treatment'!$R$113</definedName>
    <definedName name="ob1_2">'Time on treatment'!$S$113</definedName>
    <definedName name="ob1_3">'Time on treatment'!$T$113</definedName>
    <definedName name="ob1_4">'Time on treatment'!$U$113</definedName>
    <definedName name="ob10_1">'Time on treatment'!$R$123</definedName>
    <definedName name="ob10_2">'Time on treatment'!$S$123</definedName>
    <definedName name="ob10_3">'Time on treatment'!$T$123</definedName>
    <definedName name="ob10_4">'Time on treatment'!$U$123</definedName>
    <definedName name="ob11_1">'Time on treatment'!$R$124</definedName>
    <definedName name="ob11_2">'Time on treatment'!$S$124</definedName>
    <definedName name="ob11_3">'Time on treatment'!$T$124</definedName>
    <definedName name="ob11_4">'Time on treatment'!$U$124</definedName>
    <definedName name="ob12_1">'Time on treatment'!$R$125</definedName>
    <definedName name="ob12_2">'Time on treatment'!$S$125</definedName>
    <definedName name="ob12_3">'Time on treatment'!$T$125</definedName>
    <definedName name="ob12_4">'Time on treatment'!$U$125</definedName>
    <definedName name="ob13_1">'Time on treatment'!$R$126</definedName>
    <definedName name="ob13_2">'Time on treatment'!$S$126</definedName>
    <definedName name="ob13_3">'Time on treatment'!$T$126</definedName>
    <definedName name="ob13_4">'Time on treatment'!$U$126</definedName>
    <definedName name="ob14_1">'Time on treatment'!$R$127</definedName>
    <definedName name="ob14_2">'Time on treatment'!$S$127</definedName>
    <definedName name="ob14_3">'Time on treatment'!$T$127</definedName>
    <definedName name="ob14_4">'Time on treatment'!$U$127</definedName>
    <definedName name="ob2_1">'Time on treatment'!$R$114</definedName>
    <definedName name="ob2_2">'Time on treatment'!$S$114</definedName>
    <definedName name="ob2_3">'Time on treatment'!$T$114</definedName>
    <definedName name="ob2_4">'Time on treatment'!$U$114</definedName>
    <definedName name="ob3_1">'Time on treatment'!$R$115</definedName>
    <definedName name="ob3_2">'Time on treatment'!$S$115</definedName>
    <definedName name="ob3_3">'Time on treatment'!$T$115</definedName>
    <definedName name="ob3_4">'Time on treatment'!$U$115</definedName>
    <definedName name="ob4_1">'Time on treatment'!$R$116</definedName>
    <definedName name="ob4_2">'Time on treatment'!$S$116</definedName>
    <definedName name="ob4_3">'Time on treatment'!$T$116</definedName>
    <definedName name="ob4_4">'Time on treatment'!$U$116</definedName>
    <definedName name="ob5_1">'Time on treatment'!$R$118</definedName>
    <definedName name="ob5_2">'Time on treatment'!$S$118</definedName>
    <definedName name="ob5_3">'Time on treatment'!$T$118</definedName>
    <definedName name="ob5_4">'Time on treatment'!$U$118</definedName>
    <definedName name="ob6_1">'Time on treatment'!$R$119</definedName>
    <definedName name="ob6_2">'Time on treatment'!$S$119</definedName>
    <definedName name="ob6_3">'Time on treatment'!$T$119</definedName>
    <definedName name="ob6_4">'Time on treatment'!$U$119</definedName>
    <definedName name="ob7_1">'Time on treatment'!$R$120</definedName>
    <definedName name="ob7_2">'Time on treatment'!$S$120</definedName>
    <definedName name="ob7_3">'Time on treatment'!$T$120</definedName>
    <definedName name="ob7_4">'Time on treatment'!$U$120</definedName>
    <definedName name="ob8_1">'Time on treatment'!$R$121</definedName>
    <definedName name="ob8_2">'Time on treatment'!$S$121</definedName>
    <definedName name="ob8_3">'Time on treatment'!$T$121</definedName>
    <definedName name="ob8_4">'Time on treatment'!$U$121</definedName>
    <definedName name="ob9_1">'Time on treatment'!$R$122</definedName>
    <definedName name="ob9_2">'Time on treatment'!$S$122</definedName>
    <definedName name="ob9_3">'Time on treatment'!$T$122</definedName>
    <definedName name="ob9_4">'Time on treatment'!$U$122</definedName>
    <definedName name="obito">'Time on treatment'!$H$91</definedName>
    <definedName name="populacao">Definitions!$E$27</definedName>
    <definedName name="sexo">Population!#REF!</definedName>
    <definedName name="uso">'Time on treatment'!$H$54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6" i="3" l="1"/>
  <c r="F66" i="3"/>
  <c r="E66" i="3"/>
  <c r="D66" i="3"/>
  <c r="C66" i="3"/>
  <c r="G46" i="3"/>
  <c r="F46" i="3"/>
  <c r="E46" i="3"/>
  <c r="D46" i="3"/>
  <c r="C46" i="3"/>
  <c r="W11" i="7"/>
  <c r="W12" i="7"/>
  <c r="W13" i="7"/>
  <c r="W56" i="7"/>
  <c r="W57" i="7"/>
  <c r="W58" i="7"/>
  <c r="W5" i="7"/>
  <c r="V11" i="7"/>
  <c r="V12" i="7"/>
  <c r="V13" i="7"/>
  <c r="V56" i="7"/>
  <c r="V57" i="7"/>
  <c r="V58" i="7"/>
  <c r="V5" i="7"/>
  <c r="I11" i="7"/>
  <c r="I12" i="7"/>
  <c r="I13" i="7"/>
  <c r="I56" i="7"/>
  <c r="I57" i="7"/>
  <c r="I58" i="7"/>
  <c r="E11" i="7"/>
  <c r="E12" i="7"/>
  <c r="E13" i="7"/>
  <c r="E56" i="7"/>
  <c r="E57" i="7"/>
  <c r="E58" i="7"/>
  <c r="E5" i="7"/>
  <c r="C20" i="7"/>
  <c r="I5" i="7" l="1"/>
  <c r="D42" i="24"/>
  <c r="R15" i="29"/>
  <c r="AH15" i="29" s="1"/>
  <c r="J15" i="29"/>
  <c r="Z15" i="29" s="1"/>
  <c r="DC6" i="29"/>
  <c r="DD6" i="29" s="1"/>
  <c r="DE6" i="29" s="1"/>
  <c r="DF6" i="29" s="1"/>
  <c r="DG6" i="29" s="1"/>
  <c r="CU6" i="29"/>
  <c r="CV6" i="29" s="1"/>
  <c r="CW6" i="29" s="1"/>
  <c r="CX6" i="29" s="1"/>
  <c r="CY6" i="29" s="1"/>
  <c r="CM6" i="29"/>
  <c r="CN6" i="29" s="1"/>
  <c r="CO6" i="29" s="1"/>
  <c r="CP6" i="29" s="1"/>
  <c r="CQ6" i="29" s="1"/>
  <c r="CE6" i="29"/>
  <c r="CF6" i="29" s="1"/>
  <c r="CG6" i="29" s="1"/>
  <c r="CH6" i="29" s="1"/>
  <c r="CI6" i="29" s="1"/>
  <c r="BW6" i="29"/>
  <c r="BX6" i="29" s="1"/>
  <c r="BY6" i="29" s="1"/>
  <c r="BZ6" i="29" s="1"/>
  <c r="CA6" i="29" s="1"/>
  <c r="BO6" i="29"/>
  <c r="BP6" i="29" s="1"/>
  <c r="BQ6" i="29" s="1"/>
  <c r="BR6" i="29" s="1"/>
  <c r="BS6" i="29" s="1"/>
  <c r="BG6" i="29"/>
  <c r="BH6" i="29" s="1"/>
  <c r="BI6" i="29" s="1"/>
  <c r="BJ6" i="29" s="1"/>
  <c r="BK6" i="29" s="1"/>
  <c r="AY6" i="29"/>
  <c r="AZ6" i="29" s="1"/>
  <c r="BA6" i="29" s="1"/>
  <c r="BB6" i="29" s="1"/>
  <c r="BC6" i="29" s="1"/>
  <c r="AQ6" i="29"/>
  <c r="AR6" i="29" s="1"/>
  <c r="AS6" i="29" s="1"/>
  <c r="AT6" i="29" s="1"/>
  <c r="AU6" i="29" s="1"/>
  <c r="AI6" i="29"/>
  <c r="AJ6" i="29" s="1"/>
  <c r="AK6" i="29" s="1"/>
  <c r="AL6" i="29" s="1"/>
  <c r="AM6" i="29" s="1"/>
  <c r="AA6" i="29"/>
  <c r="AB6" i="29" s="1"/>
  <c r="AC6" i="29" s="1"/>
  <c r="AD6" i="29" s="1"/>
  <c r="AE6" i="29" s="1"/>
  <c r="S6" i="29"/>
  <c r="T6" i="29" s="1"/>
  <c r="U6" i="29" s="1"/>
  <c r="V6" i="29" s="1"/>
  <c r="W6" i="29" s="1"/>
  <c r="K6" i="29"/>
  <c r="L6" i="29" s="1"/>
  <c r="M6" i="29" s="1"/>
  <c r="N6" i="29" s="1"/>
  <c r="O6" i="29" s="1"/>
  <c r="C6" i="29"/>
  <c r="D6" i="29" s="1"/>
  <c r="E6" i="29" s="1"/>
  <c r="F6" i="29" s="1"/>
  <c r="G6" i="29" s="1"/>
  <c r="DB52" i="29"/>
  <c r="CT52" i="29"/>
  <c r="CL52" i="29"/>
  <c r="CD52" i="29"/>
  <c r="BV52" i="29"/>
  <c r="BN52" i="29"/>
  <c r="BF52" i="29"/>
  <c r="AX52" i="29"/>
  <c r="AP52" i="29"/>
  <c r="AH52" i="29"/>
  <c r="Z52" i="29"/>
  <c r="R52" i="29"/>
  <c r="J52" i="29"/>
  <c r="B52" i="29"/>
  <c r="DB31" i="29"/>
  <c r="CT31" i="29"/>
  <c r="CL31" i="29"/>
  <c r="CD31" i="29"/>
  <c r="BV31" i="29"/>
  <c r="BN31" i="29"/>
  <c r="BF31" i="29"/>
  <c r="AX31" i="29"/>
  <c r="AP31" i="29"/>
  <c r="AH31" i="29"/>
  <c r="Z31" i="29"/>
  <c r="R31" i="29"/>
  <c r="J31" i="29"/>
  <c r="B31" i="29"/>
  <c r="DC26" i="29"/>
  <c r="DC47" i="29" s="1"/>
  <c r="DC68" i="29" s="1"/>
  <c r="CU26" i="29"/>
  <c r="CU47" i="29" s="1"/>
  <c r="CU68" i="29" s="1"/>
  <c r="CM26" i="29"/>
  <c r="CE26" i="29"/>
  <c r="CE47" i="29" s="1"/>
  <c r="CE68" i="29" s="1"/>
  <c r="BW26" i="29"/>
  <c r="BW47" i="29" s="1"/>
  <c r="BW68" i="29" s="1"/>
  <c r="BO26" i="29"/>
  <c r="BO47" i="29" s="1"/>
  <c r="BO68" i="29" s="1"/>
  <c r="BG26" i="29"/>
  <c r="BG47" i="29" s="1"/>
  <c r="BG68" i="29" s="1"/>
  <c r="AY26" i="29"/>
  <c r="AY47" i="29" s="1"/>
  <c r="AY68" i="29" s="1"/>
  <c r="AQ26" i="29"/>
  <c r="AQ47" i="29" s="1"/>
  <c r="AQ68" i="29" s="1"/>
  <c r="AI26" i="29"/>
  <c r="AI47" i="29" s="1"/>
  <c r="AI68" i="29" s="1"/>
  <c r="AA26" i="29"/>
  <c r="S26" i="29"/>
  <c r="K26" i="29"/>
  <c r="C26" i="29"/>
  <c r="C47" i="29" s="1"/>
  <c r="C68" i="29" s="1"/>
  <c r="DB25" i="29"/>
  <c r="DB46" i="29" s="1"/>
  <c r="DB67" i="29" s="1"/>
  <c r="CT25" i="29"/>
  <c r="CT46" i="29" s="1"/>
  <c r="CT67" i="29" s="1"/>
  <c r="CL25" i="29"/>
  <c r="CL46" i="29" s="1"/>
  <c r="CL67" i="29" s="1"/>
  <c r="CD25" i="29"/>
  <c r="CD46" i="29" s="1"/>
  <c r="CD67" i="29" s="1"/>
  <c r="BV25" i="29"/>
  <c r="BV46" i="29" s="1"/>
  <c r="BV67" i="29" s="1"/>
  <c r="BN25" i="29"/>
  <c r="BN46" i="29" s="1"/>
  <c r="BN67" i="29" s="1"/>
  <c r="BF25" i="29"/>
  <c r="BF46" i="29" s="1"/>
  <c r="BF67" i="29" s="1"/>
  <c r="AX25" i="29"/>
  <c r="AX46" i="29" s="1"/>
  <c r="AX67" i="29" s="1"/>
  <c r="AP25" i="29"/>
  <c r="AP46" i="29" s="1"/>
  <c r="AP67" i="29" s="1"/>
  <c r="AH25" i="29"/>
  <c r="AH46" i="29" s="1"/>
  <c r="AH67" i="29" s="1"/>
  <c r="Z25" i="29"/>
  <c r="Z46" i="29" s="1"/>
  <c r="Z67" i="29" s="1"/>
  <c r="R25" i="29"/>
  <c r="R46" i="29" s="1"/>
  <c r="J25" i="29"/>
  <c r="J46" i="29" s="1"/>
  <c r="J67" i="29" s="1"/>
  <c r="B25" i="29"/>
  <c r="B46" i="29" s="1"/>
  <c r="B67" i="29" s="1"/>
  <c r="DC22" i="29"/>
  <c r="DC43" i="29" s="1"/>
  <c r="DC64" i="29" s="1"/>
  <c r="CU22" i="29"/>
  <c r="CU43" i="29" s="1"/>
  <c r="CU64" i="29" s="1"/>
  <c r="CM22" i="29"/>
  <c r="CM43" i="29" s="1"/>
  <c r="CM64" i="29" s="1"/>
  <c r="CE22" i="29"/>
  <c r="BW22" i="29"/>
  <c r="BW43" i="29" s="1"/>
  <c r="BW64" i="29" s="1"/>
  <c r="BO22" i="29"/>
  <c r="BO43" i="29" s="1"/>
  <c r="BO64" i="29" s="1"/>
  <c r="BG22" i="29"/>
  <c r="BG43" i="29" s="1"/>
  <c r="BG64" i="29" s="1"/>
  <c r="AY22" i="29"/>
  <c r="AY43" i="29" s="1"/>
  <c r="AY64" i="29" s="1"/>
  <c r="AQ22" i="29"/>
  <c r="AQ43" i="29" s="1"/>
  <c r="AQ64" i="29" s="1"/>
  <c r="AI22" i="29"/>
  <c r="AI43" i="29" s="1"/>
  <c r="AI64" i="29" s="1"/>
  <c r="AA22" i="29"/>
  <c r="AB22" i="29" s="1"/>
  <c r="S22" i="29"/>
  <c r="K22" i="29"/>
  <c r="K43" i="29" s="1"/>
  <c r="K64" i="29" s="1"/>
  <c r="C22" i="29"/>
  <c r="C43" i="29" s="1"/>
  <c r="C64" i="29" s="1"/>
  <c r="DB21" i="29"/>
  <c r="DB42" i="29" s="1"/>
  <c r="DB63" i="29" s="1"/>
  <c r="CT21" i="29"/>
  <c r="CT42" i="29" s="1"/>
  <c r="CT63" i="29" s="1"/>
  <c r="CL21" i="29"/>
  <c r="CL42" i="29" s="1"/>
  <c r="CL63" i="29" s="1"/>
  <c r="CD21" i="29"/>
  <c r="CD42" i="29" s="1"/>
  <c r="CD63" i="29" s="1"/>
  <c r="BV21" i="29"/>
  <c r="BV42" i="29" s="1"/>
  <c r="BV63" i="29" s="1"/>
  <c r="BN21" i="29"/>
  <c r="BN42" i="29" s="1"/>
  <c r="BN63" i="29" s="1"/>
  <c r="BF21" i="29"/>
  <c r="BF42" i="29" s="1"/>
  <c r="BF63" i="29" s="1"/>
  <c r="AX21" i="29"/>
  <c r="AX42" i="29" s="1"/>
  <c r="AX63" i="29" s="1"/>
  <c r="AP21" i="29"/>
  <c r="AP42" i="29" s="1"/>
  <c r="AP63" i="29" s="1"/>
  <c r="AH21" i="29"/>
  <c r="AH42" i="29" s="1"/>
  <c r="AH63" i="29" s="1"/>
  <c r="Z21" i="29"/>
  <c r="Z42" i="29" s="1"/>
  <c r="Z63" i="29" s="1"/>
  <c r="R21" i="29"/>
  <c r="R42" i="29" s="1"/>
  <c r="R63" i="29" s="1"/>
  <c r="J21" i="29"/>
  <c r="J42" i="29" s="1"/>
  <c r="J63" i="29" s="1"/>
  <c r="B21" i="29"/>
  <c r="B42" i="29" s="1"/>
  <c r="B63" i="29" s="1"/>
  <c r="DC18" i="29"/>
  <c r="DC39" i="29" s="1"/>
  <c r="DC60" i="29" s="1"/>
  <c r="CU18" i="29"/>
  <c r="CU39" i="29" s="1"/>
  <c r="CU60" i="29" s="1"/>
  <c r="CM18" i="29"/>
  <c r="CM39" i="29" s="1"/>
  <c r="CM60" i="29" s="1"/>
  <c r="CE18" i="29"/>
  <c r="CE39" i="29" s="1"/>
  <c r="CE60" i="29" s="1"/>
  <c r="BW18" i="29"/>
  <c r="BW39" i="29" s="1"/>
  <c r="BW60" i="29" s="1"/>
  <c r="BO18" i="29"/>
  <c r="BO39" i="29" s="1"/>
  <c r="BO60" i="29" s="1"/>
  <c r="BG18" i="29"/>
  <c r="BG39" i="29" s="1"/>
  <c r="BG60" i="29" s="1"/>
  <c r="AY18" i="29"/>
  <c r="AQ18" i="29"/>
  <c r="AQ39" i="29" s="1"/>
  <c r="AQ60" i="29" s="1"/>
  <c r="AI18" i="29"/>
  <c r="AI39" i="29" s="1"/>
  <c r="AI60" i="29" s="1"/>
  <c r="AA18" i="29"/>
  <c r="AA39" i="29" s="1"/>
  <c r="AA60" i="29" s="1"/>
  <c r="S18" i="29"/>
  <c r="S39" i="29" s="1"/>
  <c r="S60" i="29" s="1"/>
  <c r="K18" i="29"/>
  <c r="K39" i="29" s="1"/>
  <c r="K60" i="29" s="1"/>
  <c r="C18" i="29"/>
  <c r="C39" i="29" s="1"/>
  <c r="C60" i="29" s="1"/>
  <c r="DB17" i="29"/>
  <c r="DB38" i="29" s="1"/>
  <c r="DB59" i="29" s="1"/>
  <c r="CT17" i="29"/>
  <c r="CT38" i="29" s="1"/>
  <c r="CT59" i="29" s="1"/>
  <c r="CL17" i="29"/>
  <c r="CL38" i="29" s="1"/>
  <c r="CL59" i="29" s="1"/>
  <c r="CD17" i="29"/>
  <c r="CD38" i="29" s="1"/>
  <c r="CD59" i="29" s="1"/>
  <c r="BV17" i="29"/>
  <c r="BV38" i="29" s="1"/>
  <c r="BV59" i="29" s="1"/>
  <c r="BN17" i="29"/>
  <c r="BN38" i="29" s="1"/>
  <c r="BN59" i="29" s="1"/>
  <c r="BF17" i="29"/>
  <c r="BF38" i="29" s="1"/>
  <c r="BF59" i="29" s="1"/>
  <c r="AX17" i="29"/>
  <c r="AX38" i="29" s="1"/>
  <c r="AX59" i="29" s="1"/>
  <c r="AP17" i="29"/>
  <c r="AP38" i="29" s="1"/>
  <c r="AP59" i="29" s="1"/>
  <c r="AH17" i="29"/>
  <c r="AH38" i="29" s="1"/>
  <c r="AH59" i="29" s="1"/>
  <c r="Z17" i="29"/>
  <c r="Z38" i="29" s="1"/>
  <c r="Z59" i="29" s="1"/>
  <c r="R17" i="29"/>
  <c r="R38" i="29" s="1"/>
  <c r="R59" i="29" s="1"/>
  <c r="J17" i="29"/>
  <c r="J38" i="29" s="1"/>
  <c r="J59" i="29" s="1"/>
  <c r="B17" i="29"/>
  <c r="B38" i="29" s="1"/>
  <c r="B59" i="29" s="1"/>
  <c r="DC14" i="29"/>
  <c r="DC35" i="29" s="1"/>
  <c r="DC56" i="29" s="1"/>
  <c r="CU14" i="29"/>
  <c r="CU35" i="29" s="1"/>
  <c r="CU56" i="29" s="1"/>
  <c r="CM14" i="29"/>
  <c r="CE14" i="29"/>
  <c r="BW14" i="29"/>
  <c r="BO14" i="29"/>
  <c r="BO35" i="29" s="1"/>
  <c r="BO56" i="29" s="1"/>
  <c r="BG14" i="29"/>
  <c r="BG35" i="29" s="1"/>
  <c r="BG56" i="29" s="1"/>
  <c r="AY14" i="29"/>
  <c r="AY35" i="29" s="1"/>
  <c r="AY56" i="29" s="1"/>
  <c r="AQ14" i="29"/>
  <c r="AQ35" i="29" s="1"/>
  <c r="AQ56" i="29" s="1"/>
  <c r="AI14" i="29"/>
  <c r="AI35" i="29" s="1"/>
  <c r="AI56" i="29" s="1"/>
  <c r="AA14" i="29"/>
  <c r="AA35" i="29" s="1"/>
  <c r="AA56" i="29" s="1"/>
  <c r="S14" i="29"/>
  <c r="K14" i="29"/>
  <c r="C14" i="29"/>
  <c r="C35" i="29" s="1"/>
  <c r="C56" i="29" s="1"/>
  <c r="DB13" i="29"/>
  <c r="DB34" i="29" s="1"/>
  <c r="DB55" i="29" s="1"/>
  <c r="CT13" i="29"/>
  <c r="CT34" i="29" s="1"/>
  <c r="CT55" i="29" s="1"/>
  <c r="CL13" i="29"/>
  <c r="CL34" i="29" s="1"/>
  <c r="CL55" i="29" s="1"/>
  <c r="CD13" i="29"/>
  <c r="CD34" i="29" s="1"/>
  <c r="CD55" i="29" s="1"/>
  <c r="BV13" i="29"/>
  <c r="BV34" i="29" s="1"/>
  <c r="BV55" i="29" s="1"/>
  <c r="BN13" i="29"/>
  <c r="BN34" i="29" s="1"/>
  <c r="BN55" i="29" s="1"/>
  <c r="BF13" i="29"/>
  <c r="BF34" i="29" s="1"/>
  <c r="BF55" i="29" s="1"/>
  <c r="AX13" i="29"/>
  <c r="AX34" i="29" s="1"/>
  <c r="AX55" i="29" s="1"/>
  <c r="AP13" i="29"/>
  <c r="AP34" i="29" s="1"/>
  <c r="AP55" i="29" s="1"/>
  <c r="AH13" i="29"/>
  <c r="AH34" i="29" s="1"/>
  <c r="AH55" i="29" s="1"/>
  <c r="Z13" i="29"/>
  <c r="Z34" i="29" s="1"/>
  <c r="Z55" i="29" s="1"/>
  <c r="R13" i="29"/>
  <c r="R34" i="29" s="1"/>
  <c r="R55" i="29" s="1"/>
  <c r="J13" i="29"/>
  <c r="J34" i="29" s="1"/>
  <c r="J55" i="29" s="1"/>
  <c r="B13" i="29"/>
  <c r="B34" i="29" s="1"/>
  <c r="B55" i="29" s="1"/>
  <c r="DB10" i="29"/>
  <c r="CT10" i="29"/>
  <c r="CL10" i="29"/>
  <c r="CD10" i="29"/>
  <c r="BV10" i="29"/>
  <c r="BN10" i="29"/>
  <c r="BF10" i="29"/>
  <c r="AX10" i="29"/>
  <c r="AP10" i="29"/>
  <c r="AH10" i="29"/>
  <c r="Z10" i="29"/>
  <c r="R10" i="29"/>
  <c r="J10" i="29"/>
  <c r="B10" i="29"/>
  <c r="DB5" i="29"/>
  <c r="CT5" i="29"/>
  <c r="CL5" i="29"/>
  <c r="CD5" i="29"/>
  <c r="BV5" i="29"/>
  <c r="BN5" i="29"/>
  <c r="BF5" i="29"/>
  <c r="AX5" i="29"/>
  <c r="AP5" i="29"/>
  <c r="AH5" i="29"/>
  <c r="Z5" i="29"/>
  <c r="R5" i="29"/>
  <c r="J5" i="29"/>
  <c r="B5" i="29"/>
  <c r="S47" i="29" l="1"/>
  <c r="S68" i="29" s="1"/>
  <c r="R67" i="29"/>
  <c r="AZ26" i="29"/>
  <c r="BA26" i="29" s="1"/>
  <c r="BP22" i="29"/>
  <c r="BP43" i="29" s="1"/>
  <c r="BP64" i="29" s="1"/>
  <c r="AZ22" i="29"/>
  <c r="AZ43" i="29" s="1"/>
  <c r="AZ64" i="29" s="1"/>
  <c r="AB14" i="29"/>
  <c r="AB35" i="29" s="1"/>
  <c r="AB56" i="29" s="1"/>
  <c r="DD22" i="29"/>
  <c r="DD43" i="29" s="1"/>
  <c r="DD64" i="29" s="1"/>
  <c r="L18" i="29"/>
  <c r="M18" i="29" s="1"/>
  <c r="BP18" i="29"/>
  <c r="BP39" i="29" s="1"/>
  <c r="BP60" i="29" s="1"/>
  <c r="BP26" i="29"/>
  <c r="BP47" i="29" s="1"/>
  <c r="BP68" i="29" s="1"/>
  <c r="CV14" i="29"/>
  <c r="CV35" i="29" s="1"/>
  <c r="CV56" i="29" s="1"/>
  <c r="AZ14" i="29"/>
  <c r="AZ35" i="29" s="1"/>
  <c r="AZ56" i="29" s="1"/>
  <c r="CF18" i="29"/>
  <c r="CF39" i="29" s="1"/>
  <c r="CF60" i="29" s="1"/>
  <c r="DD14" i="29"/>
  <c r="DD35" i="29" s="1"/>
  <c r="DD56" i="29" s="1"/>
  <c r="BH22" i="29"/>
  <c r="AR14" i="29"/>
  <c r="AR35" i="29" s="1"/>
  <c r="AR56" i="29" s="1"/>
  <c r="CN18" i="29"/>
  <c r="CV22" i="29"/>
  <c r="CV43" i="29" s="1"/>
  <c r="CV64" i="29" s="1"/>
  <c r="D26" i="29"/>
  <c r="AR26" i="29"/>
  <c r="AR47" i="29" s="1"/>
  <c r="AR68" i="29" s="1"/>
  <c r="CV26" i="29"/>
  <c r="D14" i="29"/>
  <c r="D35" i="29" s="1"/>
  <c r="D56" i="29" s="1"/>
  <c r="AB18" i="29"/>
  <c r="AJ22" i="29"/>
  <c r="AJ43" i="29" s="1"/>
  <c r="AJ64" i="29" s="1"/>
  <c r="BX26" i="29"/>
  <c r="T18" i="29"/>
  <c r="T39" i="29" s="1"/>
  <c r="T60" i="29" s="1"/>
  <c r="D18" i="29"/>
  <c r="E18" i="29" s="1"/>
  <c r="CV18" i="29"/>
  <c r="D22" i="29"/>
  <c r="AR22" i="29"/>
  <c r="AS22" i="29" s="1"/>
  <c r="DD26" i="29"/>
  <c r="BH14" i="29"/>
  <c r="AJ18" i="29"/>
  <c r="BX18" i="29"/>
  <c r="BY18" i="29" s="1"/>
  <c r="BH26" i="29"/>
  <c r="BH47" i="29" s="1"/>
  <c r="BH68" i="29" s="1"/>
  <c r="CF26" i="29"/>
  <c r="BP14" i="29"/>
  <c r="AY39" i="29"/>
  <c r="AY60" i="29" s="1"/>
  <c r="AZ18" i="29"/>
  <c r="S43" i="29"/>
  <c r="S64" i="29" s="1"/>
  <c r="T22" i="29"/>
  <c r="CE35" i="29"/>
  <c r="CE56" i="29" s="1"/>
  <c r="CF14" i="29"/>
  <c r="AB43" i="29"/>
  <c r="AB64" i="29" s="1"/>
  <c r="AC22" i="29"/>
  <c r="CE43" i="29"/>
  <c r="CE64" i="29" s="1"/>
  <c r="CF22" i="29"/>
  <c r="K47" i="29"/>
  <c r="K68" i="29" s="1"/>
  <c r="L26" i="29"/>
  <c r="BW35" i="29"/>
  <c r="BW56" i="29" s="1"/>
  <c r="BX14" i="29"/>
  <c r="K35" i="29"/>
  <c r="K56" i="29" s="1"/>
  <c r="L14" i="29"/>
  <c r="CM35" i="29"/>
  <c r="CM56" i="29" s="1"/>
  <c r="CN14" i="29"/>
  <c r="AA47" i="29"/>
  <c r="AA68" i="29" s="1"/>
  <c r="AB26" i="29"/>
  <c r="S35" i="29"/>
  <c r="S56" i="29" s="1"/>
  <c r="T14" i="29"/>
  <c r="AJ14" i="29"/>
  <c r="CM47" i="29"/>
  <c r="CM68" i="29" s="1"/>
  <c r="CN26" i="29"/>
  <c r="AA43" i="29"/>
  <c r="AA64" i="29" s="1"/>
  <c r="AR18" i="29"/>
  <c r="DD18" i="29"/>
  <c r="L22" i="29"/>
  <c r="BX22" i="29"/>
  <c r="T26" i="29"/>
  <c r="T47" i="29" s="1"/>
  <c r="AJ26" i="29"/>
  <c r="BH18" i="29"/>
  <c r="CN22" i="29"/>
  <c r="CW22" i="29" l="1"/>
  <c r="CX22" i="29" s="1"/>
  <c r="DE14" i="29"/>
  <c r="DE35" i="29" s="1"/>
  <c r="DE56" i="29" s="1"/>
  <c r="CW14" i="29"/>
  <c r="CW35" i="29" s="1"/>
  <c r="CW56" i="29" s="1"/>
  <c r="BQ18" i="29"/>
  <c r="CG18" i="29"/>
  <c r="CG39" i="29" s="1"/>
  <c r="CG60" i="29" s="1"/>
  <c r="AZ47" i="29"/>
  <c r="AZ68" i="29" s="1"/>
  <c r="AK22" i="29"/>
  <c r="AL22" i="29" s="1"/>
  <c r="BX39" i="29"/>
  <c r="BX60" i="29" s="1"/>
  <c r="D39" i="29"/>
  <c r="D60" i="29" s="1"/>
  <c r="L39" i="29"/>
  <c r="L60" i="29" s="1"/>
  <c r="BI26" i="29"/>
  <c r="BI47" i="29" s="1"/>
  <c r="BI68" i="29" s="1"/>
  <c r="DE22" i="29"/>
  <c r="DE43" i="29" s="1"/>
  <c r="DE64" i="29" s="1"/>
  <c r="BQ22" i="29"/>
  <c r="BA22" i="29"/>
  <c r="BA43" i="29" s="1"/>
  <c r="BA64" i="29" s="1"/>
  <c r="AR43" i="29"/>
  <c r="AR64" i="29" s="1"/>
  <c r="BQ26" i="29"/>
  <c r="BA14" i="29"/>
  <c r="BA35" i="29" s="1"/>
  <c r="BA56" i="29" s="1"/>
  <c r="U18" i="29"/>
  <c r="U39" i="29" s="1"/>
  <c r="U60" i="29" s="1"/>
  <c r="AC14" i="29"/>
  <c r="AC35" i="29" s="1"/>
  <c r="AC56" i="29" s="1"/>
  <c r="AS14" i="29"/>
  <c r="AS35" i="29" s="1"/>
  <c r="AS56" i="29" s="1"/>
  <c r="AS26" i="29"/>
  <c r="AT26" i="29" s="1"/>
  <c r="DD47" i="29"/>
  <c r="DD68" i="29" s="1"/>
  <c r="DE26" i="29"/>
  <c r="E14" i="29"/>
  <c r="F14" i="29" s="1"/>
  <c r="CF47" i="29"/>
  <c r="CF68" i="29" s="1"/>
  <c r="CG26" i="29"/>
  <c r="BP35" i="29"/>
  <c r="BP56" i="29" s="1"/>
  <c r="BQ14" i="29"/>
  <c r="CV47" i="29"/>
  <c r="CV68" i="29" s="1"/>
  <c r="CW26" i="29"/>
  <c r="CN39" i="29"/>
  <c r="CN60" i="29" s="1"/>
  <c r="CO18" i="29"/>
  <c r="BH43" i="29"/>
  <c r="BH64" i="29" s="1"/>
  <c r="BI22" i="29"/>
  <c r="D43" i="29"/>
  <c r="D64" i="29" s="1"/>
  <c r="E22" i="29"/>
  <c r="AB39" i="29"/>
  <c r="AB60" i="29" s="1"/>
  <c r="AC18" i="29"/>
  <c r="AJ39" i="29"/>
  <c r="AJ60" i="29" s="1"/>
  <c r="AK18" i="29"/>
  <c r="BX47" i="29"/>
  <c r="BX68" i="29" s="1"/>
  <c r="BY26" i="29"/>
  <c r="D47" i="29"/>
  <c r="D68" i="29" s="1"/>
  <c r="E26" i="29"/>
  <c r="BH35" i="29"/>
  <c r="BH56" i="29" s="1"/>
  <c r="BI14" i="29"/>
  <c r="CV39" i="29"/>
  <c r="CV60" i="29" s="1"/>
  <c r="CW18" i="29"/>
  <c r="BH39" i="29"/>
  <c r="BH60" i="29" s="1"/>
  <c r="BI18" i="29"/>
  <c r="BA47" i="29"/>
  <c r="BA68" i="29" s="1"/>
  <c r="BB26" i="29"/>
  <c r="CN43" i="29"/>
  <c r="CN64" i="29" s="1"/>
  <c r="CO22" i="29"/>
  <c r="AS43" i="29"/>
  <c r="AS64" i="29" s="1"/>
  <c r="AT22" i="29"/>
  <c r="L47" i="29"/>
  <c r="L68" i="29" s="1"/>
  <c r="M26" i="29"/>
  <c r="AJ47" i="29"/>
  <c r="AJ68" i="29" s="1"/>
  <c r="AK26" i="29"/>
  <c r="CN47" i="29"/>
  <c r="CN68" i="29" s="1"/>
  <c r="CO26" i="29"/>
  <c r="AB47" i="29"/>
  <c r="AB68" i="29" s="1"/>
  <c r="AC26" i="29"/>
  <c r="CF43" i="29"/>
  <c r="CF64" i="29" s="1"/>
  <c r="CG22" i="29"/>
  <c r="CF35" i="29"/>
  <c r="CF56" i="29" s="1"/>
  <c r="CG14" i="29"/>
  <c r="AZ39" i="29"/>
  <c r="AZ60" i="29" s="1"/>
  <c r="BA18" i="29"/>
  <c r="T68" i="29"/>
  <c r="U26" i="29"/>
  <c r="U47" i="29" s="1"/>
  <c r="CW43" i="29"/>
  <c r="CW64" i="29" s="1"/>
  <c r="M39" i="29"/>
  <c r="M60" i="29" s="1"/>
  <c r="N18" i="29"/>
  <c r="BY22" i="29"/>
  <c r="BX43" i="29"/>
  <c r="BX64" i="29" s="1"/>
  <c r="BY39" i="29"/>
  <c r="BY60" i="29" s="1"/>
  <c r="BZ18" i="29"/>
  <c r="AC43" i="29"/>
  <c r="AC64" i="29" s="1"/>
  <c r="AD22" i="29"/>
  <c r="DD39" i="29"/>
  <c r="DD60" i="29" s="1"/>
  <c r="DE18" i="29"/>
  <c r="AK14" i="29"/>
  <c r="AJ35" i="29"/>
  <c r="AJ56" i="29" s="1"/>
  <c r="CN35" i="29"/>
  <c r="CN56" i="29" s="1"/>
  <c r="CO14" i="29"/>
  <c r="L35" i="29"/>
  <c r="L56" i="29" s="1"/>
  <c r="M14" i="29"/>
  <c r="T35" i="29"/>
  <c r="T56" i="29" s="1"/>
  <c r="U14" i="29"/>
  <c r="BX35" i="29"/>
  <c r="BX56" i="29" s="1"/>
  <c r="BY14" i="29"/>
  <c r="E39" i="29"/>
  <c r="E60" i="29" s="1"/>
  <c r="F18" i="29"/>
  <c r="T43" i="29"/>
  <c r="T64" i="29" s="1"/>
  <c r="U22" i="29"/>
  <c r="L43" i="29"/>
  <c r="L64" i="29" s="1"/>
  <c r="M22" i="29"/>
  <c r="BQ39" i="29"/>
  <c r="BQ60" i="29" s="1"/>
  <c r="BR18" i="29"/>
  <c r="AS18" i="29"/>
  <c r="AR39" i="29"/>
  <c r="AR60" i="29" s="1"/>
  <c r="CH18" i="29" l="1"/>
  <c r="CX14" i="29"/>
  <c r="CY14" i="29" s="1"/>
  <c r="CY35" i="29" s="1"/>
  <c r="CY56" i="29" s="1"/>
  <c r="AK43" i="29"/>
  <c r="AK64" i="29" s="1"/>
  <c r="DF14" i="29"/>
  <c r="DG14" i="29" s="1"/>
  <c r="DG35" i="29" s="1"/>
  <c r="DG56" i="29" s="1"/>
  <c r="AS47" i="29"/>
  <c r="AS68" i="29" s="1"/>
  <c r="BB22" i="29"/>
  <c r="BB43" i="29" s="1"/>
  <c r="BB64" i="29" s="1"/>
  <c r="AT14" i="29"/>
  <c r="AT35" i="29" s="1"/>
  <c r="AT56" i="29" s="1"/>
  <c r="BJ26" i="29"/>
  <c r="BJ47" i="29" s="1"/>
  <c r="BJ68" i="29" s="1"/>
  <c r="DF22" i="29"/>
  <c r="DF43" i="29" s="1"/>
  <c r="DF64" i="29" s="1"/>
  <c r="BR22" i="29"/>
  <c r="BQ43" i="29"/>
  <c r="BQ64" i="29" s="1"/>
  <c r="BB14" i="29"/>
  <c r="BB35" i="29" s="1"/>
  <c r="BB56" i="29" s="1"/>
  <c r="V18" i="29"/>
  <c r="V39" i="29" s="1"/>
  <c r="V60" i="29" s="1"/>
  <c r="E35" i="29"/>
  <c r="E56" i="29" s="1"/>
  <c r="BQ47" i="29"/>
  <c r="BQ68" i="29" s="1"/>
  <c r="BR26" i="29"/>
  <c r="AD14" i="29"/>
  <c r="AD35" i="29" s="1"/>
  <c r="AD56" i="29" s="1"/>
  <c r="BJ14" i="29"/>
  <c r="BI35" i="29"/>
  <c r="BI56" i="29" s="1"/>
  <c r="E47" i="29"/>
  <c r="E68" i="29" s="1"/>
  <c r="F26" i="29"/>
  <c r="E43" i="29"/>
  <c r="E64" i="29" s="1"/>
  <c r="F22" i="29"/>
  <c r="BQ35" i="29"/>
  <c r="BQ56" i="29" s="1"/>
  <c r="BR14" i="29"/>
  <c r="BY47" i="29"/>
  <c r="BY68" i="29" s="1"/>
  <c r="BZ26" i="29"/>
  <c r="BI43" i="29"/>
  <c r="BI64" i="29" s="1"/>
  <c r="BJ22" i="29"/>
  <c r="CG47" i="29"/>
  <c r="CG68" i="29" s="1"/>
  <c r="CH26" i="29"/>
  <c r="CW39" i="29"/>
  <c r="CW60" i="29" s="1"/>
  <c r="CX18" i="29"/>
  <c r="AK39" i="29"/>
  <c r="AK60" i="29" s="1"/>
  <c r="AL18" i="29"/>
  <c r="CO39" i="29"/>
  <c r="CO60" i="29" s="1"/>
  <c r="CP18" i="29"/>
  <c r="DE47" i="29"/>
  <c r="DE68" i="29" s="1"/>
  <c r="DF26" i="29"/>
  <c r="AC39" i="29"/>
  <c r="AC60" i="29" s="1"/>
  <c r="AD18" i="29"/>
  <c r="CW47" i="29"/>
  <c r="CW68" i="29" s="1"/>
  <c r="CX26" i="29"/>
  <c r="CX43" i="29"/>
  <c r="CX64" i="29" s="1"/>
  <c r="CY22" i="29"/>
  <c r="CY43" i="29" s="1"/>
  <c r="CY64" i="29" s="1"/>
  <c r="CO47" i="29"/>
  <c r="CO68" i="29" s="1"/>
  <c r="CP26" i="29"/>
  <c r="BR39" i="29"/>
  <c r="BR60" i="29" s="1"/>
  <c r="BS18" i="29"/>
  <c r="BS39" i="29" s="1"/>
  <c r="BS60" i="29" s="1"/>
  <c r="AT43" i="29"/>
  <c r="AT64" i="29" s="1"/>
  <c r="AU22" i="29"/>
  <c r="AU43" i="29" s="1"/>
  <c r="AU64" i="29" s="1"/>
  <c r="M43" i="29"/>
  <c r="M64" i="29" s="1"/>
  <c r="N22" i="29"/>
  <c r="CO35" i="29"/>
  <c r="CO56" i="29" s="1"/>
  <c r="CP14" i="29"/>
  <c r="AD43" i="29"/>
  <c r="AD64" i="29" s="1"/>
  <c r="AE22" i="29"/>
  <c r="AE43" i="29" s="1"/>
  <c r="AE64" i="29" s="1"/>
  <c r="U35" i="29"/>
  <c r="U56" i="29" s="1"/>
  <c r="V14" i="29"/>
  <c r="CG43" i="29"/>
  <c r="CG64" i="29" s="1"/>
  <c r="CH22" i="29"/>
  <c r="AK35" i="29"/>
  <c r="AK56" i="29" s="1"/>
  <c r="AL14" i="29"/>
  <c r="DE39" i="29"/>
  <c r="DE60" i="29" s="1"/>
  <c r="DF18" i="29"/>
  <c r="AT47" i="29"/>
  <c r="AT68" i="29" s="1"/>
  <c r="AU26" i="29"/>
  <c r="AU47" i="29" s="1"/>
  <c r="AU68" i="29" s="1"/>
  <c r="CO43" i="29"/>
  <c r="CO64" i="29" s="1"/>
  <c r="CP22" i="29"/>
  <c r="AL43" i="29"/>
  <c r="AL64" i="29" s="1"/>
  <c r="AM22" i="29"/>
  <c r="AM43" i="29" s="1"/>
  <c r="AM64" i="29" s="1"/>
  <c r="BY43" i="29"/>
  <c r="BY64" i="29" s="1"/>
  <c r="BZ22" i="29"/>
  <c r="N39" i="29"/>
  <c r="N60" i="29" s="1"/>
  <c r="O18" i="29"/>
  <c r="O39" i="29" s="1"/>
  <c r="O60" i="29" s="1"/>
  <c r="BY35" i="29"/>
  <c r="BY56" i="29" s="1"/>
  <c r="BZ14" i="29"/>
  <c r="F39" i="29"/>
  <c r="F60" i="29" s="1"/>
  <c r="G18" i="29"/>
  <c r="G39" i="29" s="1"/>
  <c r="G60" i="29" s="1"/>
  <c r="AS39" i="29"/>
  <c r="AS60" i="29" s="1"/>
  <c r="AT18" i="29"/>
  <c r="CH39" i="29"/>
  <c r="CH60" i="29" s="1"/>
  <c r="CI18" i="29"/>
  <c r="CI39" i="29" s="1"/>
  <c r="CI60" i="29" s="1"/>
  <c r="U43" i="29"/>
  <c r="U64" i="29" s="1"/>
  <c r="V22" i="29"/>
  <c r="F35" i="29"/>
  <c r="F56" i="29" s="1"/>
  <c r="G14" i="29"/>
  <c r="G35" i="29" s="1"/>
  <c r="G56" i="29" s="1"/>
  <c r="BZ39" i="29"/>
  <c r="BZ60" i="29" s="1"/>
  <c r="CA18" i="29"/>
  <c r="CA39" i="29" s="1"/>
  <c r="CA60" i="29" s="1"/>
  <c r="V26" i="29"/>
  <c r="V47" i="29" s="1"/>
  <c r="U68" i="29"/>
  <c r="AK47" i="29"/>
  <c r="AK68" i="29" s="1"/>
  <c r="AL26" i="29"/>
  <c r="M35" i="29"/>
  <c r="M56" i="29" s="1"/>
  <c r="N14" i="29"/>
  <c r="CG35" i="29"/>
  <c r="CG56" i="29" s="1"/>
  <c r="CH14" i="29"/>
  <c r="BB47" i="29"/>
  <c r="BB68" i="29" s="1"/>
  <c r="BC26" i="29"/>
  <c r="BC47" i="29" s="1"/>
  <c r="BC68" i="29" s="1"/>
  <c r="BI39" i="29"/>
  <c r="BI60" i="29" s="1"/>
  <c r="BJ18" i="29"/>
  <c r="AC47" i="29"/>
  <c r="AC68" i="29" s="1"/>
  <c r="AD26" i="29"/>
  <c r="BA39" i="29"/>
  <c r="BA60" i="29" s="1"/>
  <c r="BB18" i="29"/>
  <c r="M47" i="29"/>
  <c r="M68" i="29" s="1"/>
  <c r="N26" i="29"/>
  <c r="CX35" i="29" l="1"/>
  <c r="CX56" i="29" s="1"/>
  <c r="DF35" i="29"/>
  <c r="DF56" i="29" s="1"/>
  <c r="DG22" i="29"/>
  <c r="DG43" i="29" s="1"/>
  <c r="DG64" i="29" s="1"/>
  <c r="AU14" i="29"/>
  <c r="AU35" i="29" s="1"/>
  <c r="AU56" i="29" s="1"/>
  <c r="BC14" i="29"/>
  <c r="BC35" i="29" s="1"/>
  <c r="BC56" i="29" s="1"/>
  <c r="BC22" i="29"/>
  <c r="BC43" i="29" s="1"/>
  <c r="BC64" i="29" s="1"/>
  <c r="BK26" i="29"/>
  <c r="BK47" i="29" s="1"/>
  <c r="BK68" i="29" s="1"/>
  <c r="BR43" i="29"/>
  <c r="BR64" i="29" s="1"/>
  <c r="BS22" i="29"/>
  <c r="BS43" i="29" s="1"/>
  <c r="BS64" i="29" s="1"/>
  <c r="W18" i="29"/>
  <c r="W39" i="29" s="1"/>
  <c r="W60" i="29" s="1"/>
  <c r="BR47" i="29"/>
  <c r="BR68" i="29" s="1"/>
  <c r="BS26" i="29"/>
  <c r="BS47" i="29" s="1"/>
  <c r="BS68" i="29" s="1"/>
  <c r="AE14" i="29"/>
  <c r="AE35" i="29" s="1"/>
  <c r="AE56" i="29" s="1"/>
  <c r="BK14" i="29"/>
  <c r="BK35" i="29" s="1"/>
  <c r="BK56" i="29" s="1"/>
  <c r="BJ35" i="29"/>
  <c r="BJ56" i="29" s="1"/>
  <c r="AD39" i="29"/>
  <c r="AD60" i="29" s="1"/>
  <c r="AE18" i="29"/>
  <c r="AE39" i="29" s="1"/>
  <c r="AE60" i="29" s="1"/>
  <c r="CY18" i="29"/>
  <c r="CY39" i="29" s="1"/>
  <c r="CY60" i="29" s="1"/>
  <c r="CX39" i="29"/>
  <c r="CX60" i="29" s="1"/>
  <c r="BR35" i="29"/>
  <c r="BR56" i="29" s="1"/>
  <c r="BS14" i="29"/>
  <c r="BS35" i="29" s="1"/>
  <c r="BS56" i="29" s="1"/>
  <c r="AM18" i="29"/>
  <c r="AM39" i="29" s="1"/>
  <c r="AM60" i="29" s="1"/>
  <c r="AL39" i="29"/>
  <c r="AL60" i="29" s="1"/>
  <c r="DF47" i="29"/>
  <c r="DF68" i="29" s="1"/>
  <c r="DG26" i="29"/>
  <c r="DG47" i="29" s="1"/>
  <c r="DG68" i="29" s="1"/>
  <c r="CH47" i="29"/>
  <c r="CH68" i="29" s="1"/>
  <c r="CI26" i="29"/>
  <c r="CI47" i="29" s="1"/>
  <c r="CI68" i="29" s="1"/>
  <c r="F43" i="29"/>
  <c r="F64" i="29" s="1"/>
  <c r="G22" i="29"/>
  <c r="G43" i="29" s="1"/>
  <c r="G64" i="29" s="1"/>
  <c r="CX47" i="29"/>
  <c r="CX68" i="29" s="1"/>
  <c r="CY26" i="29"/>
  <c r="CY47" i="29" s="1"/>
  <c r="CY68" i="29" s="1"/>
  <c r="BZ47" i="29"/>
  <c r="BZ68" i="29" s="1"/>
  <c r="CA26" i="29"/>
  <c r="CA47" i="29" s="1"/>
  <c r="CA68" i="29" s="1"/>
  <c r="CQ18" i="29"/>
  <c r="CQ39" i="29" s="1"/>
  <c r="CQ60" i="29" s="1"/>
  <c r="CP39" i="29"/>
  <c r="CP60" i="29" s="1"/>
  <c r="BK22" i="29"/>
  <c r="BK43" i="29" s="1"/>
  <c r="BK64" i="29" s="1"/>
  <c r="BJ43" i="29"/>
  <c r="BJ64" i="29" s="1"/>
  <c r="F47" i="29"/>
  <c r="F68" i="29" s="1"/>
  <c r="G26" i="29"/>
  <c r="G47" i="29" s="1"/>
  <c r="G68" i="29" s="1"/>
  <c r="BJ39" i="29"/>
  <c r="BJ60" i="29" s="1"/>
  <c r="BK18" i="29"/>
  <c r="BK39" i="29" s="1"/>
  <c r="BK60" i="29" s="1"/>
  <c r="W14" i="29"/>
  <c r="W35" i="29" s="1"/>
  <c r="W56" i="29" s="1"/>
  <c r="V35" i="29"/>
  <c r="V56" i="29" s="1"/>
  <c r="N43" i="29"/>
  <c r="N64" i="29" s="1"/>
  <c r="O22" i="29"/>
  <c r="O43" i="29" s="1"/>
  <c r="O64" i="29" s="1"/>
  <c r="CP47" i="29"/>
  <c r="CP68" i="29" s="1"/>
  <c r="CQ26" i="29"/>
  <c r="CQ47" i="29" s="1"/>
  <c r="CQ68" i="29" s="1"/>
  <c r="BB39" i="29"/>
  <c r="BB60" i="29" s="1"/>
  <c r="BC18" i="29"/>
  <c r="BC39" i="29" s="1"/>
  <c r="BC60" i="29" s="1"/>
  <c r="CP35" i="29"/>
  <c r="CP56" i="29" s="1"/>
  <c r="CQ14" i="29"/>
  <c r="CQ35" i="29" s="1"/>
  <c r="CQ56" i="29" s="1"/>
  <c r="AL47" i="29"/>
  <c r="AL68" i="29" s="1"/>
  <c r="AM26" i="29"/>
  <c r="AM47" i="29" s="1"/>
  <c r="AM68" i="29" s="1"/>
  <c r="CP43" i="29"/>
  <c r="CP64" i="29" s="1"/>
  <c r="CQ22" i="29"/>
  <c r="CQ43" i="29" s="1"/>
  <c r="CQ64" i="29" s="1"/>
  <c r="AT39" i="29"/>
  <c r="AT60" i="29" s="1"/>
  <c r="AU18" i="29"/>
  <c r="AU39" i="29" s="1"/>
  <c r="AU60" i="29" s="1"/>
  <c r="CH43" i="29"/>
  <c r="CH64" i="29" s="1"/>
  <c r="CI22" i="29"/>
  <c r="CI43" i="29" s="1"/>
  <c r="CI64" i="29" s="1"/>
  <c r="CH35" i="29"/>
  <c r="CH56" i="29" s="1"/>
  <c r="CI14" i="29"/>
  <c r="CI35" i="29" s="1"/>
  <c r="CI56" i="29" s="1"/>
  <c r="BZ43" i="29"/>
  <c r="BZ64" i="29" s="1"/>
  <c r="CA22" i="29"/>
  <c r="CA43" i="29" s="1"/>
  <c r="CA64" i="29" s="1"/>
  <c r="N47" i="29"/>
  <c r="N68" i="29" s="1"/>
  <c r="O26" i="29"/>
  <c r="O47" i="29" s="1"/>
  <c r="O68" i="29" s="1"/>
  <c r="AD47" i="29"/>
  <c r="AD68" i="29" s="1"/>
  <c r="AE26" i="29"/>
  <c r="AE47" i="29" s="1"/>
  <c r="AE68" i="29" s="1"/>
  <c r="N35" i="29"/>
  <c r="N56" i="29" s="1"/>
  <c r="O14" i="29"/>
  <c r="O35" i="29" s="1"/>
  <c r="O56" i="29" s="1"/>
  <c r="V43" i="29"/>
  <c r="V64" i="29" s="1"/>
  <c r="W22" i="29"/>
  <c r="W43" i="29" s="1"/>
  <c r="W64" i="29" s="1"/>
  <c r="BZ35" i="29"/>
  <c r="BZ56" i="29" s="1"/>
  <c r="CA14" i="29"/>
  <c r="CA35" i="29" s="1"/>
  <c r="CA56" i="29" s="1"/>
  <c r="DF39" i="29"/>
  <c r="DF60" i="29" s="1"/>
  <c r="DG18" i="29"/>
  <c r="DG39" i="29" s="1"/>
  <c r="DG60" i="29" s="1"/>
  <c r="AL35" i="29"/>
  <c r="AL56" i="29" s="1"/>
  <c r="AM14" i="29"/>
  <c r="AM35" i="29" s="1"/>
  <c r="AM56" i="29" s="1"/>
  <c r="V68" i="29"/>
  <c r="W26" i="29"/>
  <c r="W47" i="29" l="1"/>
  <c r="W68" i="29" s="1"/>
  <c r="F6" i="7" l="1"/>
  <c r="F7" i="7"/>
  <c r="F8" i="7"/>
  <c r="F9" i="7"/>
  <c r="F10" i="7"/>
  <c r="F11" i="7"/>
  <c r="F12" i="7"/>
  <c r="F13" i="7"/>
  <c r="F56" i="7"/>
  <c r="F57" i="7"/>
  <c r="F58" i="7"/>
  <c r="C6" i="7"/>
  <c r="W7" i="7" l="1"/>
  <c r="I7" i="7" s="1"/>
  <c r="M7" i="7" s="1"/>
  <c r="V7" i="7"/>
  <c r="W10" i="7"/>
  <c r="V10" i="7"/>
  <c r="V9" i="7"/>
  <c r="W9" i="7"/>
  <c r="I9" i="7" s="1"/>
  <c r="V8" i="7"/>
  <c r="W8" i="7"/>
  <c r="I8" i="7" s="1"/>
  <c r="M8" i="7" s="1"/>
  <c r="N8" i="7" s="1"/>
  <c r="W6" i="7"/>
  <c r="I6" i="7" s="1"/>
  <c r="V6" i="7"/>
  <c r="M5" i="7"/>
  <c r="M56" i="7"/>
  <c r="G56" i="7" s="1"/>
  <c r="N56" i="7"/>
  <c r="M12" i="7"/>
  <c r="M9" i="7"/>
  <c r="M13" i="7"/>
  <c r="M11" i="7"/>
  <c r="AR7" i="28"/>
  <c r="AY39" i="28"/>
  <c r="BF39" i="28" s="1"/>
  <c r="AY47" i="28"/>
  <c r="BF47" i="28" s="1"/>
  <c r="AY63" i="28"/>
  <c r="BF63" i="28" s="1"/>
  <c r="AY71" i="28"/>
  <c r="BF71" i="28" s="1"/>
  <c r="AY79" i="28"/>
  <c r="BF79" i="28" s="1"/>
  <c r="AY95" i="28"/>
  <c r="BF95" i="28" s="1"/>
  <c r="AY103" i="28"/>
  <c r="BF103" i="28" s="1"/>
  <c r="AY111" i="28"/>
  <c r="BF111" i="28" s="1"/>
  <c r="AY119" i="28"/>
  <c r="BF119" i="28" s="1"/>
  <c r="AY127" i="28"/>
  <c r="BF127" i="28" s="1"/>
  <c r="AY135" i="28"/>
  <c r="BF135" i="28" s="1"/>
  <c r="AY143" i="28"/>
  <c r="BF143" i="28" s="1"/>
  <c r="AY151" i="28"/>
  <c r="BF151" i="28" s="1"/>
  <c r="AY167" i="28"/>
  <c r="BF167" i="28" s="1"/>
  <c r="AY175" i="28"/>
  <c r="BF175" i="28" s="1"/>
  <c r="AY183" i="28"/>
  <c r="BF183" i="28" s="1"/>
  <c r="AY199" i="28"/>
  <c r="BF199" i="28" s="1"/>
  <c r="AY207" i="28"/>
  <c r="BF207" i="28" s="1"/>
  <c r="AY215" i="28"/>
  <c r="BF215" i="28" s="1"/>
  <c r="AY223" i="28"/>
  <c r="BF223" i="28" s="1"/>
  <c r="AY231" i="28"/>
  <c r="BF231" i="28" s="1"/>
  <c r="AY239" i="28"/>
  <c r="BF239" i="28" s="1"/>
  <c r="AY255" i="28"/>
  <c r="BF255" i="28" s="1"/>
  <c r="AY271" i="28"/>
  <c r="BF271" i="28" s="1"/>
  <c r="AY279" i="28"/>
  <c r="BF279" i="28" s="1"/>
  <c r="AY280" i="28"/>
  <c r="BF280" i="28" s="1"/>
  <c r="AY287" i="28"/>
  <c r="BF287" i="28" s="1"/>
  <c r="AY311" i="28"/>
  <c r="BF311" i="28" s="1"/>
  <c r="AY319" i="28"/>
  <c r="BF319" i="28" s="1"/>
  <c r="AY327" i="28"/>
  <c r="BF327" i="28" s="1"/>
  <c r="AY335" i="28"/>
  <c r="BF335" i="28" s="1"/>
  <c r="AY343" i="28"/>
  <c r="BF343" i="28" s="1"/>
  <c r="AY359" i="28"/>
  <c r="BF359" i="28" s="1"/>
  <c r="AY367" i="28"/>
  <c r="BF367" i="28" s="1"/>
  <c r="AY375" i="28"/>
  <c r="BF375" i="28" s="1"/>
  <c r="AY383" i="28"/>
  <c r="BF383" i="28" s="1"/>
  <c r="AY391" i="28"/>
  <c r="BF391" i="28" s="1"/>
  <c r="AY399" i="28"/>
  <c r="BF399" i="28" s="1"/>
  <c r="AY407" i="28"/>
  <c r="BF407" i="28" s="1"/>
  <c r="AY415" i="28"/>
  <c r="BF415" i="28" s="1"/>
  <c r="AY423" i="28"/>
  <c r="BF423" i="28" s="1"/>
  <c r="AY431" i="28"/>
  <c r="BF431" i="28" s="1"/>
  <c r="AY439" i="28"/>
  <c r="BF439" i="28" s="1"/>
  <c r="AY447" i="28"/>
  <c r="BF447" i="28" s="1"/>
  <c r="AY455" i="28"/>
  <c r="BF455" i="28" s="1"/>
  <c r="AY463" i="28"/>
  <c r="BF463" i="28" s="1"/>
  <c r="AY471" i="28"/>
  <c r="BF471" i="28" s="1"/>
  <c r="AY479" i="28"/>
  <c r="BF479" i="28" s="1"/>
  <c r="AY487" i="28"/>
  <c r="BF487" i="28" s="1"/>
  <c r="AY495" i="28"/>
  <c r="BF495" i="28" s="1"/>
  <c r="AY503" i="28"/>
  <c r="BF503" i="28" s="1"/>
  <c r="AY511" i="28"/>
  <c r="BF511" i="28" s="1"/>
  <c r="AY527" i="28"/>
  <c r="BF527" i="28" s="1"/>
  <c r="AY535" i="28"/>
  <c r="BF535" i="28" s="1"/>
  <c r="AY559" i="28"/>
  <c r="BF559" i="28" s="1"/>
  <c r="AY575" i="28"/>
  <c r="BF575" i="28" s="1"/>
  <c r="AY583" i="28"/>
  <c r="BF583" i="28" s="1"/>
  <c r="AY599" i="28"/>
  <c r="BF599" i="28" s="1"/>
  <c r="AY607" i="28"/>
  <c r="BF607" i="28" s="1"/>
  <c r="AY615" i="28"/>
  <c r="BF615" i="28" s="1"/>
  <c r="AY623" i="28"/>
  <c r="BF623" i="28" s="1"/>
  <c r="AY631" i="28"/>
  <c r="BF631" i="28" s="1"/>
  <c r="AY639" i="28"/>
  <c r="BF639" i="28" s="1"/>
  <c r="AY655" i="28"/>
  <c r="BF655" i="28" s="1"/>
  <c r="AY663" i="28"/>
  <c r="BF663" i="28" s="1"/>
  <c r="AY671" i="28"/>
  <c r="BF671" i="28" s="1"/>
  <c r="AY687" i="28"/>
  <c r="BF687" i="28" s="1"/>
  <c r="AY695" i="28"/>
  <c r="BF695" i="28" s="1"/>
  <c r="AY711" i="28"/>
  <c r="BF711" i="28" s="1"/>
  <c r="AY727" i="28"/>
  <c r="BF727" i="28" s="1"/>
  <c r="AY735" i="28"/>
  <c r="BF735" i="28" s="1"/>
  <c r="AY743" i="28"/>
  <c r="BF743" i="28" s="1"/>
  <c r="AY751" i="28"/>
  <c r="BF751" i="28" s="1"/>
  <c r="AY759" i="28"/>
  <c r="BF759" i="28" s="1"/>
  <c r="AY767" i="28"/>
  <c r="BF767" i="28" s="1"/>
  <c r="AY775" i="28"/>
  <c r="BF775" i="28" s="1"/>
  <c r="AY783" i="28"/>
  <c r="BF783" i="28" s="1"/>
  <c r="AY799" i="28"/>
  <c r="BF799" i="28" s="1"/>
  <c r="AY807" i="28"/>
  <c r="BF807" i="28" s="1"/>
  <c r="AY831" i="28"/>
  <c r="BF831" i="28" s="1"/>
  <c r="AY839" i="28"/>
  <c r="BF839" i="28" s="1"/>
  <c r="AY855" i="28"/>
  <c r="BF855" i="28" s="1"/>
  <c r="AY863" i="28"/>
  <c r="BF863" i="28" s="1"/>
  <c r="AY879" i="28"/>
  <c r="BF879" i="28" s="1"/>
  <c r="AY887" i="28"/>
  <c r="BF887" i="28" s="1"/>
  <c r="AY903" i="28"/>
  <c r="BF903" i="28" s="1"/>
  <c r="AY935" i="28"/>
  <c r="BF935" i="28" s="1"/>
  <c r="AY951" i="28"/>
  <c r="BF951" i="28" s="1"/>
  <c r="AY959" i="28"/>
  <c r="BF959" i="28" s="1"/>
  <c r="AY967" i="28"/>
  <c r="BF967" i="28" s="1"/>
  <c r="AY975" i="28"/>
  <c r="BF975" i="28" s="1"/>
  <c r="AY983" i="28"/>
  <c r="BF983" i="28" s="1"/>
  <c r="AY991" i="28"/>
  <c r="BF991" i="28" s="1"/>
  <c r="AY999" i="28"/>
  <c r="BF999" i="28" s="1"/>
  <c r="AY1007" i="28"/>
  <c r="BF1007" i="28" s="1"/>
  <c r="V16" i="28"/>
  <c r="AC16" i="28" s="1"/>
  <c r="V24" i="28"/>
  <c r="AC24" i="28" s="1"/>
  <c r="V32" i="28"/>
  <c r="AC32" i="28" s="1"/>
  <c r="V40" i="28"/>
  <c r="AC40" i="28" s="1"/>
  <c r="V48" i="28"/>
  <c r="AC48" i="28" s="1"/>
  <c r="V56" i="28"/>
  <c r="AC56" i="28" s="1"/>
  <c r="V64" i="28"/>
  <c r="AC64" i="28" s="1"/>
  <c r="V72" i="28"/>
  <c r="AC72" i="28" s="1"/>
  <c r="V80" i="28"/>
  <c r="AC80" i="28" s="1"/>
  <c r="V88" i="28"/>
  <c r="AC88" i="28" s="1"/>
  <c r="V96" i="28"/>
  <c r="AC96" i="28" s="1"/>
  <c r="V104" i="28"/>
  <c r="AC104" i="28" s="1"/>
  <c r="V112" i="28"/>
  <c r="AC112" i="28" s="1"/>
  <c r="V120" i="28"/>
  <c r="AC120" i="28" s="1"/>
  <c r="V128" i="28"/>
  <c r="AC128" i="28" s="1"/>
  <c r="V136" i="28"/>
  <c r="AC136" i="28" s="1"/>
  <c r="V144" i="28"/>
  <c r="AC144" i="28" s="1"/>
  <c r="V152" i="28"/>
  <c r="AC152" i="28" s="1"/>
  <c r="V160" i="28"/>
  <c r="AC160" i="28" s="1"/>
  <c r="V168" i="28"/>
  <c r="AC168" i="28" s="1"/>
  <c r="V176" i="28"/>
  <c r="AC176" i="28" s="1"/>
  <c r="V184" i="28"/>
  <c r="AC184" i="28" s="1"/>
  <c r="V192" i="28"/>
  <c r="AC192" i="28" s="1"/>
  <c r="V200" i="28"/>
  <c r="AC200" i="28" s="1"/>
  <c r="V208" i="28"/>
  <c r="AC208" i="28" s="1"/>
  <c r="V216" i="28"/>
  <c r="AC216" i="28" s="1"/>
  <c r="V224" i="28"/>
  <c r="AC224" i="28" s="1"/>
  <c r="V232" i="28"/>
  <c r="AC232" i="28" s="1"/>
  <c r="V240" i="28"/>
  <c r="AC240" i="28" s="1"/>
  <c r="V248" i="28"/>
  <c r="AC248" i="28" s="1"/>
  <c r="V256" i="28"/>
  <c r="AC256" i="28" s="1"/>
  <c r="V264" i="28"/>
  <c r="AC264" i="28" s="1"/>
  <c r="V272" i="28"/>
  <c r="AC272" i="28" s="1"/>
  <c r="V280" i="28"/>
  <c r="AC280" i="28" s="1"/>
  <c r="V288" i="28"/>
  <c r="AC288" i="28" s="1"/>
  <c r="V296" i="28"/>
  <c r="AC296" i="28" s="1"/>
  <c r="V304" i="28"/>
  <c r="AC304" i="28" s="1"/>
  <c r="V312" i="28"/>
  <c r="AC312" i="28" s="1"/>
  <c r="V320" i="28"/>
  <c r="AC320" i="28" s="1"/>
  <c r="V328" i="28"/>
  <c r="AC328" i="28" s="1"/>
  <c r="V336" i="28"/>
  <c r="AC336" i="28" s="1"/>
  <c r="V344" i="28"/>
  <c r="AC344" i="28" s="1"/>
  <c r="V352" i="28"/>
  <c r="AC352" i="28" s="1"/>
  <c r="V360" i="28"/>
  <c r="AC360" i="28" s="1"/>
  <c r="V368" i="28"/>
  <c r="AC368" i="28" s="1"/>
  <c r="V376" i="28"/>
  <c r="AC376" i="28" s="1"/>
  <c r="V384" i="28"/>
  <c r="AC384" i="28" s="1"/>
  <c r="V392" i="28"/>
  <c r="AC392" i="28" s="1"/>
  <c r="V400" i="28"/>
  <c r="AC400" i="28" s="1"/>
  <c r="V408" i="28"/>
  <c r="AC408" i="28" s="1"/>
  <c r="V416" i="28"/>
  <c r="AC416" i="28" s="1"/>
  <c r="V424" i="28"/>
  <c r="AC424" i="28" s="1"/>
  <c r="V432" i="28"/>
  <c r="AC432" i="28" s="1"/>
  <c r="V440" i="28"/>
  <c r="AC440" i="28" s="1"/>
  <c r="V448" i="28"/>
  <c r="AC448" i="28" s="1"/>
  <c r="V456" i="28"/>
  <c r="AC456" i="28" s="1"/>
  <c r="V464" i="28"/>
  <c r="AC464" i="28" s="1"/>
  <c r="V472" i="28"/>
  <c r="AC472" i="28" s="1"/>
  <c r="V480" i="28"/>
  <c r="AC480" i="28" s="1"/>
  <c r="V488" i="28"/>
  <c r="AC488" i="28" s="1"/>
  <c r="V496" i="28"/>
  <c r="AC496" i="28" s="1"/>
  <c r="V504" i="28"/>
  <c r="AC504" i="28" s="1"/>
  <c r="V512" i="28"/>
  <c r="AC512" i="28" s="1"/>
  <c r="V520" i="28"/>
  <c r="AC520" i="28" s="1"/>
  <c r="V528" i="28"/>
  <c r="AC528" i="28" s="1"/>
  <c r="V536" i="28"/>
  <c r="AC536" i="28" s="1"/>
  <c r="V544" i="28"/>
  <c r="AC544" i="28" s="1"/>
  <c r="V552" i="28"/>
  <c r="AC552" i="28" s="1"/>
  <c r="V560" i="28"/>
  <c r="AC560" i="28" s="1"/>
  <c r="V568" i="28"/>
  <c r="AC568" i="28" s="1"/>
  <c r="V576" i="28"/>
  <c r="AC576" i="28" s="1"/>
  <c r="V584" i="28"/>
  <c r="AC584" i="28" s="1"/>
  <c r="V592" i="28"/>
  <c r="AC592" i="28" s="1"/>
  <c r="V600" i="28"/>
  <c r="AC600" i="28" s="1"/>
  <c r="V608" i="28"/>
  <c r="AC608" i="28" s="1"/>
  <c r="V616" i="28"/>
  <c r="AC616" i="28" s="1"/>
  <c r="V624" i="28"/>
  <c r="AC624" i="28" s="1"/>
  <c r="V632" i="28"/>
  <c r="AC632" i="28" s="1"/>
  <c r="V640" i="28"/>
  <c r="AC640" i="28" s="1"/>
  <c r="V648" i="28"/>
  <c r="AC648" i="28" s="1"/>
  <c r="V656" i="28"/>
  <c r="AC656" i="28" s="1"/>
  <c r="V664" i="28"/>
  <c r="AC664" i="28" s="1"/>
  <c r="V672" i="28"/>
  <c r="AC672" i="28" s="1"/>
  <c r="V680" i="28"/>
  <c r="AC680" i="28" s="1"/>
  <c r="V688" i="28"/>
  <c r="AC688" i="28" s="1"/>
  <c r="V696" i="28"/>
  <c r="AC696" i="28" s="1"/>
  <c r="V704" i="28"/>
  <c r="AC704" i="28" s="1"/>
  <c r="V712" i="28"/>
  <c r="AC712" i="28" s="1"/>
  <c r="V720" i="28"/>
  <c r="AC720" i="28" s="1"/>
  <c r="V728" i="28"/>
  <c r="AC728" i="28" s="1"/>
  <c r="V736" i="28"/>
  <c r="AC736" i="28" s="1"/>
  <c r="V744" i="28"/>
  <c r="AC744" i="28" s="1"/>
  <c r="V752" i="28"/>
  <c r="AC752" i="28" s="1"/>
  <c r="V760" i="28"/>
  <c r="AC760" i="28" s="1"/>
  <c r="V768" i="28"/>
  <c r="AC768" i="28" s="1"/>
  <c r="V776" i="28"/>
  <c r="AC776" i="28" s="1"/>
  <c r="V784" i="28"/>
  <c r="AC784" i="28" s="1"/>
  <c r="V792" i="28"/>
  <c r="AC792" i="28" s="1"/>
  <c r="V800" i="28"/>
  <c r="AC800" i="28" s="1"/>
  <c r="V808" i="28"/>
  <c r="AC808" i="28" s="1"/>
  <c r="V816" i="28"/>
  <c r="AC816" i="28" s="1"/>
  <c r="V824" i="28"/>
  <c r="AC824" i="28" s="1"/>
  <c r="V832" i="28"/>
  <c r="AC832" i="28" s="1"/>
  <c r="V840" i="28"/>
  <c r="AC840" i="28" s="1"/>
  <c r="V848" i="28"/>
  <c r="AC848" i="28" s="1"/>
  <c r="V856" i="28"/>
  <c r="AC856" i="28" s="1"/>
  <c r="V864" i="28"/>
  <c r="AC864" i="28" s="1"/>
  <c r="V872" i="28"/>
  <c r="AC872" i="28" s="1"/>
  <c r="V880" i="28"/>
  <c r="AC880" i="28" s="1"/>
  <c r="V888" i="28"/>
  <c r="AC888" i="28" s="1"/>
  <c r="V896" i="28"/>
  <c r="AC896" i="28" s="1"/>
  <c r="V904" i="28"/>
  <c r="AC904" i="28" s="1"/>
  <c r="V912" i="28"/>
  <c r="AC912" i="28" s="1"/>
  <c r="V920" i="28"/>
  <c r="AC920" i="28" s="1"/>
  <c r="V928" i="28"/>
  <c r="AC928" i="28" s="1"/>
  <c r="V936" i="28"/>
  <c r="AC936" i="28" s="1"/>
  <c r="V944" i="28"/>
  <c r="AC944" i="28" s="1"/>
  <c r="V952" i="28"/>
  <c r="AC952" i="28" s="1"/>
  <c r="V960" i="28"/>
  <c r="AC960" i="28" s="1"/>
  <c r="V968" i="28"/>
  <c r="AC968" i="28" s="1"/>
  <c r="V976" i="28"/>
  <c r="AC976" i="28" s="1"/>
  <c r="V984" i="28"/>
  <c r="AC984" i="28" s="1"/>
  <c r="V992" i="28"/>
  <c r="AC992" i="28" s="1"/>
  <c r="V1000" i="28"/>
  <c r="AC1000" i="28" s="1"/>
  <c r="V1008" i="28"/>
  <c r="AC1008" i="28" s="1"/>
  <c r="AY24" i="28"/>
  <c r="BF24" i="28" s="1"/>
  <c r="AY32" i="28"/>
  <c r="BF32" i="28" s="1"/>
  <c r="AY40" i="28"/>
  <c r="BF40" i="28" s="1"/>
  <c r="AY48" i="28"/>
  <c r="BF48" i="28" s="1"/>
  <c r="AY56" i="28"/>
  <c r="BF56" i="28" s="1"/>
  <c r="AY72" i="28"/>
  <c r="BF72" i="28" s="1"/>
  <c r="AY80" i="28"/>
  <c r="BF80" i="28" s="1"/>
  <c r="AY88" i="28"/>
  <c r="BF88" i="28" s="1"/>
  <c r="AY96" i="28"/>
  <c r="BF96" i="28" s="1"/>
  <c r="AY104" i="28"/>
  <c r="BF104" i="28" s="1"/>
  <c r="AY112" i="28"/>
  <c r="BF112" i="28" s="1"/>
  <c r="AY120" i="28"/>
  <c r="BF120" i="28" s="1"/>
  <c r="AY128" i="28"/>
  <c r="BF128" i="28" s="1"/>
  <c r="AY136" i="28"/>
  <c r="BF136" i="28" s="1"/>
  <c r="AY144" i="28"/>
  <c r="BF144" i="28" s="1"/>
  <c r="AY152" i="28"/>
  <c r="BF152" i="28" s="1"/>
  <c r="AY160" i="28"/>
  <c r="BF160" i="28" s="1"/>
  <c r="AY168" i="28"/>
  <c r="BF168" i="28" s="1"/>
  <c r="AY176" i="28"/>
  <c r="BF176" i="28" s="1"/>
  <c r="AY184" i="28"/>
  <c r="BF184" i="28" s="1"/>
  <c r="AY192" i="28"/>
  <c r="BF192" i="28" s="1"/>
  <c r="AY200" i="28"/>
  <c r="BF200" i="28" s="1"/>
  <c r="AY208" i="28"/>
  <c r="BF208" i="28" s="1"/>
  <c r="AY216" i="28"/>
  <c r="BF216" i="28" s="1"/>
  <c r="AY224" i="28"/>
  <c r="BF224" i="28" s="1"/>
  <c r="AY232" i="28"/>
  <c r="BF232" i="28" s="1"/>
  <c r="AY240" i="28"/>
  <c r="BF240" i="28" s="1"/>
  <c r="AY248" i="28"/>
  <c r="BF248" i="28" s="1"/>
  <c r="AY256" i="28"/>
  <c r="BF256" i="28" s="1"/>
  <c r="AY264" i="28"/>
  <c r="BF264" i="28" s="1"/>
  <c r="AY272" i="28"/>
  <c r="BF272" i="28" s="1"/>
  <c r="AY288" i="28"/>
  <c r="BF288" i="28" s="1"/>
  <c r="AY296" i="28"/>
  <c r="BF296" i="28" s="1"/>
  <c r="AY304" i="28"/>
  <c r="BF304" i="28" s="1"/>
  <c r="AY312" i="28"/>
  <c r="BF312" i="28" s="1"/>
  <c r="AY320" i="28"/>
  <c r="BF320" i="28" s="1"/>
  <c r="AY328" i="28"/>
  <c r="BF328" i="28" s="1"/>
  <c r="AY336" i="28"/>
  <c r="BF336" i="28" s="1"/>
  <c r="AY344" i="28"/>
  <c r="BF344" i="28" s="1"/>
  <c r="AY350" i="28"/>
  <c r="AY352" i="28"/>
  <c r="BF352" i="28" s="1"/>
  <c r="AY358" i="28"/>
  <c r="BF358" i="28" s="1"/>
  <c r="AY360" i="28"/>
  <c r="BF360" i="28" s="1"/>
  <c r="AY366" i="28"/>
  <c r="BF366" i="28" s="1"/>
  <c r="AY368" i="28"/>
  <c r="BF368" i="28" s="1"/>
  <c r="AY374" i="28"/>
  <c r="BF374" i="28" s="1"/>
  <c r="AY376" i="28"/>
  <c r="BF376" i="28" s="1"/>
  <c r="AY384" i="28"/>
  <c r="BF384" i="28" s="1"/>
  <c r="AY392" i="28"/>
  <c r="BF392" i="28" s="1"/>
  <c r="AY398" i="28"/>
  <c r="BF398" i="28" s="1"/>
  <c r="AY400" i="28"/>
  <c r="BF400" i="28" s="1"/>
  <c r="AY406" i="28"/>
  <c r="AY408" i="28"/>
  <c r="BF408" i="28" s="1"/>
  <c r="AY414" i="28"/>
  <c r="AY416" i="28"/>
  <c r="BF416" i="28" s="1"/>
  <c r="AY422" i="28"/>
  <c r="BF422" i="28" s="1"/>
  <c r="AY424" i="28"/>
  <c r="BF424" i="28" s="1"/>
  <c r="AY430" i="28"/>
  <c r="BF430" i="28" s="1"/>
  <c r="AY432" i="28"/>
  <c r="BF432" i="28" s="1"/>
  <c r="AY438" i="28"/>
  <c r="BF438" i="28" s="1"/>
  <c r="AY440" i="28"/>
  <c r="BF440" i="28" s="1"/>
  <c r="AY446" i="28"/>
  <c r="AY448" i="28"/>
  <c r="BF448" i="28" s="1"/>
  <c r="AY454" i="28"/>
  <c r="BF454" i="28" s="1"/>
  <c r="AY456" i="28"/>
  <c r="BF456" i="28" s="1"/>
  <c r="AY462" i="28"/>
  <c r="BF462" i="28" s="1"/>
  <c r="AY464" i="28"/>
  <c r="BF464" i="28" s="1"/>
  <c r="AY472" i="28"/>
  <c r="BF472" i="28" s="1"/>
  <c r="AY480" i="28"/>
  <c r="BF480" i="28" s="1"/>
  <c r="AY486" i="28"/>
  <c r="AY488" i="28"/>
  <c r="BF488" i="28" s="1"/>
  <c r="AY494" i="28"/>
  <c r="AY496" i="28"/>
  <c r="BF496" i="28" s="1"/>
  <c r="AY504" i="28"/>
  <c r="BF504" i="28" s="1"/>
  <c r="AY510" i="28"/>
  <c r="BF510" i="28" s="1"/>
  <c r="AY512" i="28"/>
  <c r="BF512" i="28" s="1"/>
  <c r="AY520" i="28"/>
  <c r="BF520" i="28" s="1"/>
  <c r="AY526" i="28"/>
  <c r="BF526" i="28" s="1"/>
  <c r="AY528" i="28"/>
  <c r="BF528" i="28" s="1"/>
  <c r="AY534" i="28"/>
  <c r="BF534" i="28" s="1"/>
  <c r="AY536" i="28"/>
  <c r="BF536" i="28" s="1"/>
  <c r="AY542" i="28"/>
  <c r="BF542" i="28" s="1"/>
  <c r="AY544" i="28"/>
  <c r="BF544" i="28" s="1"/>
  <c r="AY550" i="28"/>
  <c r="BF550" i="28" s="1"/>
  <c r="AY552" i="28"/>
  <c r="BF552" i="28" s="1"/>
  <c r="AY558" i="28"/>
  <c r="BF558" i="28" s="1"/>
  <c r="AY560" i="28"/>
  <c r="BF560" i="28" s="1"/>
  <c r="AY566" i="28"/>
  <c r="BF566" i="28" s="1"/>
  <c r="AY568" i="28"/>
  <c r="BF568" i="28" s="1"/>
  <c r="AY574" i="28"/>
  <c r="BF574" i="28" s="1"/>
  <c r="AY576" i="28"/>
  <c r="BF576" i="28" s="1"/>
  <c r="AY582" i="28"/>
  <c r="BF582" i="28" s="1"/>
  <c r="AY584" i="28"/>
  <c r="BF584" i="28" s="1"/>
  <c r="AY590" i="28"/>
  <c r="BF590" i="28" s="1"/>
  <c r="AY592" i="28"/>
  <c r="BF592" i="28" s="1"/>
  <c r="AY598" i="28"/>
  <c r="BF598" i="28" s="1"/>
  <c r="AY600" i="28"/>
  <c r="BF600" i="28" s="1"/>
  <c r="AY606" i="28"/>
  <c r="BF606" i="28" s="1"/>
  <c r="AY608" i="28"/>
  <c r="BF608" i="28" s="1"/>
  <c r="AY614" i="28"/>
  <c r="BF614" i="28" s="1"/>
  <c r="AY616" i="28"/>
  <c r="BF616" i="28" s="1"/>
  <c r="AY622" i="28"/>
  <c r="BF622" i="28" s="1"/>
  <c r="AY624" i="28"/>
  <c r="BF624" i="28" s="1"/>
  <c r="AY632" i="28"/>
  <c r="BF632" i="28" s="1"/>
  <c r="AY640" i="28"/>
  <c r="BF640" i="28" s="1"/>
  <c r="AY646" i="28"/>
  <c r="BF646" i="28" s="1"/>
  <c r="AY648" i="28"/>
  <c r="BF648" i="28" s="1"/>
  <c r="AY654" i="28"/>
  <c r="BF654" i="28" s="1"/>
  <c r="AY656" i="28"/>
  <c r="BF656" i="28" s="1"/>
  <c r="AY662" i="28"/>
  <c r="BF662" i="28" s="1"/>
  <c r="AY664" i="28"/>
  <c r="BF664" i="28" s="1"/>
  <c r="AY670" i="28"/>
  <c r="BF670" i="28" s="1"/>
  <c r="AY672" i="28"/>
  <c r="BF672" i="28" s="1"/>
  <c r="AY678" i="28"/>
  <c r="BF678" i="28" s="1"/>
  <c r="AY680" i="28"/>
  <c r="BF680" i="28" s="1"/>
  <c r="AY686" i="28"/>
  <c r="BF686" i="28" s="1"/>
  <c r="AY688" i="28"/>
  <c r="BF688" i="28" s="1"/>
  <c r="AY694" i="28"/>
  <c r="BF694" i="28" s="1"/>
  <c r="AY696" i="28"/>
  <c r="BF696" i="28" s="1"/>
  <c r="AY702" i="28"/>
  <c r="BF702" i="28" s="1"/>
  <c r="AY704" i="28"/>
  <c r="BF704" i="28" s="1"/>
  <c r="AY710" i="28"/>
  <c r="BF710" i="28" s="1"/>
  <c r="AY712" i="28"/>
  <c r="BF712" i="28" s="1"/>
  <c r="AY718" i="28"/>
  <c r="BF718" i="28" s="1"/>
  <c r="AY720" i="28"/>
  <c r="BF720" i="28" s="1"/>
  <c r="AY726" i="28"/>
  <c r="BF726" i="28" s="1"/>
  <c r="AY728" i="28"/>
  <c r="BF728" i="28" s="1"/>
  <c r="AY734" i="28"/>
  <c r="AY736" i="28"/>
  <c r="BF736" i="28" s="1"/>
  <c r="AY744" i="28"/>
  <c r="BF744" i="28" s="1"/>
  <c r="AY750" i="28"/>
  <c r="BF750" i="28" s="1"/>
  <c r="AY752" i="28"/>
  <c r="BF752" i="28" s="1"/>
  <c r="AY758" i="28"/>
  <c r="BF758" i="28" s="1"/>
  <c r="AY760" i="28"/>
  <c r="BF760" i="28" s="1"/>
  <c r="AY766" i="28"/>
  <c r="BF766" i="28" s="1"/>
  <c r="AY768" i="28"/>
  <c r="BF768" i="28" s="1"/>
  <c r="AY774" i="28"/>
  <c r="BF774" i="28" s="1"/>
  <c r="AY776" i="28"/>
  <c r="BF776" i="28" s="1"/>
  <c r="AY782" i="28"/>
  <c r="BF782" i="28" s="1"/>
  <c r="AY784" i="28"/>
  <c r="BF784" i="28" s="1"/>
  <c r="AY790" i="28"/>
  <c r="BF790" i="28" s="1"/>
  <c r="AY792" i="28"/>
  <c r="BF792" i="28" s="1"/>
  <c r="AY795" i="28"/>
  <c r="BF795" i="28" s="1"/>
  <c r="AY798" i="28"/>
  <c r="BF798" i="28" s="1"/>
  <c r="AY800" i="28"/>
  <c r="BF800" i="28" s="1"/>
  <c r="AY803" i="28"/>
  <c r="BF803" i="28" s="1"/>
  <c r="AY806" i="28"/>
  <c r="BF806" i="28" s="1"/>
  <c r="AY808" i="28"/>
  <c r="BF808" i="28" s="1"/>
  <c r="AY809" i="28"/>
  <c r="BF809" i="28" s="1"/>
  <c r="AY811" i="28"/>
  <c r="BF811" i="28" s="1"/>
  <c r="AY814" i="28"/>
  <c r="BF814" i="28" s="1"/>
  <c r="AY816" i="28"/>
  <c r="BF816" i="28" s="1"/>
  <c r="AY822" i="28"/>
  <c r="BF822" i="28" s="1"/>
  <c r="AY824" i="28"/>
  <c r="BF824" i="28" s="1"/>
  <c r="AY825" i="28"/>
  <c r="BF825" i="28" s="1"/>
  <c r="AY832" i="28"/>
  <c r="BF832" i="28" s="1"/>
  <c r="AY838" i="28"/>
  <c r="BF838" i="28" s="1"/>
  <c r="AY840" i="28"/>
  <c r="BF840" i="28" s="1"/>
  <c r="AY843" i="28"/>
  <c r="BF843" i="28" s="1"/>
  <c r="AY846" i="28"/>
  <c r="BF846" i="28" s="1"/>
  <c r="AY848" i="28"/>
  <c r="BF848" i="28" s="1"/>
  <c r="AY851" i="28"/>
  <c r="BF851" i="28" s="1"/>
  <c r="AY854" i="28"/>
  <c r="BF854" i="28" s="1"/>
  <c r="AY856" i="28"/>
  <c r="BF856" i="28" s="1"/>
  <c r="AY857" i="28"/>
  <c r="BF857" i="28" s="1"/>
  <c r="AY862" i="28"/>
  <c r="BF862" i="28" s="1"/>
  <c r="AY864" i="28"/>
  <c r="BF864" i="28" s="1"/>
  <c r="AY867" i="28"/>
  <c r="BF867" i="28" s="1"/>
  <c r="AY870" i="28"/>
  <c r="BF870" i="28" s="1"/>
  <c r="AY872" i="28"/>
  <c r="BF872" i="28" s="1"/>
  <c r="AY873" i="28"/>
  <c r="BF873" i="28" s="1"/>
  <c r="AY878" i="28"/>
  <c r="BF878" i="28" s="1"/>
  <c r="AY880" i="28"/>
  <c r="BF880" i="28" s="1"/>
  <c r="AY886" i="28"/>
  <c r="BF886" i="28" s="1"/>
  <c r="AY888" i="28"/>
  <c r="BF888" i="28" s="1"/>
  <c r="AY894" i="28"/>
  <c r="BF894" i="28" s="1"/>
  <c r="AY896" i="28"/>
  <c r="BF896" i="28" s="1"/>
  <c r="AY897" i="28"/>
  <c r="BF897" i="28" s="1"/>
  <c r="AY899" i="28"/>
  <c r="BF899" i="28" s="1"/>
  <c r="AY902" i="28"/>
  <c r="BF902" i="28" s="1"/>
  <c r="AY904" i="28"/>
  <c r="BF904" i="28" s="1"/>
  <c r="AY905" i="28"/>
  <c r="BF905" i="28" s="1"/>
  <c r="AY910" i="28"/>
  <c r="BF910" i="28" s="1"/>
  <c r="AY912" i="28"/>
  <c r="BF912" i="28" s="1"/>
  <c r="AY915" i="28"/>
  <c r="BF915" i="28" s="1"/>
  <c r="AY918" i="28"/>
  <c r="BF918" i="28" s="1"/>
  <c r="AY920" i="28"/>
  <c r="BF920" i="28" s="1"/>
  <c r="AY923" i="28"/>
  <c r="BF923" i="28" s="1"/>
  <c r="AY926" i="28"/>
  <c r="BF926" i="28" s="1"/>
  <c r="AY928" i="28"/>
  <c r="BF928" i="28" s="1"/>
  <c r="AY934" i="28"/>
  <c r="BF934" i="28" s="1"/>
  <c r="AY936" i="28"/>
  <c r="BF936" i="28" s="1"/>
  <c r="AY937" i="28"/>
  <c r="BF937" i="28" s="1"/>
  <c r="AY939" i="28"/>
  <c r="BF939" i="28" s="1"/>
  <c r="AY942" i="28"/>
  <c r="BF942" i="28" s="1"/>
  <c r="AY944" i="28"/>
  <c r="BF944" i="28" s="1"/>
  <c r="AY950" i="28"/>
  <c r="BF950" i="28" s="1"/>
  <c r="AY952" i="28"/>
  <c r="BF952" i="28" s="1"/>
  <c r="AY955" i="28"/>
  <c r="AY960" i="28"/>
  <c r="BF960" i="28" s="1"/>
  <c r="AY961" i="28"/>
  <c r="BF961" i="28" s="1"/>
  <c r="AY963" i="28"/>
  <c r="BF963" i="28" s="1"/>
  <c r="AY966" i="28"/>
  <c r="BF966" i="28" s="1"/>
  <c r="AY968" i="28"/>
  <c r="BF968" i="28" s="1"/>
  <c r="AY969" i="28"/>
  <c r="BF969" i="28" s="1"/>
  <c r="AY971" i="28"/>
  <c r="AY974" i="28"/>
  <c r="BF974" i="28" s="1"/>
  <c r="AY976" i="28"/>
  <c r="BF976" i="28" s="1"/>
  <c r="AY982" i="28"/>
  <c r="BF982" i="28" s="1"/>
  <c r="AY984" i="28"/>
  <c r="BF984" i="28" s="1"/>
  <c r="AY985" i="28"/>
  <c r="BF985" i="28" s="1"/>
  <c r="AY990" i="28"/>
  <c r="BF990" i="28" s="1"/>
  <c r="AY992" i="28"/>
  <c r="BF992" i="28" s="1"/>
  <c r="AY993" i="28"/>
  <c r="BF993" i="28" s="1"/>
  <c r="AY995" i="28"/>
  <c r="BF995" i="28" s="1"/>
  <c r="AY998" i="28"/>
  <c r="BF998" i="28" s="1"/>
  <c r="AY1000" i="28"/>
  <c r="BF1000" i="28" s="1"/>
  <c r="AY1003" i="28"/>
  <c r="BF1003" i="28" s="1"/>
  <c r="AY1006" i="28"/>
  <c r="BF1006" i="28" s="1"/>
  <c r="AY1008" i="28"/>
  <c r="BF1008" i="28" s="1"/>
  <c r="AY1011" i="28"/>
  <c r="BF1011" i="28" s="1"/>
  <c r="AY1014" i="28"/>
  <c r="BF1014" i="28" s="1"/>
  <c r="C36" i="11"/>
  <c r="C35" i="11"/>
  <c r="AF7" i="28"/>
  <c r="AY1015" i="28"/>
  <c r="BF1015" i="28" s="1"/>
  <c r="AX1015" i="28"/>
  <c r="BE1015" i="28" s="1"/>
  <c r="AW1015" i="28"/>
  <c r="BD1015" i="28" s="1"/>
  <c r="AV1015" i="28"/>
  <c r="BC1015" i="28" s="1"/>
  <c r="AU1015" i="28"/>
  <c r="BB1015" i="28" s="1"/>
  <c r="AT1015" i="28"/>
  <c r="BA1015" i="28" s="1"/>
  <c r="AX1014" i="28"/>
  <c r="BE1014" i="28" s="1"/>
  <c r="AW1014" i="28"/>
  <c r="BD1014" i="28" s="1"/>
  <c r="AV1014" i="28"/>
  <c r="BC1014" i="28" s="1"/>
  <c r="AU1014" i="28"/>
  <c r="BB1014" i="28" s="1"/>
  <c r="AT1014" i="28"/>
  <c r="BA1014" i="28" s="1"/>
  <c r="AY1013" i="28"/>
  <c r="BF1013" i="28" s="1"/>
  <c r="AX1013" i="28"/>
  <c r="BE1013" i="28" s="1"/>
  <c r="AW1013" i="28"/>
  <c r="BD1013" i="28" s="1"/>
  <c r="AV1013" i="28"/>
  <c r="BC1013" i="28" s="1"/>
  <c r="AU1013" i="28"/>
  <c r="BB1013" i="28" s="1"/>
  <c r="AT1013" i="28"/>
  <c r="BA1013" i="28" s="1"/>
  <c r="AY1012" i="28"/>
  <c r="BF1012" i="28" s="1"/>
  <c r="AX1012" i="28"/>
  <c r="BE1012" i="28" s="1"/>
  <c r="AW1012" i="28"/>
  <c r="BD1012" i="28" s="1"/>
  <c r="AV1012" i="28"/>
  <c r="BC1012" i="28" s="1"/>
  <c r="AU1012" i="28"/>
  <c r="BB1012" i="28" s="1"/>
  <c r="AT1012" i="28"/>
  <c r="BA1012" i="28" s="1"/>
  <c r="AX1011" i="28"/>
  <c r="BE1011" i="28" s="1"/>
  <c r="AW1011" i="28"/>
  <c r="BD1011" i="28" s="1"/>
  <c r="AV1011" i="28"/>
  <c r="BC1011" i="28" s="1"/>
  <c r="AU1011" i="28"/>
  <c r="BB1011" i="28" s="1"/>
  <c r="AT1011" i="28"/>
  <c r="BA1011" i="28" s="1"/>
  <c r="AY1010" i="28"/>
  <c r="BF1010" i="28" s="1"/>
  <c r="AX1010" i="28"/>
  <c r="BE1010" i="28" s="1"/>
  <c r="AW1010" i="28"/>
  <c r="BD1010" i="28" s="1"/>
  <c r="AV1010" i="28"/>
  <c r="BC1010" i="28" s="1"/>
  <c r="AU1010" i="28"/>
  <c r="BB1010" i="28" s="1"/>
  <c r="AT1010" i="28"/>
  <c r="BA1010" i="28" s="1"/>
  <c r="AY1009" i="28"/>
  <c r="BF1009" i="28" s="1"/>
  <c r="AX1009" i="28"/>
  <c r="BE1009" i="28" s="1"/>
  <c r="AW1009" i="28"/>
  <c r="BD1009" i="28" s="1"/>
  <c r="AV1009" i="28"/>
  <c r="BC1009" i="28" s="1"/>
  <c r="AU1009" i="28"/>
  <c r="BB1009" i="28" s="1"/>
  <c r="AT1009" i="28"/>
  <c r="BA1009" i="28" s="1"/>
  <c r="AX1008" i="28"/>
  <c r="BE1008" i="28" s="1"/>
  <c r="AW1008" i="28"/>
  <c r="BD1008" i="28" s="1"/>
  <c r="AV1008" i="28"/>
  <c r="BC1008" i="28" s="1"/>
  <c r="AU1008" i="28"/>
  <c r="BB1008" i="28" s="1"/>
  <c r="AT1008" i="28"/>
  <c r="BA1008" i="28" s="1"/>
  <c r="AX1007" i="28"/>
  <c r="BE1007" i="28" s="1"/>
  <c r="AW1007" i="28"/>
  <c r="BD1007" i="28" s="1"/>
  <c r="AV1007" i="28"/>
  <c r="BC1007" i="28" s="1"/>
  <c r="AU1007" i="28"/>
  <c r="BB1007" i="28" s="1"/>
  <c r="AT1007" i="28"/>
  <c r="BA1007" i="28" s="1"/>
  <c r="AX1006" i="28"/>
  <c r="BE1006" i="28" s="1"/>
  <c r="AW1006" i="28"/>
  <c r="BD1006" i="28" s="1"/>
  <c r="AV1006" i="28"/>
  <c r="BC1006" i="28" s="1"/>
  <c r="AU1006" i="28"/>
  <c r="BB1006" i="28" s="1"/>
  <c r="AT1006" i="28"/>
  <c r="BA1006" i="28" s="1"/>
  <c r="AY1005" i="28"/>
  <c r="BF1005" i="28" s="1"/>
  <c r="AX1005" i="28"/>
  <c r="BE1005" i="28" s="1"/>
  <c r="AW1005" i="28"/>
  <c r="BD1005" i="28" s="1"/>
  <c r="AV1005" i="28"/>
  <c r="BC1005" i="28" s="1"/>
  <c r="AU1005" i="28"/>
  <c r="BB1005" i="28" s="1"/>
  <c r="AT1005" i="28"/>
  <c r="BA1005" i="28" s="1"/>
  <c r="AY1004" i="28"/>
  <c r="BF1004" i="28" s="1"/>
  <c r="AX1004" i="28"/>
  <c r="BE1004" i="28" s="1"/>
  <c r="AW1004" i="28"/>
  <c r="BD1004" i="28" s="1"/>
  <c r="AV1004" i="28"/>
  <c r="BC1004" i="28" s="1"/>
  <c r="AU1004" i="28"/>
  <c r="BB1004" i="28" s="1"/>
  <c r="AT1004" i="28"/>
  <c r="BA1004" i="28" s="1"/>
  <c r="AX1003" i="28"/>
  <c r="BE1003" i="28" s="1"/>
  <c r="AW1003" i="28"/>
  <c r="BD1003" i="28" s="1"/>
  <c r="AV1003" i="28"/>
  <c r="BC1003" i="28" s="1"/>
  <c r="AU1003" i="28"/>
  <c r="BB1003" i="28" s="1"/>
  <c r="AT1003" i="28"/>
  <c r="BA1003" i="28" s="1"/>
  <c r="AY1002" i="28"/>
  <c r="BF1002" i="28" s="1"/>
  <c r="AX1002" i="28"/>
  <c r="BE1002" i="28" s="1"/>
  <c r="AW1002" i="28"/>
  <c r="BD1002" i="28" s="1"/>
  <c r="AV1002" i="28"/>
  <c r="BC1002" i="28" s="1"/>
  <c r="AU1002" i="28"/>
  <c r="BB1002" i="28" s="1"/>
  <c r="AT1002" i="28"/>
  <c r="BA1002" i="28" s="1"/>
  <c r="AY1001" i="28"/>
  <c r="BF1001" i="28" s="1"/>
  <c r="AX1001" i="28"/>
  <c r="BE1001" i="28" s="1"/>
  <c r="AW1001" i="28"/>
  <c r="BD1001" i="28" s="1"/>
  <c r="AV1001" i="28"/>
  <c r="BC1001" i="28" s="1"/>
  <c r="AU1001" i="28"/>
  <c r="BB1001" i="28" s="1"/>
  <c r="AT1001" i="28"/>
  <c r="BA1001" i="28" s="1"/>
  <c r="AX1000" i="28"/>
  <c r="BE1000" i="28" s="1"/>
  <c r="AW1000" i="28"/>
  <c r="BD1000" i="28" s="1"/>
  <c r="AV1000" i="28"/>
  <c r="BC1000" i="28" s="1"/>
  <c r="AU1000" i="28"/>
  <c r="BB1000" i="28" s="1"/>
  <c r="AT1000" i="28"/>
  <c r="BA1000" i="28" s="1"/>
  <c r="AX999" i="28"/>
  <c r="BE999" i="28" s="1"/>
  <c r="AW999" i="28"/>
  <c r="BD999" i="28" s="1"/>
  <c r="AV999" i="28"/>
  <c r="BC999" i="28" s="1"/>
  <c r="AU999" i="28"/>
  <c r="BB999" i="28" s="1"/>
  <c r="AT999" i="28"/>
  <c r="BA999" i="28" s="1"/>
  <c r="AX998" i="28"/>
  <c r="BE998" i="28" s="1"/>
  <c r="AW998" i="28"/>
  <c r="BD998" i="28" s="1"/>
  <c r="AV998" i="28"/>
  <c r="BC998" i="28" s="1"/>
  <c r="AU998" i="28"/>
  <c r="BB998" i="28" s="1"/>
  <c r="AT998" i="28"/>
  <c r="BA998" i="28" s="1"/>
  <c r="AY997" i="28"/>
  <c r="BF997" i="28" s="1"/>
  <c r="AX997" i="28"/>
  <c r="BE997" i="28" s="1"/>
  <c r="AW997" i="28"/>
  <c r="BD997" i="28" s="1"/>
  <c r="AV997" i="28"/>
  <c r="BC997" i="28" s="1"/>
  <c r="AU997" i="28"/>
  <c r="BB997" i="28" s="1"/>
  <c r="AT997" i="28"/>
  <c r="BA997" i="28" s="1"/>
  <c r="AY996" i="28"/>
  <c r="BF996" i="28" s="1"/>
  <c r="AX996" i="28"/>
  <c r="BE996" i="28" s="1"/>
  <c r="AW996" i="28"/>
  <c r="BD996" i="28" s="1"/>
  <c r="AV996" i="28"/>
  <c r="BC996" i="28" s="1"/>
  <c r="AU996" i="28"/>
  <c r="BB996" i="28" s="1"/>
  <c r="AT996" i="28"/>
  <c r="BA996" i="28" s="1"/>
  <c r="AX995" i="28"/>
  <c r="BE995" i="28" s="1"/>
  <c r="AW995" i="28"/>
  <c r="BD995" i="28" s="1"/>
  <c r="AV995" i="28"/>
  <c r="BC995" i="28" s="1"/>
  <c r="AU995" i="28"/>
  <c r="BB995" i="28" s="1"/>
  <c r="AT995" i="28"/>
  <c r="BA995" i="28" s="1"/>
  <c r="AY994" i="28"/>
  <c r="BF994" i="28" s="1"/>
  <c r="AX994" i="28"/>
  <c r="BE994" i="28" s="1"/>
  <c r="AW994" i="28"/>
  <c r="BD994" i="28" s="1"/>
  <c r="AV994" i="28"/>
  <c r="BC994" i="28" s="1"/>
  <c r="AU994" i="28"/>
  <c r="BB994" i="28" s="1"/>
  <c r="AT994" i="28"/>
  <c r="BA994" i="28" s="1"/>
  <c r="AX993" i="28"/>
  <c r="BE993" i="28" s="1"/>
  <c r="AW993" i="28"/>
  <c r="BD993" i="28" s="1"/>
  <c r="AV993" i="28"/>
  <c r="BC993" i="28" s="1"/>
  <c r="AU993" i="28"/>
  <c r="BB993" i="28" s="1"/>
  <c r="AT993" i="28"/>
  <c r="BA993" i="28" s="1"/>
  <c r="AX992" i="28"/>
  <c r="BE992" i="28" s="1"/>
  <c r="AW992" i="28"/>
  <c r="BD992" i="28" s="1"/>
  <c r="AV992" i="28"/>
  <c r="BC992" i="28" s="1"/>
  <c r="AU992" i="28"/>
  <c r="BB992" i="28" s="1"/>
  <c r="AT992" i="28"/>
  <c r="BA992" i="28" s="1"/>
  <c r="AX991" i="28"/>
  <c r="BE991" i="28" s="1"/>
  <c r="AW991" i="28"/>
  <c r="BD991" i="28" s="1"/>
  <c r="AV991" i="28"/>
  <c r="BC991" i="28" s="1"/>
  <c r="AU991" i="28"/>
  <c r="BB991" i="28" s="1"/>
  <c r="AT991" i="28"/>
  <c r="BA991" i="28" s="1"/>
  <c r="AX990" i="28"/>
  <c r="BE990" i="28" s="1"/>
  <c r="AW990" i="28"/>
  <c r="BD990" i="28" s="1"/>
  <c r="AV990" i="28"/>
  <c r="BC990" i="28" s="1"/>
  <c r="AU990" i="28"/>
  <c r="BB990" i="28" s="1"/>
  <c r="AT990" i="28"/>
  <c r="BA990" i="28" s="1"/>
  <c r="AY989" i="28"/>
  <c r="BF989" i="28" s="1"/>
  <c r="AX989" i="28"/>
  <c r="BE989" i="28" s="1"/>
  <c r="AW989" i="28"/>
  <c r="BD989" i="28" s="1"/>
  <c r="AV989" i="28"/>
  <c r="BC989" i="28" s="1"/>
  <c r="AU989" i="28"/>
  <c r="BB989" i="28" s="1"/>
  <c r="AT989" i="28"/>
  <c r="BA989" i="28" s="1"/>
  <c r="AY988" i="28"/>
  <c r="BF988" i="28" s="1"/>
  <c r="AX988" i="28"/>
  <c r="BE988" i="28" s="1"/>
  <c r="AW988" i="28"/>
  <c r="BD988" i="28" s="1"/>
  <c r="AV988" i="28"/>
  <c r="BC988" i="28" s="1"/>
  <c r="AU988" i="28"/>
  <c r="BB988" i="28" s="1"/>
  <c r="AT988" i="28"/>
  <c r="BA988" i="28" s="1"/>
  <c r="AY987" i="28"/>
  <c r="BF987" i="28" s="1"/>
  <c r="AX987" i="28"/>
  <c r="BE987" i="28" s="1"/>
  <c r="AW987" i="28"/>
  <c r="BD987" i="28" s="1"/>
  <c r="AV987" i="28"/>
  <c r="BC987" i="28" s="1"/>
  <c r="AU987" i="28"/>
  <c r="BB987" i="28" s="1"/>
  <c r="AT987" i="28"/>
  <c r="BA987" i="28" s="1"/>
  <c r="AY986" i="28"/>
  <c r="BF986" i="28" s="1"/>
  <c r="AX986" i="28"/>
  <c r="BE986" i="28" s="1"/>
  <c r="AW986" i="28"/>
  <c r="BD986" i="28" s="1"/>
  <c r="AV986" i="28"/>
  <c r="BC986" i="28" s="1"/>
  <c r="AU986" i="28"/>
  <c r="BB986" i="28" s="1"/>
  <c r="AT986" i="28"/>
  <c r="BA986" i="28" s="1"/>
  <c r="AX985" i="28"/>
  <c r="BE985" i="28" s="1"/>
  <c r="AW985" i="28"/>
  <c r="BD985" i="28" s="1"/>
  <c r="AV985" i="28"/>
  <c r="BC985" i="28" s="1"/>
  <c r="AU985" i="28"/>
  <c r="BB985" i="28" s="1"/>
  <c r="AT985" i="28"/>
  <c r="BA985" i="28" s="1"/>
  <c r="AX984" i="28"/>
  <c r="BE984" i="28" s="1"/>
  <c r="AW984" i="28"/>
  <c r="BD984" i="28" s="1"/>
  <c r="AV984" i="28"/>
  <c r="BC984" i="28" s="1"/>
  <c r="AU984" i="28"/>
  <c r="BB984" i="28" s="1"/>
  <c r="AT984" i="28"/>
  <c r="BA984" i="28" s="1"/>
  <c r="AX983" i="28"/>
  <c r="BE983" i="28" s="1"/>
  <c r="AW983" i="28"/>
  <c r="BD983" i="28" s="1"/>
  <c r="AV983" i="28"/>
  <c r="BC983" i="28" s="1"/>
  <c r="AU983" i="28"/>
  <c r="BB983" i="28" s="1"/>
  <c r="AT983" i="28"/>
  <c r="BA983" i="28" s="1"/>
  <c r="AX982" i="28"/>
  <c r="BE982" i="28" s="1"/>
  <c r="AW982" i="28"/>
  <c r="BD982" i="28" s="1"/>
  <c r="AV982" i="28"/>
  <c r="BC982" i="28" s="1"/>
  <c r="AU982" i="28"/>
  <c r="BB982" i="28" s="1"/>
  <c r="AT982" i="28"/>
  <c r="BA982" i="28" s="1"/>
  <c r="AY981" i="28"/>
  <c r="BF981" i="28" s="1"/>
  <c r="AX981" i="28"/>
  <c r="BE981" i="28" s="1"/>
  <c r="AW981" i="28"/>
  <c r="BD981" i="28" s="1"/>
  <c r="AV981" i="28"/>
  <c r="BC981" i="28" s="1"/>
  <c r="AU981" i="28"/>
  <c r="BB981" i="28" s="1"/>
  <c r="AT981" i="28"/>
  <c r="BA981" i="28" s="1"/>
  <c r="AY980" i="28"/>
  <c r="BF980" i="28" s="1"/>
  <c r="AX980" i="28"/>
  <c r="BE980" i="28" s="1"/>
  <c r="AW980" i="28"/>
  <c r="BD980" i="28" s="1"/>
  <c r="AV980" i="28"/>
  <c r="BC980" i="28" s="1"/>
  <c r="AU980" i="28"/>
  <c r="BB980" i="28" s="1"/>
  <c r="AT980" i="28"/>
  <c r="BA980" i="28" s="1"/>
  <c r="AY979" i="28"/>
  <c r="BF979" i="28" s="1"/>
  <c r="AX979" i="28"/>
  <c r="BE979" i="28" s="1"/>
  <c r="AW979" i="28"/>
  <c r="BD979" i="28" s="1"/>
  <c r="AV979" i="28"/>
  <c r="BC979" i="28" s="1"/>
  <c r="AU979" i="28"/>
  <c r="BB979" i="28" s="1"/>
  <c r="AT979" i="28"/>
  <c r="BA979" i="28" s="1"/>
  <c r="AY978" i="28"/>
  <c r="BF978" i="28" s="1"/>
  <c r="AX978" i="28"/>
  <c r="BE978" i="28" s="1"/>
  <c r="AW978" i="28"/>
  <c r="BD978" i="28" s="1"/>
  <c r="AV978" i="28"/>
  <c r="BC978" i="28" s="1"/>
  <c r="AU978" i="28"/>
  <c r="BB978" i="28" s="1"/>
  <c r="AT978" i="28"/>
  <c r="BA978" i="28" s="1"/>
  <c r="AY977" i="28"/>
  <c r="BF977" i="28" s="1"/>
  <c r="AX977" i="28"/>
  <c r="BE977" i="28" s="1"/>
  <c r="AW977" i="28"/>
  <c r="BD977" i="28" s="1"/>
  <c r="AV977" i="28"/>
  <c r="BC977" i="28" s="1"/>
  <c r="AU977" i="28"/>
  <c r="BB977" i="28" s="1"/>
  <c r="AT977" i="28"/>
  <c r="BA977" i="28" s="1"/>
  <c r="AX976" i="28"/>
  <c r="BE976" i="28" s="1"/>
  <c r="AW976" i="28"/>
  <c r="BD976" i="28" s="1"/>
  <c r="AV976" i="28"/>
  <c r="BC976" i="28" s="1"/>
  <c r="AU976" i="28"/>
  <c r="BB976" i="28" s="1"/>
  <c r="AT976" i="28"/>
  <c r="BA976" i="28" s="1"/>
  <c r="AX975" i="28"/>
  <c r="BE975" i="28" s="1"/>
  <c r="AW975" i="28"/>
  <c r="BD975" i="28" s="1"/>
  <c r="AV975" i="28"/>
  <c r="BC975" i="28" s="1"/>
  <c r="AU975" i="28"/>
  <c r="BB975" i="28" s="1"/>
  <c r="AT975" i="28"/>
  <c r="BA975" i="28" s="1"/>
  <c r="AX974" i="28"/>
  <c r="BE974" i="28" s="1"/>
  <c r="AW974" i="28"/>
  <c r="BD974" i="28" s="1"/>
  <c r="AV974" i="28"/>
  <c r="BC974" i="28" s="1"/>
  <c r="AU974" i="28"/>
  <c r="BB974" i="28" s="1"/>
  <c r="AT974" i="28"/>
  <c r="BA974" i="28" s="1"/>
  <c r="AY973" i="28"/>
  <c r="BF973" i="28" s="1"/>
  <c r="AX973" i="28"/>
  <c r="BE973" i="28" s="1"/>
  <c r="AW973" i="28"/>
  <c r="BD973" i="28" s="1"/>
  <c r="AV973" i="28"/>
  <c r="BC973" i="28" s="1"/>
  <c r="AU973" i="28"/>
  <c r="BB973" i="28" s="1"/>
  <c r="AT973" i="28"/>
  <c r="BA973" i="28" s="1"/>
  <c r="AY972" i="28"/>
  <c r="BF972" i="28" s="1"/>
  <c r="AX972" i="28"/>
  <c r="BE972" i="28" s="1"/>
  <c r="AW972" i="28"/>
  <c r="BD972" i="28" s="1"/>
  <c r="AV972" i="28"/>
  <c r="BC972" i="28" s="1"/>
  <c r="AU972" i="28"/>
  <c r="BB972" i="28" s="1"/>
  <c r="AT972" i="28"/>
  <c r="BA972" i="28" s="1"/>
  <c r="BF971" i="28"/>
  <c r="AX971" i="28"/>
  <c r="BE971" i="28" s="1"/>
  <c r="AW971" i="28"/>
  <c r="BD971" i="28" s="1"/>
  <c r="AV971" i="28"/>
  <c r="BC971" i="28" s="1"/>
  <c r="AU971" i="28"/>
  <c r="BB971" i="28" s="1"/>
  <c r="AT971" i="28"/>
  <c r="BA971" i="28" s="1"/>
  <c r="AY970" i="28"/>
  <c r="BF970" i="28" s="1"/>
  <c r="AX970" i="28"/>
  <c r="BE970" i="28" s="1"/>
  <c r="AW970" i="28"/>
  <c r="BD970" i="28" s="1"/>
  <c r="AV970" i="28"/>
  <c r="BC970" i="28" s="1"/>
  <c r="AU970" i="28"/>
  <c r="BB970" i="28" s="1"/>
  <c r="AT970" i="28"/>
  <c r="BA970" i="28" s="1"/>
  <c r="AX969" i="28"/>
  <c r="BE969" i="28" s="1"/>
  <c r="AW969" i="28"/>
  <c r="BD969" i="28" s="1"/>
  <c r="AV969" i="28"/>
  <c r="BC969" i="28" s="1"/>
  <c r="AU969" i="28"/>
  <c r="BB969" i="28" s="1"/>
  <c r="AT969" i="28"/>
  <c r="BA969" i="28" s="1"/>
  <c r="AX968" i="28"/>
  <c r="BE968" i="28" s="1"/>
  <c r="AW968" i="28"/>
  <c r="BD968" i="28" s="1"/>
  <c r="AV968" i="28"/>
  <c r="BC968" i="28" s="1"/>
  <c r="AU968" i="28"/>
  <c r="BB968" i="28" s="1"/>
  <c r="AT968" i="28"/>
  <c r="BA968" i="28" s="1"/>
  <c r="AX967" i="28"/>
  <c r="BE967" i="28" s="1"/>
  <c r="AW967" i="28"/>
  <c r="BD967" i="28" s="1"/>
  <c r="AV967" i="28"/>
  <c r="BC967" i="28" s="1"/>
  <c r="AU967" i="28"/>
  <c r="BB967" i="28" s="1"/>
  <c r="AT967" i="28"/>
  <c r="BA967" i="28" s="1"/>
  <c r="AX966" i="28"/>
  <c r="BE966" i="28" s="1"/>
  <c r="AW966" i="28"/>
  <c r="BD966" i="28" s="1"/>
  <c r="AV966" i="28"/>
  <c r="BC966" i="28" s="1"/>
  <c r="AU966" i="28"/>
  <c r="BB966" i="28" s="1"/>
  <c r="AT966" i="28"/>
  <c r="BA966" i="28" s="1"/>
  <c r="AY965" i="28"/>
  <c r="BF965" i="28" s="1"/>
  <c r="AX965" i="28"/>
  <c r="BE965" i="28" s="1"/>
  <c r="AW965" i="28"/>
  <c r="BD965" i="28" s="1"/>
  <c r="AV965" i="28"/>
  <c r="BC965" i="28" s="1"/>
  <c r="AU965" i="28"/>
  <c r="BB965" i="28" s="1"/>
  <c r="AT965" i="28"/>
  <c r="BA965" i="28" s="1"/>
  <c r="AY964" i="28"/>
  <c r="BF964" i="28" s="1"/>
  <c r="AX964" i="28"/>
  <c r="BE964" i="28" s="1"/>
  <c r="AW964" i="28"/>
  <c r="BD964" i="28" s="1"/>
  <c r="AV964" i="28"/>
  <c r="BC964" i="28" s="1"/>
  <c r="AU964" i="28"/>
  <c r="BB964" i="28" s="1"/>
  <c r="AT964" i="28"/>
  <c r="BA964" i="28" s="1"/>
  <c r="AX963" i="28"/>
  <c r="BE963" i="28" s="1"/>
  <c r="AW963" i="28"/>
  <c r="BD963" i="28" s="1"/>
  <c r="AV963" i="28"/>
  <c r="BC963" i="28" s="1"/>
  <c r="AU963" i="28"/>
  <c r="BB963" i="28" s="1"/>
  <c r="AT963" i="28"/>
  <c r="BA963" i="28" s="1"/>
  <c r="AY962" i="28"/>
  <c r="BF962" i="28" s="1"/>
  <c r="AX962" i="28"/>
  <c r="BE962" i="28" s="1"/>
  <c r="AW962" i="28"/>
  <c r="BD962" i="28" s="1"/>
  <c r="AV962" i="28"/>
  <c r="BC962" i="28" s="1"/>
  <c r="AU962" i="28"/>
  <c r="BB962" i="28" s="1"/>
  <c r="AT962" i="28"/>
  <c r="BA962" i="28" s="1"/>
  <c r="AX961" i="28"/>
  <c r="BE961" i="28" s="1"/>
  <c r="AW961" i="28"/>
  <c r="BD961" i="28" s="1"/>
  <c r="AV961" i="28"/>
  <c r="BC961" i="28" s="1"/>
  <c r="AU961" i="28"/>
  <c r="BB961" i="28" s="1"/>
  <c r="AT961" i="28"/>
  <c r="BA961" i="28" s="1"/>
  <c r="AX960" i="28"/>
  <c r="BE960" i="28" s="1"/>
  <c r="AW960" i="28"/>
  <c r="BD960" i="28" s="1"/>
  <c r="AV960" i="28"/>
  <c r="BC960" i="28" s="1"/>
  <c r="AU960" i="28"/>
  <c r="BB960" i="28" s="1"/>
  <c r="AT960" i="28"/>
  <c r="BA960" i="28" s="1"/>
  <c r="AX959" i="28"/>
  <c r="BE959" i="28" s="1"/>
  <c r="AW959" i="28"/>
  <c r="BD959" i="28" s="1"/>
  <c r="AV959" i="28"/>
  <c r="BC959" i="28" s="1"/>
  <c r="AU959" i="28"/>
  <c r="BB959" i="28" s="1"/>
  <c r="AT959" i="28"/>
  <c r="BA959" i="28" s="1"/>
  <c r="AY958" i="28"/>
  <c r="BF958" i="28" s="1"/>
  <c r="AX958" i="28"/>
  <c r="BE958" i="28" s="1"/>
  <c r="AW958" i="28"/>
  <c r="BD958" i="28" s="1"/>
  <c r="AV958" i="28"/>
  <c r="BC958" i="28" s="1"/>
  <c r="AU958" i="28"/>
  <c r="BB958" i="28" s="1"/>
  <c r="AT958" i="28"/>
  <c r="BA958" i="28" s="1"/>
  <c r="AY957" i="28"/>
  <c r="BF957" i="28" s="1"/>
  <c r="AX957" i="28"/>
  <c r="BE957" i="28" s="1"/>
  <c r="AW957" i="28"/>
  <c r="BD957" i="28" s="1"/>
  <c r="AV957" i="28"/>
  <c r="BC957" i="28" s="1"/>
  <c r="AU957" i="28"/>
  <c r="BB957" i="28" s="1"/>
  <c r="AT957" i="28"/>
  <c r="BA957" i="28" s="1"/>
  <c r="AY956" i="28"/>
  <c r="BF956" i="28" s="1"/>
  <c r="AX956" i="28"/>
  <c r="BE956" i="28" s="1"/>
  <c r="AW956" i="28"/>
  <c r="BD956" i="28" s="1"/>
  <c r="AV956" i="28"/>
  <c r="BC956" i="28" s="1"/>
  <c r="AU956" i="28"/>
  <c r="BB956" i="28" s="1"/>
  <c r="AT956" i="28"/>
  <c r="BA956" i="28" s="1"/>
  <c r="BF955" i="28"/>
  <c r="AX955" i="28"/>
  <c r="BE955" i="28" s="1"/>
  <c r="AW955" i="28"/>
  <c r="BD955" i="28" s="1"/>
  <c r="AV955" i="28"/>
  <c r="BC955" i="28" s="1"/>
  <c r="AU955" i="28"/>
  <c r="BB955" i="28" s="1"/>
  <c r="AT955" i="28"/>
  <c r="BA955" i="28" s="1"/>
  <c r="AY954" i="28"/>
  <c r="BF954" i="28" s="1"/>
  <c r="AX954" i="28"/>
  <c r="BE954" i="28" s="1"/>
  <c r="AW954" i="28"/>
  <c r="BD954" i="28" s="1"/>
  <c r="AV954" i="28"/>
  <c r="BC954" i="28" s="1"/>
  <c r="AU954" i="28"/>
  <c r="BB954" i="28" s="1"/>
  <c r="AT954" i="28"/>
  <c r="BA954" i="28" s="1"/>
  <c r="AY953" i="28"/>
  <c r="BF953" i="28" s="1"/>
  <c r="AX953" i="28"/>
  <c r="BE953" i="28" s="1"/>
  <c r="AW953" i="28"/>
  <c r="BD953" i="28" s="1"/>
  <c r="AV953" i="28"/>
  <c r="BC953" i="28" s="1"/>
  <c r="AU953" i="28"/>
  <c r="BB953" i="28" s="1"/>
  <c r="AT953" i="28"/>
  <c r="BA953" i="28" s="1"/>
  <c r="AX952" i="28"/>
  <c r="BE952" i="28" s="1"/>
  <c r="AW952" i="28"/>
  <c r="BD952" i="28" s="1"/>
  <c r="AV952" i="28"/>
  <c r="BC952" i="28" s="1"/>
  <c r="AU952" i="28"/>
  <c r="BB952" i="28" s="1"/>
  <c r="AT952" i="28"/>
  <c r="BA952" i="28" s="1"/>
  <c r="AX951" i="28"/>
  <c r="BE951" i="28" s="1"/>
  <c r="AW951" i="28"/>
  <c r="BD951" i="28" s="1"/>
  <c r="AV951" i="28"/>
  <c r="BC951" i="28" s="1"/>
  <c r="AU951" i="28"/>
  <c r="BB951" i="28" s="1"/>
  <c r="AT951" i="28"/>
  <c r="BA951" i="28" s="1"/>
  <c r="AX950" i="28"/>
  <c r="BE950" i="28" s="1"/>
  <c r="AW950" i="28"/>
  <c r="BD950" i="28" s="1"/>
  <c r="AV950" i="28"/>
  <c r="BC950" i="28" s="1"/>
  <c r="AU950" i="28"/>
  <c r="BB950" i="28" s="1"/>
  <c r="AT950" i="28"/>
  <c r="BA950" i="28" s="1"/>
  <c r="AY949" i="28"/>
  <c r="BF949" i="28" s="1"/>
  <c r="AX949" i="28"/>
  <c r="BE949" i="28" s="1"/>
  <c r="AW949" i="28"/>
  <c r="BD949" i="28" s="1"/>
  <c r="AV949" i="28"/>
  <c r="BC949" i="28" s="1"/>
  <c r="AU949" i="28"/>
  <c r="BB949" i="28" s="1"/>
  <c r="AT949" i="28"/>
  <c r="BA949" i="28" s="1"/>
  <c r="AY948" i="28"/>
  <c r="BF948" i="28" s="1"/>
  <c r="AX948" i="28"/>
  <c r="BE948" i="28" s="1"/>
  <c r="AW948" i="28"/>
  <c r="BD948" i="28" s="1"/>
  <c r="AV948" i="28"/>
  <c r="BC948" i="28" s="1"/>
  <c r="AU948" i="28"/>
  <c r="BB948" i="28" s="1"/>
  <c r="AT948" i="28"/>
  <c r="BA948" i="28" s="1"/>
  <c r="AY947" i="28"/>
  <c r="BF947" i="28" s="1"/>
  <c r="AX947" i="28"/>
  <c r="BE947" i="28" s="1"/>
  <c r="AW947" i="28"/>
  <c r="BD947" i="28" s="1"/>
  <c r="AV947" i="28"/>
  <c r="BC947" i="28" s="1"/>
  <c r="AU947" i="28"/>
  <c r="BB947" i="28" s="1"/>
  <c r="AT947" i="28"/>
  <c r="BA947" i="28" s="1"/>
  <c r="AY946" i="28"/>
  <c r="BF946" i="28" s="1"/>
  <c r="AX946" i="28"/>
  <c r="BE946" i="28" s="1"/>
  <c r="AW946" i="28"/>
  <c r="BD946" i="28" s="1"/>
  <c r="AV946" i="28"/>
  <c r="BC946" i="28" s="1"/>
  <c r="AU946" i="28"/>
  <c r="BB946" i="28" s="1"/>
  <c r="AT946" i="28"/>
  <c r="BA946" i="28" s="1"/>
  <c r="AY945" i="28"/>
  <c r="BF945" i="28" s="1"/>
  <c r="AX945" i="28"/>
  <c r="BE945" i="28" s="1"/>
  <c r="AW945" i="28"/>
  <c r="BD945" i="28" s="1"/>
  <c r="AV945" i="28"/>
  <c r="BC945" i="28" s="1"/>
  <c r="AU945" i="28"/>
  <c r="BB945" i="28" s="1"/>
  <c r="AT945" i="28"/>
  <c r="BA945" i="28" s="1"/>
  <c r="AX944" i="28"/>
  <c r="BE944" i="28" s="1"/>
  <c r="AW944" i="28"/>
  <c r="BD944" i="28" s="1"/>
  <c r="AV944" i="28"/>
  <c r="BC944" i="28" s="1"/>
  <c r="AU944" i="28"/>
  <c r="BB944" i="28" s="1"/>
  <c r="AT944" i="28"/>
  <c r="BA944" i="28" s="1"/>
  <c r="AY943" i="28"/>
  <c r="BF943" i="28" s="1"/>
  <c r="AX943" i="28"/>
  <c r="BE943" i="28" s="1"/>
  <c r="AW943" i="28"/>
  <c r="BD943" i="28" s="1"/>
  <c r="AV943" i="28"/>
  <c r="BC943" i="28" s="1"/>
  <c r="AU943" i="28"/>
  <c r="BB943" i="28" s="1"/>
  <c r="AT943" i="28"/>
  <c r="BA943" i="28" s="1"/>
  <c r="AX942" i="28"/>
  <c r="BE942" i="28" s="1"/>
  <c r="AW942" i="28"/>
  <c r="BD942" i="28" s="1"/>
  <c r="AV942" i="28"/>
  <c r="BC942" i="28" s="1"/>
  <c r="AU942" i="28"/>
  <c r="BB942" i="28" s="1"/>
  <c r="AT942" i="28"/>
  <c r="BA942" i="28" s="1"/>
  <c r="AY941" i="28"/>
  <c r="BF941" i="28" s="1"/>
  <c r="AX941" i="28"/>
  <c r="BE941" i="28" s="1"/>
  <c r="AW941" i="28"/>
  <c r="BD941" i="28" s="1"/>
  <c r="AV941" i="28"/>
  <c r="BC941" i="28" s="1"/>
  <c r="AU941" i="28"/>
  <c r="BB941" i="28" s="1"/>
  <c r="AT941" i="28"/>
  <c r="BA941" i="28" s="1"/>
  <c r="AY940" i="28"/>
  <c r="BF940" i="28" s="1"/>
  <c r="AX940" i="28"/>
  <c r="BE940" i="28" s="1"/>
  <c r="AW940" i="28"/>
  <c r="BD940" i="28" s="1"/>
  <c r="AV940" i="28"/>
  <c r="BC940" i="28" s="1"/>
  <c r="AU940" i="28"/>
  <c r="BB940" i="28" s="1"/>
  <c r="AT940" i="28"/>
  <c r="BA940" i="28" s="1"/>
  <c r="AX939" i="28"/>
  <c r="BE939" i="28" s="1"/>
  <c r="AW939" i="28"/>
  <c r="BD939" i="28" s="1"/>
  <c r="AV939" i="28"/>
  <c r="BC939" i="28" s="1"/>
  <c r="AU939" i="28"/>
  <c r="BB939" i="28" s="1"/>
  <c r="AT939" i="28"/>
  <c r="BA939" i="28" s="1"/>
  <c r="AY938" i="28"/>
  <c r="BF938" i="28" s="1"/>
  <c r="AX938" i="28"/>
  <c r="BE938" i="28" s="1"/>
  <c r="AW938" i="28"/>
  <c r="BD938" i="28" s="1"/>
  <c r="AV938" i="28"/>
  <c r="BC938" i="28" s="1"/>
  <c r="AU938" i="28"/>
  <c r="BB938" i="28" s="1"/>
  <c r="AT938" i="28"/>
  <c r="BA938" i="28" s="1"/>
  <c r="AX937" i="28"/>
  <c r="BE937" i="28" s="1"/>
  <c r="AW937" i="28"/>
  <c r="BD937" i="28" s="1"/>
  <c r="AV937" i="28"/>
  <c r="BC937" i="28" s="1"/>
  <c r="AU937" i="28"/>
  <c r="BB937" i="28" s="1"/>
  <c r="AT937" i="28"/>
  <c r="BA937" i="28" s="1"/>
  <c r="AX936" i="28"/>
  <c r="BE936" i="28" s="1"/>
  <c r="AW936" i="28"/>
  <c r="BD936" i="28" s="1"/>
  <c r="AV936" i="28"/>
  <c r="BC936" i="28" s="1"/>
  <c r="AU936" i="28"/>
  <c r="BB936" i="28" s="1"/>
  <c r="AT936" i="28"/>
  <c r="BA936" i="28" s="1"/>
  <c r="AX935" i="28"/>
  <c r="BE935" i="28" s="1"/>
  <c r="AW935" i="28"/>
  <c r="BD935" i="28" s="1"/>
  <c r="AV935" i="28"/>
  <c r="BC935" i="28" s="1"/>
  <c r="AU935" i="28"/>
  <c r="BB935" i="28" s="1"/>
  <c r="AT935" i="28"/>
  <c r="BA935" i="28" s="1"/>
  <c r="AX934" i="28"/>
  <c r="BE934" i="28" s="1"/>
  <c r="AW934" i="28"/>
  <c r="BD934" i="28" s="1"/>
  <c r="AV934" i="28"/>
  <c r="BC934" i="28" s="1"/>
  <c r="AU934" i="28"/>
  <c r="BB934" i="28" s="1"/>
  <c r="AT934" i="28"/>
  <c r="BA934" i="28" s="1"/>
  <c r="AY933" i="28"/>
  <c r="BF933" i="28" s="1"/>
  <c r="AX933" i="28"/>
  <c r="BE933" i="28" s="1"/>
  <c r="AW933" i="28"/>
  <c r="BD933" i="28" s="1"/>
  <c r="AV933" i="28"/>
  <c r="BC933" i="28" s="1"/>
  <c r="AU933" i="28"/>
  <c r="BB933" i="28" s="1"/>
  <c r="AT933" i="28"/>
  <c r="BA933" i="28" s="1"/>
  <c r="AY932" i="28"/>
  <c r="BF932" i="28" s="1"/>
  <c r="AX932" i="28"/>
  <c r="BE932" i="28" s="1"/>
  <c r="AW932" i="28"/>
  <c r="BD932" i="28" s="1"/>
  <c r="AV932" i="28"/>
  <c r="BC932" i="28" s="1"/>
  <c r="AU932" i="28"/>
  <c r="BB932" i="28" s="1"/>
  <c r="AT932" i="28"/>
  <c r="BA932" i="28" s="1"/>
  <c r="AY931" i="28"/>
  <c r="BF931" i="28" s="1"/>
  <c r="AX931" i="28"/>
  <c r="BE931" i="28" s="1"/>
  <c r="AW931" i="28"/>
  <c r="BD931" i="28" s="1"/>
  <c r="AV931" i="28"/>
  <c r="BC931" i="28" s="1"/>
  <c r="AU931" i="28"/>
  <c r="BB931" i="28" s="1"/>
  <c r="AT931" i="28"/>
  <c r="BA931" i="28" s="1"/>
  <c r="AY930" i="28"/>
  <c r="BF930" i="28" s="1"/>
  <c r="AX930" i="28"/>
  <c r="BE930" i="28" s="1"/>
  <c r="AW930" i="28"/>
  <c r="BD930" i="28" s="1"/>
  <c r="AV930" i="28"/>
  <c r="BC930" i="28" s="1"/>
  <c r="AU930" i="28"/>
  <c r="BB930" i="28" s="1"/>
  <c r="AT930" i="28"/>
  <c r="BA930" i="28" s="1"/>
  <c r="AY929" i="28"/>
  <c r="BF929" i="28" s="1"/>
  <c r="AX929" i="28"/>
  <c r="BE929" i="28" s="1"/>
  <c r="AW929" i="28"/>
  <c r="BD929" i="28" s="1"/>
  <c r="AV929" i="28"/>
  <c r="BC929" i="28" s="1"/>
  <c r="AU929" i="28"/>
  <c r="BB929" i="28" s="1"/>
  <c r="AT929" i="28"/>
  <c r="BA929" i="28" s="1"/>
  <c r="AX928" i="28"/>
  <c r="BE928" i="28" s="1"/>
  <c r="AW928" i="28"/>
  <c r="BD928" i="28" s="1"/>
  <c r="AV928" i="28"/>
  <c r="BC928" i="28" s="1"/>
  <c r="AU928" i="28"/>
  <c r="BB928" i="28" s="1"/>
  <c r="AT928" i="28"/>
  <c r="BA928" i="28" s="1"/>
  <c r="AY927" i="28"/>
  <c r="BF927" i="28" s="1"/>
  <c r="AX927" i="28"/>
  <c r="BE927" i="28" s="1"/>
  <c r="AW927" i="28"/>
  <c r="BD927" i="28" s="1"/>
  <c r="AV927" i="28"/>
  <c r="BC927" i="28" s="1"/>
  <c r="AU927" i="28"/>
  <c r="BB927" i="28" s="1"/>
  <c r="AT927" i="28"/>
  <c r="BA927" i="28" s="1"/>
  <c r="AX926" i="28"/>
  <c r="BE926" i="28" s="1"/>
  <c r="AW926" i="28"/>
  <c r="BD926" i="28" s="1"/>
  <c r="AV926" i="28"/>
  <c r="BC926" i="28" s="1"/>
  <c r="AU926" i="28"/>
  <c r="BB926" i="28" s="1"/>
  <c r="AT926" i="28"/>
  <c r="BA926" i="28" s="1"/>
  <c r="AY925" i="28"/>
  <c r="BF925" i="28" s="1"/>
  <c r="AX925" i="28"/>
  <c r="BE925" i="28" s="1"/>
  <c r="AW925" i="28"/>
  <c r="BD925" i="28" s="1"/>
  <c r="AV925" i="28"/>
  <c r="BC925" i="28" s="1"/>
  <c r="AU925" i="28"/>
  <c r="BB925" i="28" s="1"/>
  <c r="AT925" i="28"/>
  <c r="BA925" i="28" s="1"/>
  <c r="AY924" i="28"/>
  <c r="BF924" i="28" s="1"/>
  <c r="AX924" i="28"/>
  <c r="BE924" i="28" s="1"/>
  <c r="AW924" i="28"/>
  <c r="BD924" i="28" s="1"/>
  <c r="AV924" i="28"/>
  <c r="BC924" i="28" s="1"/>
  <c r="AU924" i="28"/>
  <c r="BB924" i="28" s="1"/>
  <c r="AT924" i="28"/>
  <c r="BA924" i="28" s="1"/>
  <c r="AX923" i="28"/>
  <c r="BE923" i="28" s="1"/>
  <c r="AW923" i="28"/>
  <c r="BD923" i="28" s="1"/>
  <c r="AV923" i="28"/>
  <c r="BC923" i="28" s="1"/>
  <c r="AU923" i="28"/>
  <c r="BB923" i="28" s="1"/>
  <c r="AT923" i="28"/>
  <c r="BA923" i="28" s="1"/>
  <c r="AY922" i="28"/>
  <c r="BF922" i="28" s="1"/>
  <c r="AX922" i="28"/>
  <c r="BE922" i="28" s="1"/>
  <c r="AW922" i="28"/>
  <c r="BD922" i="28" s="1"/>
  <c r="AV922" i="28"/>
  <c r="BC922" i="28" s="1"/>
  <c r="AU922" i="28"/>
  <c r="BB922" i="28" s="1"/>
  <c r="AT922" i="28"/>
  <c r="BA922" i="28" s="1"/>
  <c r="AY921" i="28"/>
  <c r="BF921" i="28" s="1"/>
  <c r="AX921" i="28"/>
  <c r="BE921" i="28" s="1"/>
  <c r="AW921" i="28"/>
  <c r="BD921" i="28" s="1"/>
  <c r="AV921" i="28"/>
  <c r="BC921" i="28" s="1"/>
  <c r="AU921" i="28"/>
  <c r="BB921" i="28" s="1"/>
  <c r="AT921" i="28"/>
  <c r="BA921" i="28" s="1"/>
  <c r="AX920" i="28"/>
  <c r="BE920" i="28" s="1"/>
  <c r="AW920" i="28"/>
  <c r="BD920" i="28" s="1"/>
  <c r="AV920" i="28"/>
  <c r="BC920" i="28" s="1"/>
  <c r="AU920" i="28"/>
  <c r="BB920" i="28" s="1"/>
  <c r="AT920" i="28"/>
  <c r="BA920" i="28" s="1"/>
  <c r="AY919" i="28"/>
  <c r="BF919" i="28" s="1"/>
  <c r="AX919" i="28"/>
  <c r="BE919" i="28" s="1"/>
  <c r="AW919" i="28"/>
  <c r="BD919" i="28" s="1"/>
  <c r="AV919" i="28"/>
  <c r="BC919" i="28" s="1"/>
  <c r="AU919" i="28"/>
  <c r="BB919" i="28" s="1"/>
  <c r="AT919" i="28"/>
  <c r="BA919" i="28" s="1"/>
  <c r="AX918" i="28"/>
  <c r="BE918" i="28" s="1"/>
  <c r="AW918" i="28"/>
  <c r="BD918" i="28" s="1"/>
  <c r="AV918" i="28"/>
  <c r="BC918" i="28" s="1"/>
  <c r="AU918" i="28"/>
  <c r="BB918" i="28" s="1"/>
  <c r="AT918" i="28"/>
  <c r="BA918" i="28" s="1"/>
  <c r="AY917" i="28"/>
  <c r="BF917" i="28" s="1"/>
  <c r="AX917" i="28"/>
  <c r="BE917" i="28" s="1"/>
  <c r="AW917" i="28"/>
  <c r="BD917" i="28" s="1"/>
  <c r="AV917" i="28"/>
  <c r="BC917" i="28" s="1"/>
  <c r="AU917" i="28"/>
  <c r="BB917" i="28" s="1"/>
  <c r="AT917" i="28"/>
  <c r="BA917" i="28" s="1"/>
  <c r="AY916" i="28"/>
  <c r="BF916" i="28" s="1"/>
  <c r="AX916" i="28"/>
  <c r="BE916" i="28" s="1"/>
  <c r="AW916" i="28"/>
  <c r="BD916" i="28" s="1"/>
  <c r="AV916" i="28"/>
  <c r="BC916" i="28" s="1"/>
  <c r="AU916" i="28"/>
  <c r="BB916" i="28" s="1"/>
  <c r="AT916" i="28"/>
  <c r="BA916" i="28" s="1"/>
  <c r="AX915" i="28"/>
  <c r="BE915" i="28" s="1"/>
  <c r="AW915" i="28"/>
  <c r="BD915" i="28" s="1"/>
  <c r="AV915" i="28"/>
  <c r="BC915" i="28" s="1"/>
  <c r="AU915" i="28"/>
  <c r="BB915" i="28" s="1"/>
  <c r="AT915" i="28"/>
  <c r="BA915" i="28" s="1"/>
  <c r="AY914" i="28"/>
  <c r="BF914" i="28" s="1"/>
  <c r="AX914" i="28"/>
  <c r="BE914" i="28" s="1"/>
  <c r="AW914" i="28"/>
  <c r="BD914" i="28" s="1"/>
  <c r="AV914" i="28"/>
  <c r="BC914" i="28" s="1"/>
  <c r="AU914" i="28"/>
  <c r="BB914" i="28" s="1"/>
  <c r="AT914" i="28"/>
  <c r="BA914" i="28" s="1"/>
  <c r="AY913" i="28"/>
  <c r="BF913" i="28" s="1"/>
  <c r="AX913" i="28"/>
  <c r="BE913" i="28" s="1"/>
  <c r="AW913" i="28"/>
  <c r="BD913" i="28" s="1"/>
  <c r="AV913" i="28"/>
  <c r="BC913" i="28" s="1"/>
  <c r="AU913" i="28"/>
  <c r="BB913" i="28" s="1"/>
  <c r="AT913" i="28"/>
  <c r="BA913" i="28" s="1"/>
  <c r="AX912" i="28"/>
  <c r="BE912" i="28" s="1"/>
  <c r="AW912" i="28"/>
  <c r="BD912" i="28" s="1"/>
  <c r="AV912" i="28"/>
  <c r="BC912" i="28" s="1"/>
  <c r="AU912" i="28"/>
  <c r="BB912" i="28" s="1"/>
  <c r="AT912" i="28"/>
  <c r="BA912" i="28" s="1"/>
  <c r="AY911" i="28"/>
  <c r="BF911" i="28" s="1"/>
  <c r="AX911" i="28"/>
  <c r="BE911" i="28" s="1"/>
  <c r="AW911" i="28"/>
  <c r="BD911" i="28" s="1"/>
  <c r="AV911" i="28"/>
  <c r="BC911" i="28" s="1"/>
  <c r="AU911" i="28"/>
  <c r="BB911" i="28" s="1"/>
  <c r="AT911" i="28"/>
  <c r="BA911" i="28" s="1"/>
  <c r="AX910" i="28"/>
  <c r="BE910" i="28" s="1"/>
  <c r="AW910" i="28"/>
  <c r="BD910" i="28" s="1"/>
  <c r="AV910" i="28"/>
  <c r="BC910" i="28" s="1"/>
  <c r="AU910" i="28"/>
  <c r="BB910" i="28" s="1"/>
  <c r="AT910" i="28"/>
  <c r="BA910" i="28" s="1"/>
  <c r="AY909" i="28"/>
  <c r="BF909" i="28" s="1"/>
  <c r="AX909" i="28"/>
  <c r="BE909" i="28" s="1"/>
  <c r="AW909" i="28"/>
  <c r="BD909" i="28" s="1"/>
  <c r="AV909" i="28"/>
  <c r="BC909" i="28" s="1"/>
  <c r="AU909" i="28"/>
  <c r="BB909" i="28" s="1"/>
  <c r="AT909" i="28"/>
  <c r="BA909" i="28" s="1"/>
  <c r="AY908" i="28"/>
  <c r="BF908" i="28" s="1"/>
  <c r="AX908" i="28"/>
  <c r="BE908" i="28" s="1"/>
  <c r="AW908" i="28"/>
  <c r="BD908" i="28" s="1"/>
  <c r="AV908" i="28"/>
  <c r="BC908" i="28" s="1"/>
  <c r="AU908" i="28"/>
  <c r="BB908" i="28" s="1"/>
  <c r="AT908" i="28"/>
  <c r="BA908" i="28" s="1"/>
  <c r="AY907" i="28"/>
  <c r="BF907" i="28" s="1"/>
  <c r="AX907" i="28"/>
  <c r="BE907" i="28" s="1"/>
  <c r="AW907" i="28"/>
  <c r="BD907" i="28" s="1"/>
  <c r="AV907" i="28"/>
  <c r="BC907" i="28" s="1"/>
  <c r="AU907" i="28"/>
  <c r="BB907" i="28" s="1"/>
  <c r="AT907" i="28"/>
  <c r="BA907" i="28" s="1"/>
  <c r="AY906" i="28"/>
  <c r="BF906" i="28" s="1"/>
  <c r="AX906" i="28"/>
  <c r="BE906" i="28" s="1"/>
  <c r="AW906" i="28"/>
  <c r="BD906" i="28" s="1"/>
  <c r="AV906" i="28"/>
  <c r="BC906" i="28" s="1"/>
  <c r="AU906" i="28"/>
  <c r="BB906" i="28" s="1"/>
  <c r="AT906" i="28"/>
  <c r="BA906" i="28" s="1"/>
  <c r="AX905" i="28"/>
  <c r="BE905" i="28" s="1"/>
  <c r="AW905" i="28"/>
  <c r="BD905" i="28" s="1"/>
  <c r="AV905" i="28"/>
  <c r="BC905" i="28" s="1"/>
  <c r="AU905" i="28"/>
  <c r="BB905" i="28" s="1"/>
  <c r="AT905" i="28"/>
  <c r="BA905" i="28" s="1"/>
  <c r="AX904" i="28"/>
  <c r="BE904" i="28" s="1"/>
  <c r="AW904" i="28"/>
  <c r="BD904" i="28" s="1"/>
  <c r="AV904" i="28"/>
  <c r="BC904" i="28" s="1"/>
  <c r="AU904" i="28"/>
  <c r="BB904" i="28" s="1"/>
  <c r="AT904" i="28"/>
  <c r="BA904" i="28" s="1"/>
  <c r="AX903" i="28"/>
  <c r="BE903" i="28" s="1"/>
  <c r="AW903" i="28"/>
  <c r="BD903" i="28" s="1"/>
  <c r="AV903" i="28"/>
  <c r="BC903" i="28" s="1"/>
  <c r="AU903" i="28"/>
  <c r="BB903" i="28" s="1"/>
  <c r="AT903" i="28"/>
  <c r="BA903" i="28" s="1"/>
  <c r="AX902" i="28"/>
  <c r="BE902" i="28" s="1"/>
  <c r="AW902" i="28"/>
  <c r="BD902" i="28" s="1"/>
  <c r="AV902" i="28"/>
  <c r="BC902" i="28" s="1"/>
  <c r="AU902" i="28"/>
  <c r="BB902" i="28" s="1"/>
  <c r="AT902" i="28"/>
  <c r="BA902" i="28" s="1"/>
  <c r="AY901" i="28"/>
  <c r="BF901" i="28" s="1"/>
  <c r="AX901" i="28"/>
  <c r="BE901" i="28" s="1"/>
  <c r="AW901" i="28"/>
  <c r="BD901" i="28" s="1"/>
  <c r="AV901" i="28"/>
  <c r="BC901" i="28" s="1"/>
  <c r="AU901" i="28"/>
  <c r="BB901" i="28" s="1"/>
  <c r="AT901" i="28"/>
  <c r="BA901" i="28" s="1"/>
  <c r="AY900" i="28"/>
  <c r="BF900" i="28" s="1"/>
  <c r="AX900" i="28"/>
  <c r="BE900" i="28" s="1"/>
  <c r="AW900" i="28"/>
  <c r="BD900" i="28" s="1"/>
  <c r="AV900" i="28"/>
  <c r="BC900" i="28" s="1"/>
  <c r="AU900" i="28"/>
  <c r="BB900" i="28" s="1"/>
  <c r="AT900" i="28"/>
  <c r="BA900" i="28" s="1"/>
  <c r="AX899" i="28"/>
  <c r="BE899" i="28" s="1"/>
  <c r="AW899" i="28"/>
  <c r="BD899" i="28" s="1"/>
  <c r="AV899" i="28"/>
  <c r="BC899" i="28" s="1"/>
  <c r="AU899" i="28"/>
  <c r="BB899" i="28" s="1"/>
  <c r="AT899" i="28"/>
  <c r="BA899" i="28" s="1"/>
  <c r="AY898" i="28"/>
  <c r="BF898" i="28" s="1"/>
  <c r="AX898" i="28"/>
  <c r="BE898" i="28" s="1"/>
  <c r="AW898" i="28"/>
  <c r="BD898" i="28" s="1"/>
  <c r="AV898" i="28"/>
  <c r="BC898" i="28" s="1"/>
  <c r="AU898" i="28"/>
  <c r="BB898" i="28" s="1"/>
  <c r="AT898" i="28"/>
  <c r="BA898" i="28" s="1"/>
  <c r="AX897" i="28"/>
  <c r="BE897" i="28" s="1"/>
  <c r="AW897" i="28"/>
  <c r="BD897" i="28" s="1"/>
  <c r="AV897" i="28"/>
  <c r="BC897" i="28" s="1"/>
  <c r="AU897" i="28"/>
  <c r="BB897" i="28" s="1"/>
  <c r="AT897" i="28"/>
  <c r="BA897" i="28" s="1"/>
  <c r="AX896" i="28"/>
  <c r="BE896" i="28" s="1"/>
  <c r="AW896" i="28"/>
  <c r="BD896" i="28" s="1"/>
  <c r="AV896" i="28"/>
  <c r="BC896" i="28" s="1"/>
  <c r="AU896" i="28"/>
  <c r="BB896" i="28" s="1"/>
  <c r="AT896" i="28"/>
  <c r="BA896" i="28" s="1"/>
  <c r="AY895" i="28"/>
  <c r="BF895" i="28" s="1"/>
  <c r="AX895" i="28"/>
  <c r="BE895" i="28" s="1"/>
  <c r="AW895" i="28"/>
  <c r="BD895" i="28" s="1"/>
  <c r="AV895" i="28"/>
  <c r="BC895" i="28" s="1"/>
  <c r="AU895" i="28"/>
  <c r="BB895" i="28" s="1"/>
  <c r="AT895" i="28"/>
  <c r="BA895" i="28" s="1"/>
  <c r="AX894" i="28"/>
  <c r="BE894" i="28" s="1"/>
  <c r="AW894" i="28"/>
  <c r="BD894" i="28" s="1"/>
  <c r="AV894" i="28"/>
  <c r="BC894" i="28" s="1"/>
  <c r="AU894" i="28"/>
  <c r="BB894" i="28" s="1"/>
  <c r="AT894" i="28"/>
  <c r="BA894" i="28" s="1"/>
  <c r="AY893" i="28"/>
  <c r="BF893" i="28" s="1"/>
  <c r="AX893" i="28"/>
  <c r="BE893" i="28" s="1"/>
  <c r="AW893" i="28"/>
  <c r="BD893" i="28" s="1"/>
  <c r="AV893" i="28"/>
  <c r="BC893" i="28" s="1"/>
  <c r="AU893" i="28"/>
  <c r="BB893" i="28" s="1"/>
  <c r="AT893" i="28"/>
  <c r="BA893" i="28" s="1"/>
  <c r="AY892" i="28"/>
  <c r="BF892" i="28" s="1"/>
  <c r="AX892" i="28"/>
  <c r="BE892" i="28" s="1"/>
  <c r="AW892" i="28"/>
  <c r="BD892" i="28" s="1"/>
  <c r="AV892" i="28"/>
  <c r="BC892" i="28" s="1"/>
  <c r="AU892" i="28"/>
  <c r="BB892" i="28" s="1"/>
  <c r="AT892" i="28"/>
  <c r="BA892" i="28" s="1"/>
  <c r="AY891" i="28"/>
  <c r="BF891" i="28" s="1"/>
  <c r="AX891" i="28"/>
  <c r="BE891" i="28" s="1"/>
  <c r="AW891" i="28"/>
  <c r="BD891" i="28" s="1"/>
  <c r="AV891" i="28"/>
  <c r="BC891" i="28" s="1"/>
  <c r="AU891" i="28"/>
  <c r="BB891" i="28" s="1"/>
  <c r="AT891" i="28"/>
  <c r="BA891" i="28" s="1"/>
  <c r="AY890" i="28"/>
  <c r="BF890" i="28" s="1"/>
  <c r="AX890" i="28"/>
  <c r="BE890" i="28" s="1"/>
  <c r="AW890" i="28"/>
  <c r="BD890" i="28" s="1"/>
  <c r="AV890" i="28"/>
  <c r="BC890" i="28" s="1"/>
  <c r="AU890" i="28"/>
  <c r="BB890" i="28" s="1"/>
  <c r="AT890" i="28"/>
  <c r="BA890" i="28" s="1"/>
  <c r="AY889" i="28"/>
  <c r="BF889" i="28" s="1"/>
  <c r="AX889" i="28"/>
  <c r="BE889" i="28" s="1"/>
  <c r="AW889" i="28"/>
  <c r="BD889" i="28" s="1"/>
  <c r="AV889" i="28"/>
  <c r="BC889" i="28" s="1"/>
  <c r="AU889" i="28"/>
  <c r="BB889" i="28" s="1"/>
  <c r="AT889" i="28"/>
  <c r="BA889" i="28" s="1"/>
  <c r="AX888" i="28"/>
  <c r="BE888" i="28" s="1"/>
  <c r="AW888" i="28"/>
  <c r="BD888" i="28" s="1"/>
  <c r="AV888" i="28"/>
  <c r="BC888" i="28" s="1"/>
  <c r="AU888" i="28"/>
  <c r="BB888" i="28" s="1"/>
  <c r="AT888" i="28"/>
  <c r="BA888" i="28" s="1"/>
  <c r="AX887" i="28"/>
  <c r="BE887" i="28" s="1"/>
  <c r="AW887" i="28"/>
  <c r="BD887" i="28" s="1"/>
  <c r="AV887" i="28"/>
  <c r="BC887" i="28" s="1"/>
  <c r="AU887" i="28"/>
  <c r="BB887" i="28" s="1"/>
  <c r="AT887" i="28"/>
  <c r="BA887" i="28" s="1"/>
  <c r="AX886" i="28"/>
  <c r="BE886" i="28" s="1"/>
  <c r="AW886" i="28"/>
  <c r="BD886" i="28" s="1"/>
  <c r="AV886" i="28"/>
  <c r="BC886" i="28" s="1"/>
  <c r="AU886" i="28"/>
  <c r="BB886" i="28" s="1"/>
  <c r="AT886" i="28"/>
  <c r="BA886" i="28" s="1"/>
  <c r="AY885" i="28"/>
  <c r="BF885" i="28" s="1"/>
  <c r="AX885" i="28"/>
  <c r="BE885" i="28" s="1"/>
  <c r="AW885" i="28"/>
  <c r="BD885" i="28" s="1"/>
  <c r="AV885" i="28"/>
  <c r="BC885" i="28" s="1"/>
  <c r="AU885" i="28"/>
  <c r="BB885" i="28" s="1"/>
  <c r="AT885" i="28"/>
  <c r="BA885" i="28" s="1"/>
  <c r="AY884" i="28"/>
  <c r="BF884" i="28" s="1"/>
  <c r="AX884" i="28"/>
  <c r="BE884" i="28" s="1"/>
  <c r="AW884" i="28"/>
  <c r="BD884" i="28" s="1"/>
  <c r="AV884" i="28"/>
  <c r="BC884" i="28" s="1"/>
  <c r="AU884" i="28"/>
  <c r="BB884" i="28" s="1"/>
  <c r="AT884" i="28"/>
  <c r="BA884" i="28" s="1"/>
  <c r="AY883" i="28"/>
  <c r="BF883" i="28" s="1"/>
  <c r="AX883" i="28"/>
  <c r="BE883" i="28" s="1"/>
  <c r="AW883" i="28"/>
  <c r="BD883" i="28" s="1"/>
  <c r="AV883" i="28"/>
  <c r="BC883" i="28" s="1"/>
  <c r="AU883" i="28"/>
  <c r="BB883" i="28" s="1"/>
  <c r="AT883" i="28"/>
  <c r="BA883" i="28" s="1"/>
  <c r="AY882" i="28"/>
  <c r="BF882" i="28" s="1"/>
  <c r="AX882" i="28"/>
  <c r="BE882" i="28" s="1"/>
  <c r="AW882" i="28"/>
  <c r="BD882" i="28" s="1"/>
  <c r="AV882" i="28"/>
  <c r="BC882" i="28" s="1"/>
  <c r="AU882" i="28"/>
  <c r="BB882" i="28" s="1"/>
  <c r="AT882" i="28"/>
  <c r="BA882" i="28" s="1"/>
  <c r="AY881" i="28"/>
  <c r="BF881" i="28" s="1"/>
  <c r="AX881" i="28"/>
  <c r="BE881" i="28" s="1"/>
  <c r="AW881" i="28"/>
  <c r="BD881" i="28" s="1"/>
  <c r="AV881" i="28"/>
  <c r="BC881" i="28" s="1"/>
  <c r="AU881" i="28"/>
  <c r="BB881" i="28" s="1"/>
  <c r="AT881" i="28"/>
  <c r="BA881" i="28" s="1"/>
  <c r="AX880" i="28"/>
  <c r="BE880" i="28" s="1"/>
  <c r="AW880" i="28"/>
  <c r="BD880" i="28" s="1"/>
  <c r="AV880" i="28"/>
  <c r="BC880" i="28" s="1"/>
  <c r="AU880" i="28"/>
  <c r="BB880" i="28" s="1"/>
  <c r="AT880" i="28"/>
  <c r="BA880" i="28" s="1"/>
  <c r="AX879" i="28"/>
  <c r="BE879" i="28" s="1"/>
  <c r="AW879" i="28"/>
  <c r="BD879" i="28" s="1"/>
  <c r="AV879" i="28"/>
  <c r="BC879" i="28" s="1"/>
  <c r="AU879" i="28"/>
  <c r="BB879" i="28" s="1"/>
  <c r="AT879" i="28"/>
  <c r="BA879" i="28" s="1"/>
  <c r="AX878" i="28"/>
  <c r="BE878" i="28" s="1"/>
  <c r="AW878" i="28"/>
  <c r="BD878" i="28" s="1"/>
  <c r="AV878" i="28"/>
  <c r="BC878" i="28" s="1"/>
  <c r="AU878" i="28"/>
  <c r="BB878" i="28" s="1"/>
  <c r="AT878" i="28"/>
  <c r="BA878" i="28" s="1"/>
  <c r="AY877" i="28"/>
  <c r="BF877" i="28" s="1"/>
  <c r="AX877" i="28"/>
  <c r="BE877" i="28" s="1"/>
  <c r="AW877" i="28"/>
  <c r="BD877" i="28" s="1"/>
  <c r="AV877" i="28"/>
  <c r="BC877" i="28" s="1"/>
  <c r="AU877" i="28"/>
  <c r="BB877" i="28" s="1"/>
  <c r="AT877" i="28"/>
  <c r="BA877" i="28" s="1"/>
  <c r="AY876" i="28"/>
  <c r="BF876" i="28" s="1"/>
  <c r="AX876" i="28"/>
  <c r="BE876" i="28" s="1"/>
  <c r="AW876" i="28"/>
  <c r="BD876" i="28" s="1"/>
  <c r="AV876" i="28"/>
  <c r="BC876" i="28" s="1"/>
  <c r="AU876" i="28"/>
  <c r="BB876" i="28" s="1"/>
  <c r="AT876" i="28"/>
  <c r="BA876" i="28" s="1"/>
  <c r="AY875" i="28"/>
  <c r="BF875" i="28" s="1"/>
  <c r="AX875" i="28"/>
  <c r="BE875" i="28" s="1"/>
  <c r="AW875" i="28"/>
  <c r="BD875" i="28" s="1"/>
  <c r="AV875" i="28"/>
  <c r="BC875" i="28" s="1"/>
  <c r="AU875" i="28"/>
  <c r="BB875" i="28" s="1"/>
  <c r="AT875" i="28"/>
  <c r="BA875" i="28" s="1"/>
  <c r="AY874" i="28"/>
  <c r="BF874" i="28" s="1"/>
  <c r="AX874" i="28"/>
  <c r="BE874" i="28" s="1"/>
  <c r="AW874" i="28"/>
  <c r="BD874" i="28" s="1"/>
  <c r="AV874" i="28"/>
  <c r="BC874" i="28" s="1"/>
  <c r="AU874" i="28"/>
  <c r="BB874" i="28" s="1"/>
  <c r="AT874" i="28"/>
  <c r="BA874" i="28" s="1"/>
  <c r="AX873" i="28"/>
  <c r="BE873" i="28" s="1"/>
  <c r="AW873" i="28"/>
  <c r="BD873" i="28" s="1"/>
  <c r="AV873" i="28"/>
  <c r="BC873" i="28" s="1"/>
  <c r="AU873" i="28"/>
  <c r="BB873" i="28" s="1"/>
  <c r="AT873" i="28"/>
  <c r="BA873" i="28" s="1"/>
  <c r="AX872" i="28"/>
  <c r="BE872" i="28" s="1"/>
  <c r="AW872" i="28"/>
  <c r="BD872" i="28" s="1"/>
  <c r="AV872" i="28"/>
  <c r="BC872" i="28" s="1"/>
  <c r="AU872" i="28"/>
  <c r="BB872" i="28" s="1"/>
  <c r="AT872" i="28"/>
  <c r="BA872" i="28" s="1"/>
  <c r="AY871" i="28"/>
  <c r="BF871" i="28" s="1"/>
  <c r="AX871" i="28"/>
  <c r="BE871" i="28" s="1"/>
  <c r="AW871" i="28"/>
  <c r="BD871" i="28" s="1"/>
  <c r="AV871" i="28"/>
  <c r="BC871" i="28" s="1"/>
  <c r="AU871" i="28"/>
  <c r="BB871" i="28" s="1"/>
  <c r="AT871" i="28"/>
  <c r="BA871" i="28" s="1"/>
  <c r="AX870" i="28"/>
  <c r="BE870" i="28" s="1"/>
  <c r="AW870" i="28"/>
  <c r="BD870" i="28" s="1"/>
  <c r="AV870" i="28"/>
  <c r="BC870" i="28" s="1"/>
  <c r="AU870" i="28"/>
  <c r="BB870" i="28" s="1"/>
  <c r="AT870" i="28"/>
  <c r="BA870" i="28" s="1"/>
  <c r="AY869" i="28"/>
  <c r="BF869" i="28" s="1"/>
  <c r="AX869" i="28"/>
  <c r="BE869" i="28" s="1"/>
  <c r="AW869" i="28"/>
  <c r="BD869" i="28" s="1"/>
  <c r="AV869" i="28"/>
  <c r="BC869" i="28" s="1"/>
  <c r="AU869" i="28"/>
  <c r="BB869" i="28" s="1"/>
  <c r="AT869" i="28"/>
  <c r="BA869" i="28" s="1"/>
  <c r="AY868" i="28"/>
  <c r="BF868" i="28" s="1"/>
  <c r="AX868" i="28"/>
  <c r="BE868" i="28" s="1"/>
  <c r="AW868" i="28"/>
  <c r="BD868" i="28" s="1"/>
  <c r="AV868" i="28"/>
  <c r="BC868" i="28" s="1"/>
  <c r="AU868" i="28"/>
  <c r="BB868" i="28" s="1"/>
  <c r="AT868" i="28"/>
  <c r="BA868" i="28" s="1"/>
  <c r="AX867" i="28"/>
  <c r="BE867" i="28" s="1"/>
  <c r="AW867" i="28"/>
  <c r="BD867" i="28" s="1"/>
  <c r="AV867" i="28"/>
  <c r="BC867" i="28" s="1"/>
  <c r="AU867" i="28"/>
  <c r="BB867" i="28" s="1"/>
  <c r="AT867" i="28"/>
  <c r="BA867" i="28" s="1"/>
  <c r="AY866" i="28"/>
  <c r="BF866" i="28" s="1"/>
  <c r="AX866" i="28"/>
  <c r="BE866" i="28" s="1"/>
  <c r="AW866" i="28"/>
  <c r="BD866" i="28" s="1"/>
  <c r="AV866" i="28"/>
  <c r="BC866" i="28" s="1"/>
  <c r="AU866" i="28"/>
  <c r="BB866" i="28" s="1"/>
  <c r="AT866" i="28"/>
  <c r="BA866" i="28" s="1"/>
  <c r="AY865" i="28"/>
  <c r="BF865" i="28" s="1"/>
  <c r="AX865" i="28"/>
  <c r="BE865" i="28" s="1"/>
  <c r="AW865" i="28"/>
  <c r="BD865" i="28" s="1"/>
  <c r="AV865" i="28"/>
  <c r="BC865" i="28" s="1"/>
  <c r="AU865" i="28"/>
  <c r="BB865" i="28" s="1"/>
  <c r="AT865" i="28"/>
  <c r="BA865" i="28" s="1"/>
  <c r="AX864" i="28"/>
  <c r="BE864" i="28" s="1"/>
  <c r="AW864" i="28"/>
  <c r="BD864" i="28" s="1"/>
  <c r="AV864" i="28"/>
  <c r="BC864" i="28" s="1"/>
  <c r="AU864" i="28"/>
  <c r="BB864" i="28" s="1"/>
  <c r="AT864" i="28"/>
  <c r="BA864" i="28" s="1"/>
  <c r="AX863" i="28"/>
  <c r="BE863" i="28" s="1"/>
  <c r="AW863" i="28"/>
  <c r="BD863" i="28" s="1"/>
  <c r="AV863" i="28"/>
  <c r="BC863" i="28" s="1"/>
  <c r="AU863" i="28"/>
  <c r="BB863" i="28" s="1"/>
  <c r="AT863" i="28"/>
  <c r="BA863" i="28" s="1"/>
  <c r="AX862" i="28"/>
  <c r="BE862" i="28" s="1"/>
  <c r="AW862" i="28"/>
  <c r="BD862" i="28" s="1"/>
  <c r="AV862" i="28"/>
  <c r="BC862" i="28" s="1"/>
  <c r="AU862" i="28"/>
  <c r="BB862" i="28" s="1"/>
  <c r="AT862" i="28"/>
  <c r="BA862" i="28" s="1"/>
  <c r="AY861" i="28"/>
  <c r="BF861" i="28" s="1"/>
  <c r="AX861" i="28"/>
  <c r="BE861" i="28" s="1"/>
  <c r="AW861" i="28"/>
  <c r="BD861" i="28" s="1"/>
  <c r="AV861" i="28"/>
  <c r="BC861" i="28" s="1"/>
  <c r="AU861" i="28"/>
  <c r="BB861" i="28" s="1"/>
  <c r="AT861" i="28"/>
  <c r="BA861" i="28" s="1"/>
  <c r="AY860" i="28"/>
  <c r="BF860" i="28" s="1"/>
  <c r="AX860" i="28"/>
  <c r="BE860" i="28" s="1"/>
  <c r="AW860" i="28"/>
  <c r="BD860" i="28" s="1"/>
  <c r="AV860" i="28"/>
  <c r="BC860" i="28" s="1"/>
  <c r="AU860" i="28"/>
  <c r="BB860" i="28" s="1"/>
  <c r="AT860" i="28"/>
  <c r="BA860" i="28" s="1"/>
  <c r="AY859" i="28"/>
  <c r="BF859" i="28" s="1"/>
  <c r="AX859" i="28"/>
  <c r="BE859" i="28" s="1"/>
  <c r="AW859" i="28"/>
  <c r="BD859" i="28" s="1"/>
  <c r="AV859" i="28"/>
  <c r="BC859" i="28" s="1"/>
  <c r="AU859" i="28"/>
  <c r="BB859" i="28" s="1"/>
  <c r="AT859" i="28"/>
  <c r="BA859" i="28" s="1"/>
  <c r="AY858" i="28"/>
  <c r="BF858" i="28" s="1"/>
  <c r="AX858" i="28"/>
  <c r="BE858" i="28" s="1"/>
  <c r="AW858" i="28"/>
  <c r="BD858" i="28" s="1"/>
  <c r="AV858" i="28"/>
  <c r="BC858" i="28" s="1"/>
  <c r="AU858" i="28"/>
  <c r="BB858" i="28" s="1"/>
  <c r="AT858" i="28"/>
  <c r="BA858" i="28" s="1"/>
  <c r="AX857" i="28"/>
  <c r="BE857" i="28" s="1"/>
  <c r="AW857" i="28"/>
  <c r="BD857" i="28" s="1"/>
  <c r="AV857" i="28"/>
  <c r="BC857" i="28" s="1"/>
  <c r="AU857" i="28"/>
  <c r="BB857" i="28" s="1"/>
  <c r="AT857" i="28"/>
  <c r="BA857" i="28" s="1"/>
  <c r="AX856" i="28"/>
  <c r="BE856" i="28" s="1"/>
  <c r="AW856" i="28"/>
  <c r="BD856" i="28" s="1"/>
  <c r="AV856" i="28"/>
  <c r="BC856" i="28" s="1"/>
  <c r="AU856" i="28"/>
  <c r="BB856" i="28" s="1"/>
  <c r="AT856" i="28"/>
  <c r="BA856" i="28" s="1"/>
  <c r="AX855" i="28"/>
  <c r="BE855" i="28" s="1"/>
  <c r="AW855" i="28"/>
  <c r="BD855" i="28" s="1"/>
  <c r="AV855" i="28"/>
  <c r="BC855" i="28" s="1"/>
  <c r="AU855" i="28"/>
  <c r="BB855" i="28" s="1"/>
  <c r="AT855" i="28"/>
  <c r="BA855" i="28" s="1"/>
  <c r="AX854" i="28"/>
  <c r="BE854" i="28" s="1"/>
  <c r="AW854" i="28"/>
  <c r="BD854" i="28" s="1"/>
  <c r="AV854" i="28"/>
  <c r="BC854" i="28" s="1"/>
  <c r="AU854" i="28"/>
  <c r="BB854" i="28" s="1"/>
  <c r="AT854" i="28"/>
  <c r="BA854" i="28" s="1"/>
  <c r="AY853" i="28"/>
  <c r="BF853" i="28" s="1"/>
  <c r="AX853" i="28"/>
  <c r="BE853" i="28" s="1"/>
  <c r="AW853" i="28"/>
  <c r="BD853" i="28" s="1"/>
  <c r="AV853" i="28"/>
  <c r="BC853" i="28" s="1"/>
  <c r="AU853" i="28"/>
  <c r="BB853" i="28" s="1"/>
  <c r="AT853" i="28"/>
  <c r="BA853" i="28" s="1"/>
  <c r="AY852" i="28"/>
  <c r="BF852" i="28" s="1"/>
  <c r="AX852" i="28"/>
  <c r="BE852" i="28" s="1"/>
  <c r="AW852" i="28"/>
  <c r="BD852" i="28" s="1"/>
  <c r="AV852" i="28"/>
  <c r="BC852" i="28" s="1"/>
  <c r="AU852" i="28"/>
  <c r="BB852" i="28" s="1"/>
  <c r="AT852" i="28"/>
  <c r="BA852" i="28" s="1"/>
  <c r="AX851" i="28"/>
  <c r="BE851" i="28" s="1"/>
  <c r="AW851" i="28"/>
  <c r="BD851" i="28" s="1"/>
  <c r="AV851" i="28"/>
  <c r="BC851" i="28" s="1"/>
  <c r="AU851" i="28"/>
  <c r="BB851" i="28" s="1"/>
  <c r="AT851" i="28"/>
  <c r="BA851" i="28" s="1"/>
  <c r="AY850" i="28"/>
  <c r="BF850" i="28" s="1"/>
  <c r="AX850" i="28"/>
  <c r="BE850" i="28" s="1"/>
  <c r="AW850" i="28"/>
  <c r="BD850" i="28" s="1"/>
  <c r="AV850" i="28"/>
  <c r="BC850" i="28" s="1"/>
  <c r="AU850" i="28"/>
  <c r="BB850" i="28" s="1"/>
  <c r="AT850" i="28"/>
  <c r="BA850" i="28" s="1"/>
  <c r="AY849" i="28"/>
  <c r="BF849" i="28" s="1"/>
  <c r="AX849" i="28"/>
  <c r="BE849" i="28" s="1"/>
  <c r="AW849" i="28"/>
  <c r="BD849" i="28" s="1"/>
  <c r="AV849" i="28"/>
  <c r="BC849" i="28" s="1"/>
  <c r="AU849" i="28"/>
  <c r="BB849" i="28" s="1"/>
  <c r="AT849" i="28"/>
  <c r="BA849" i="28" s="1"/>
  <c r="AX848" i="28"/>
  <c r="BE848" i="28" s="1"/>
  <c r="AW848" i="28"/>
  <c r="BD848" i="28" s="1"/>
  <c r="AV848" i="28"/>
  <c r="BC848" i="28" s="1"/>
  <c r="AU848" i="28"/>
  <c r="BB848" i="28" s="1"/>
  <c r="AT848" i="28"/>
  <c r="BA848" i="28" s="1"/>
  <c r="AY847" i="28"/>
  <c r="BF847" i="28" s="1"/>
  <c r="AX847" i="28"/>
  <c r="BE847" i="28" s="1"/>
  <c r="AW847" i="28"/>
  <c r="BD847" i="28" s="1"/>
  <c r="AV847" i="28"/>
  <c r="BC847" i="28" s="1"/>
  <c r="AU847" i="28"/>
  <c r="BB847" i="28" s="1"/>
  <c r="AT847" i="28"/>
  <c r="BA847" i="28" s="1"/>
  <c r="AX846" i="28"/>
  <c r="BE846" i="28" s="1"/>
  <c r="AW846" i="28"/>
  <c r="BD846" i="28" s="1"/>
  <c r="AV846" i="28"/>
  <c r="BC846" i="28" s="1"/>
  <c r="AU846" i="28"/>
  <c r="BB846" i="28" s="1"/>
  <c r="AT846" i="28"/>
  <c r="BA846" i="28" s="1"/>
  <c r="AY845" i="28"/>
  <c r="BF845" i="28" s="1"/>
  <c r="AX845" i="28"/>
  <c r="BE845" i="28" s="1"/>
  <c r="AW845" i="28"/>
  <c r="BD845" i="28" s="1"/>
  <c r="AV845" i="28"/>
  <c r="BC845" i="28" s="1"/>
  <c r="AU845" i="28"/>
  <c r="BB845" i="28" s="1"/>
  <c r="AT845" i="28"/>
  <c r="BA845" i="28" s="1"/>
  <c r="AY844" i="28"/>
  <c r="BF844" i="28" s="1"/>
  <c r="AX844" i="28"/>
  <c r="BE844" i="28" s="1"/>
  <c r="AW844" i="28"/>
  <c r="BD844" i="28" s="1"/>
  <c r="AV844" i="28"/>
  <c r="BC844" i="28" s="1"/>
  <c r="AU844" i="28"/>
  <c r="BB844" i="28" s="1"/>
  <c r="AT844" i="28"/>
  <c r="BA844" i="28" s="1"/>
  <c r="AX843" i="28"/>
  <c r="BE843" i="28" s="1"/>
  <c r="AW843" i="28"/>
  <c r="BD843" i="28" s="1"/>
  <c r="AV843" i="28"/>
  <c r="BC843" i="28" s="1"/>
  <c r="AU843" i="28"/>
  <c r="BB843" i="28" s="1"/>
  <c r="AT843" i="28"/>
  <c r="BA843" i="28" s="1"/>
  <c r="AY842" i="28"/>
  <c r="BF842" i="28" s="1"/>
  <c r="AX842" i="28"/>
  <c r="BE842" i="28" s="1"/>
  <c r="AW842" i="28"/>
  <c r="BD842" i="28" s="1"/>
  <c r="AV842" i="28"/>
  <c r="BC842" i="28" s="1"/>
  <c r="AU842" i="28"/>
  <c r="BB842" i="28" s="1"/>
  <c r="AT842" i="28"/>
  <c r="BA842" i="28" s="1"/>
  <c r="AY841" i="28"/>
  <c r="BF841" i="28" s="1"/>
  <c r="AX841" i="28"/>
  <c r="BE841" i="28" s="1"/>
  <c r="AW841" i="28"/>
  <c r="BD841" i="28" s="1"/>
  <c r="AV841" i="28"/>
  <c r="BC841" i="28" s="1"/>
  <c r="AU841" i="28"/>
  <c r="BB841" i="28" s="1"/>
  <c r="AT841" i="28"/>
  <c r="BA841" i="28" s="1"/>
  <c r="AX840" i="28"/>
  <c r="BE840" i="28" s="1"/>
  <c r="AW840" i="28"/>
  <c r="BD840" i="28" s="1"/>
  <c r="AV840" i="28"/>
  <c r="BC840" i="28" s="1"/>
  <c r="AU840" i="28"/>
  <c r="BB840" i="28" s="1"/>
  <c r="AT840" i="28"/>
  <c r="BA840" i="28" s="1"/>
  <c r="AX839" i="28"/>
  <c r="BE839" i="28" s="1"/>
  <c r="AW839" i="28"/>
  <c r="BD839" i="28" s="1"/>
  <c r="AV839" i="28"/>
  <c r="BC839" i="28" s="1"/>
  <c r="AU839" i="28"/>
  <c r="BB839" i="28" s="1"/>
  <c r="AT839" i="28"/>
  <c r="BA839" i="28" s="1"/>
  <c r="AX838" i="28"/>
  <c r="BE838" i="28" s="1"/>
  <c r="AW838" i="28"/>
  <c r="BD838" i="28" s="1"/>
  <c r="AV838" i="28"/>
  <c r="BC838" i="28" s="1"/>
  <c r="AU838" i="28"/>
  <c r="BB838" i="28" s="1"/>
  <c r="AT838" i="28"/>
  <c r="BA838" i="28" s="1"/>
  <c r="AY837" i="28"/>
  <c r="BF837" i="28" s="1"/>
  <c r="AX837" i="28"/>
  <c r="BE837" i="28" s="1"/>
  <c r="AW837" i="28"/>
  <c r="BD837" i="28" s="1"/>
  <c r="AV837" i="28"/>
  <c r="BC837" i="28" s="1"/>
  <c r="AU837" i="28"/>
  <c r="BB837" i="28" s="1"/>
  <c r="AT837" i="28"/>
  <c r="BA837" i="28" s="1"/>
  <c r="AY836" i="28"/>
  <c r="BF836" i="28" s="1"/>
  <c r="AX836" i="28"/>
  <c r="BE836" i="28" s="1"/>
  <c r="AW836" i="28"/>
  <c r="BD836" i="28" s="1"/>
  <c r="AV836" i="28"/>
  <c r="BC836" i="28" s="1"/>
  <c r="AU836" i="28"/>
  <c r="BB836" i="28" s="1"/>
  <c r="AT836" i="28"/>
  <c r="BA836" i="28" s="1"/>
  <c r="AY835" i="28"/>
  <c r="BF835" i="28" s="1"/>
  <c r="AX835" i="28"/>
  <c r="BE835" i="28" s="1"/>
  <c r="AW835" i="28"/>
  <c r="BD835" i="28" s="1"/>
  <c r="AV835" i="28"/>
  <c r="BC835" i="28" s="1"/>
  <c r="AU835" i="28"/>
  <c r="BB835" i="28" s="1"/>
  <c r="AT835" i="28"/>
  <c r="BA835" i="28" s="1"/>
  <c r="AY834" i="28"/>
  <c r="BF834" i="28" s="1"/>
  <c r="AX834" i="28"/>
  <c r="BE834" i="28" s="1"/>
  <c r="AW834" i="28"/>
  <c r="BD834" i="28" s="1"/>
  <c r="AV834" i="28"/>
  <c r="BC834" i="28" s="1"/>
  <c r="AU834" i="28"/>
  <c r="BB834" i="28" s="1"/>
  <c r="AT834" i="28"/>
  <c r="BA834" i="28" s="1"/>
  <c r="AY833" i="28"/>
  <c r="BF833" i="28" s="1"/>
  <c r="AX833" i="28"/>
  <c r="BE833" i="28" s="1"/>
  <c r="AW833" i="28"/>
  <c r="BD833" i="28" s="1"/>
  <c r="AV833" i="28"/>
  <c r="BC833" i="28" s="1"/>
  <c r="AU833" i="28"/>
  <c r="BB833" i="28" s="1"/>
  <c r="AT833" i="28"/>
  <c r="BA833" i="28" s="1"/>
  <c r="AX832" i="28"/>
  <c r="BE832" i="28" s="1"/>
  <c r="AW832" i="28"/>
  <c r="BD832" i="28" s="1"/>
  <c r="AV832" i="28"/>
  <c r="BC832" i="28" s="1"/>
  <c r="AU832" i="28"/>
  <c r="BB832" i="28" s="1"/>
  <c r="AT832" i="28"/>
  <c r="BA832" i="28" s="1"/>
  <c r="AX831" i="28"/>
  <c r="BE831" i="28" s="1"/>
  <c r="AW831" i="28"/>
  <c r="BD831" i="28" s="1"/>
  <c r="AV831" i="28"/>
  <c r="BC831" i="28" s="1"/>
  <c r="AU831" i="28"/>
  <c r="BB831" i="28" s="1"/>
  <c r="AT831" i="28"/>
  <c r="BA831" i="28" s="1"/>
  <c r="AY830" i="28"/>
  <c r="BF830" i="28" s="1"/>
  <c r="AX830" i="28"/>
  <c r="BE830" i="28" s="1"/>
  <c r="AW830" i="28"/>
  <c r="BD830" i="28" s="1"/>
  <c r="AV830" i="28"/>
  <c r="BC830" i="28" s="1"/>
  <c r="AU830" i="28"/>
  <c r="BB830" i="28" s="1"/>
  <c r="AT830" i="28"/>
  <c r="BA830" i="28" s="1"/>
  <c r="AY829" i="28"/>
  <c r="BF829" i="28" s="1"/>
  <c r="AX829" i="28"/>
  <c r="BE829" i="28" s="1"/>
  <c r="AW829" i="28"/>
  <c r="BD829" i="28" s="1"/>
  <c r="AV829" i="28"/>
  <c r="BC829" i="28" s="1"/>
  <c r="AU829" i="28"/>
  <c r="BB829" i="28" s="1"/>
  <c r="AT829" i="28"/>
  <c r="BA829" i="28" s="1"/>
  <c r="AY828" i="28"/>
  <c r="BF828" i="28" s="1"/>
  <c r="AX828" i="28"/>
  <c r="BE828" i="28" s="1"/>
  <c r="AW828" i="28"/>
  <c r="BD828" i="28" s="1"/>
  <c r="AV828" i="28"/>
  <c r="BC828" i="28" s="1"/>
  <c r="AU828" i="28"/>
  <c r="BB828" i="28" s="1"/>
  <c r="AT828" i="28"/>
  <c r="BA828" i="28" s="1"/>
  <c r="AY827" i="28"/>
  <c r="BF827" i="28" s="1"/>
  <c r="AX827" i="28"/>
  <c r="BE827" i="28" s="1"/>
  <c r="AW827" i="28"/>
  <c r="BD827" i="28" s="1"/>
  <c r="AV827" i="28"/>
  <c r="BC827" i="28" s="1"/>
  <c r="AU827" i="28"/>
  <c r="BB827" i="28" s="1"/>
  <c r="AT827" i="28"/>
  <c r="BA827" i="28" s="1"/>
  <c r="AY826" i="28"/>
  <c r="BF826" i="28" s="1"/>
  <c r="AX826" i="28"/>
  <c r="BE826" i="28" s="1"/>
  <c r="AW826" i="28"/>
  <c r="BD826" i="28" s="1"/>
  <c r="AV826" i="28"/>
  <c r="BC826" i="28" s="1"/>
  <c r="AU826" i="28"/>
  <c r="BB826" i="28" s="1"/>
  <c r="AT826" i="28"/>
  <c r="BA826" i="28" s="1"/>
  <c r="AX825" i="28"/>
  <c r="BE825" i="28" s="1"/>
  <c r="AW825" i="28"/>
  <c r="BD825" i="28" s="1"/>
  <c r="AV825" i="28"/>
  <c r="BC825" i="28" s="1"/>
  <c r="AU825" i="28"/>
  <c r="BB825" i="28" s="1"/>
  <c r="AT825" i="28"/>
  <c r="BA825" i="28" s="1"/>
  <c r="AX824" i="28"/>
  <c r="BE824" i="28" s="1"/>
  <c r="AW824" i="28"/>
  <c r="BD824" i="28" s="1"/>
  <c r="AV824" i="28"/>
  <c r="BC824" i="28" s="1"/>
  <c r="AU824" i="28"/>
  <c r="BB824" i="28" s="1"/>
  <c r="AT824" i="28"/>
  <c r="BA824" i="28" s="1"/>
  <c r="AY823" i="28"/>
  <c r="BF823" i="28" s="1"/>
  <c r="AX823" i="28"/>
  <c r="BE823" i="28" s="1"/>
  <c r="AW823" i="28"/>
  <c r="BD823" i="28" s="1"/>
  <c r="AV823" i="28"/>
  <c r="BC823" i="28" s="1"/>
  <c r="AU823" i="28"/>
  <c r="BB823" i="28" s="1"/>
  <c r="AT823" i="28"/>
  <c r="BA823" i="28" s="1"/>
  <c r="AX822" i="28"/>
  <c r="BE822" i="28" s="1"/>
  <c r="AW822" i="28"/>
  <c r="BD822" i="28" s="1"/>
  <c r="AV822" i="28"/>
  <c r="BC822" i="28" s="1"/>
  <c r="AU822" i="28"/>
  <c r="BB822" i="28" s="1"/>
  <c r="AT822" i="28"/>
  <c r="BA822" i="28" s="1"/>
  <c r="AY821" i="28"/>
  <c r="BF821" i="28" s="1"/>
  <c r="AX821" i="28"/>
  <c r="BE821" i="28" s="1"/>
  <c r="AW821" i="28"/>
  <c r="BD821" i="28" s="1"/>
  <c r="AV821" i="28"/>
  <c r="BC821" i="28" s="1"/>
  <c r="AU821" i="28"/>
  <c r="BB821" i="28" s="1"/>
  <c r="AT821" i="28"/>
  <c r="BA821" i="28" s="1"/>
  <c r="AY820" i="28"/>
  <c r="BF820" i="28" s="1"/>
  <c r="AX820" i="28"/>
  <c r="BE820" i="28" s="1"/>
  <c r="AW820" i="28"/>
  <c r="BD820" i="28" s="1"/>
  <c r="AV820" i="28"/>
  <c r="BC820" i="28" s="1"/>
  <c r="AU820" i="28"/>
  <c r="BB820" i="28" s="1"/>
  <c r="AT820" i="28"/>
  <c r="BA820" i="28" s="1"/>
  <c r="AY819" i="28"/>
  <c r="BF819" i="28" s="1"/>
  <c r="AX819" i="28"/>
  <c r="BE819" i="28" s="1"/>
  <c r="AW819" i="28"/>
  <c r="BD819" i="28" s="1"/>
  <c r="AV819" i="28"/>
  <c r="BC819" i="28" s="1"/>
  <c r="AU819" i="28"/>
  <c r="BB819" i="28" s="1"/>
  <c r="AT819" i="28"/>
  <c r="BA819" i="28" s="1"/>
  <c r="AY818" i="28"/>
  <c r="BF818" i="28" s="1"/>
  <c r="AX818" i="28"/>
  <c r="BE818" i="28" s="1"/>
  <c r="AW818" i="28"/>
  <c r="BD818" i="28" s="1"/>
  <c r="AV818" i="28"/>
  <c r="BC818" i="28" s="1"/>
  <c r="AU818" i="28"/>
  <c r="BB818" i="28" s="1"/>
  <c r="AT818" i="28"/>
  <c r="BA818" i="28" s="1"/>
  <c r="AY817" i="28"/>
  <c r="BF817" i="28" s="1"/>
  <c r="AX817" i="28"/>
  <c r="BE817" i="28" s="1"/>
  <c r="AW817" i="28"/>
  <c r="BD817" i="28" s="1"/>
  <c r="AV817" i="28"/>
  <c r="BC817" i="28" s="1"/>
  <c r="AU817" i="28"/>
  <c r="BB817" i="28" s="1"/>
  <c r="AT817" i="28"/>
  <c r="BA817" i="28" s="1"/>
  <c r="AX816" i="28"/>
  <c r="BE816" i="28" s="1"/>
  <c r="AW816" i="28"/>
  <c r="BD816" i="28" s="1"/>
  <c r="AV816" i="28"/>
  <c r="BC816" i="28" s="1"/>
  <c r="AU816" i="28"/>
  <c r="BB816" i="28" s="1"/>
  <c r="AT816" i="28"/>
  <c r="BA816" i="28" s="1"/>
  <c r="AY815" i="28"/>
  <c r="BF815" i="28" s="1"/>
  <c r="AX815" i="28"/>
  <c r="BE815" i="28" s="1"/>
  <c r="AW815" i="28"/>
  <c r="BD815" i="28" s="1"/>
  <c r="AV815" i="28"/>
  <c r="BC815" i="28" s="1"/>
  <c r="AU815" i="28"/>
  <c r="BB815" i="28" s="1"/>
  <c r="AT815" i="28"/>
  <c r="BA815" i="28" s="1"/>
  <c r="AX814" i="28"/>
  <c r="BE814" i="28" s="1"/>
  <c r="AW814" i="28"/>
  <c r="BD814" i="28" s="1"/>
  <c r="AV814" i="28"/>
  <c r="BC814" i="28" s="1"/>
  <c r="AU814" i="28"/>
  <c r="BB814" i="28" s="1"/>
  <c r="AT814" i="28"/>
  <c r="BA814" i="28" s="1"/>
  <c r="AY813" i="28"/>
  <c r="BF813" i="28" s="1"/>
  <c r="AX813" i="28"/>
  <c r="BE813" i="28" s="1"/>
  <c r="AW813" i="28"/>
  <c r="BD813" i="28" s="1"/>
  <c r="AV813" i="28"/>
  <c r="BC813" i="28" s="1"/>
  <c r="AU813" i="28"/>
  <c r="BB813" i="28" s="1"/>
  <c r="AT813" i="28"/>
  <c r="BA813" i="28" s="1"/>
  <c r="AY812" i="28"/>
  <c r="BF812" i="28" s="1"/>
  <c r="AX812" i="28"/>
  <c r="BE812" i="28" s="1"/>
  <c r="AW812" i="28"/>
  <c r="BD812" i="28" s="1"/>
  <c r="AV812" i="28"/>
  <c r="BC812" i="28" s="1"/>
  <c r="AU812" i="28"/>
  <c r="BB812" i="28" s="1"/>
  <c r="AT812" i="28"/>
  <c r="BA812" i="28" s="1"/>
  <c r="AX811" i="28"/>
  <c r="BE811" i="28" s="1"/>
  <c r="AW811" i="28"/>
  <c r="BD811" i="28" s="1"/>
  <c r="AV811" i="28"/>
  <c r="BC811" i="28" s="1"/>
  <c r="AU811" i="28"/>
  <c r="BB811" i="28" s="1"/>
  <c r="AT811" i="28"/>
  <c r="BA811" i="28" s="1"/>
  <c r="AY810" i="28"/>
  <c r="BF810" i="28" s="1"/>
  <c r="AX810" i="28"/>
  <c r="BE810" i="28" s="1"/>
  <c r="AW810" i="28"/>
  <c r="BD810" i="28" s="1"/>
  <c r="AV810" i="28"/>
  <c r="BC810" i="28" s="1"/>
  <c r="AU810" i="28"/>
  <c r="BB810" i="28" s="1"/>
  <c r="AT810" i="28"/>
  <c r="BA810" i="28" s="1"/>
  <c r="AX809" i="28"/>
  <c r="BE809" i="28" s="1"/>
  <c r="AW809" i="28"/>
  <c r="BD809" i="28" s="1"/>
  <c r="AV809" i="28"/>
  <c r="BC809" i="28" s="1"/>
  <c r="AU809" i="28"/>
  <c r="BB809" i="28" s="1"/>
  <c r="AT809" i="28"/>
  <c r="BA809" i="28" s="1"/>
  <c r="AX808" i="28"/>
  <c r="BE808" i="28" s="1"/>
  <c r="AW808" i="28"/>
  <c r="BD808" i="28" s="1"/>
  <c r="AV808" i="28"/>
  <c r="BC808" i="28" s="1"/>
  <c r="AU808" i="28"/>
  <c r="BB808" i="28" s="1"/>
  <c r="AT808" i="28"/>
  <c r="BA808" i="28" s="1"/>
  <c r="AX807" i="28"/>
  <c r="BE807" i="28" s="1"/>
  <c r="AW807" i="28"/>
  <c r="BD807" i="28" s="1"/>
  <c r="AV807" i="28"/>
  <c r="BC807" i="28" s="1"/>
  <c r="AU807" i="28"/>
  <c r="BB807" i="28" s="1"/>
  <c r="AT807" i="28"/>
  <c r="BA807" i="28" s="1"/>
  <c r="AX806" i="28"/>
  <c r="BE806" i="28" s="1"/>
  <c r="AW806" i="28"/>
  <c r="BD806" i="28" s="1"/>
  <c r="AV806" i="28"/>
  <c r="BC806" i="28" s="1"/>
  <c r="AU806" i="28"/>
  <c r="BB806" i="28" s="1"/>
  <c r="AT806" i="28"/>
  <c r="BA806" i="28" s="1"/>
  <c r="AY805" i="28"/>
  <c r="BF805" i="28" s="1"/>
  <c r="AX805" i="28"/>
  <c r="BE805" i="28" s="1"/>
  <c r="AW805" i="28"/>
  <c r="BD805" i="28" s="1"/>
  <c r="AV805" i="28"/>
  <c r="BC805" i="28" s="1"/>
  <c r="AU805" i="28"/>
  <c r="BB805" i="28" s="1"/>
  <c r="AT805" i="28"/>
  <c r="BA805" i="28" s="1"/>
  <c r="AY804" i="28"/>
  <c r="BF804" i="28" s="1"/>
  <c r="AX804" i="28"/>
  <c r="BE804" i="28" s="1"/>
  <c r="AW804" i="28"/>
  <c r="BD804" i="28" s="1"/>
  <c r="AV804" i="28"/>
  <c r="BC804" i="28" s="1"/>
  <c r="AU804" i="28"/>
  <c r="BB804" i="28" s="1"/>
  <c r="AT804" i="28"/>
  <c r="BA804" i="28" s="1"/>
  <c r="AX803" i="28"/>
  <c r="BE803" i="28" s="1"/>
  <c r="AW803" i="28"/>
  <c r="BD803" i="28" s="1"/>
  <c r="AV803" i="28"/>
  <c r="BC803" i="28" s="1"/>
  <c r="AU803" i="28"/>
  <c r="BB803" i="28" s="1"/>
  <c r="AT803" i="28"/>
  <c r="BA803" i="28" s="1"/>
  <c r="AY802" i="28"/>
  <c r="BF802" i="28" s="1"/>
  <c r="AX802" i="28"/>
  <c r="BE802" i="28" s="1"/>
  <c r="AW802" i="28"/>
  <c r="BD802" i="28" s="1"/>
  <c r="AV802" i="28"/>
  <c r="BC802" i="28" s="1"/>
  <c r="AU802" i="28"/>
  <c r="BB802" i="28" s="1"/>
  <c r="AT802" i="28"/>
  <c r="BA802" i="28" s="1"/>
  <c r="AY801" i="28"/>
  <c r="BF801" i="28" s="1"/>
  <c r="AX801" i="28"/>
  <c r="BE801" i="28" s="1"/>
  <c r="AW801" i="28"/>
  <c r="BD801" i="28" s="1"/>
  <c r="AV801" i="28"/>
  <c r="BC801" i="28" s="1"/>
  <c r="AU801" i="28"/>
  <c r="BB801" i="28" s="1"/>
  <c r="AT801" i="28"/>
  <c r="BA801" i="28" s="1"/>
  <c r="AX800" i="28"/>
  <c r="BE800" i="28" s="1"/>
  <c r="AW800" i="28"/>
  <c r="BD800" i="28" s="1"/>
  <c r="AV800" i="28"/>
  <c r="BC800" i="28" s="1"/>
  <c r="AU800" i="28"/>
  <c r="BB800" i="28" s="1"/>
  <c r="AT800" i="28"/>
  <c r="BA800" i="28" s="1"/>
  <c r="AX799" i="28"/>
  <c r="BE799" i="28" s="1"/>
  <c r="AW799" i="28"/>
  <c r="BD799" i="28" s="1"/>
  <c r="AV799" i="28"/>
  <c r="BC799" i="28" s="1"/>
  <c r="AU799" i="28"/>
  <c r="BB799" i="28" s="1"/>
  <c r="AT799" i="28"/>
  <c r="BA799" i="28" s="1"/>
  <c r="AX798" i="28"/>
  <c r="BE798" i="28" s="1"/>
  <c r="AW798" i="28"/>
  <c r="BD798" i="28" s="1"/>
  <c r="AV798" i="28"/>
  <c r="BC798" i="28" s="1"/>
  <c r="AU798" i="28"/>
  <c r="BB798" i="28" s="1"/>
  <c r="AT798" i="28"/>
  <c r="BA798" i="28" s="1"/>
  <c r="AY797" i="28"/>
  <c r="BF797" i="28" s="1"/>
  <c r="AX797" i="28"/>
  <c r="BE797" i="28" s="1"/>
  <c r="AW797" i="28"/>
  <c r="BD797" i="28" s="1"/>
  <c r="AV797" i="28"/>
  <c r="BC797" i="28" s="1"/>
  <c r="AU797" i="28"/>
  <c r="BB797" i="28" s="1"/>
  <c r="AT797" i="28"/>
  <c r="BA797" i="28" s="1"/>
  <c r="AY796" i="28"/>
  <c r="BF796" i="28" s="1"/>
  <c r="AX796" i="28"/>
  <c r="BE796" i="28" s="1"/>
  <c r="AW796" i="28"/>
  <c r="BD796" i="28" s="1"/>
  <c r="AV796" i="28"/>
  <c r="BC796" i="28" s="1"/>
  <c r="AU796" i="28"/>
  <c r="BB796" i="28" s="1"/>
  <c r="AT796" i="28"/>
  <c r="BA796" i="28" s="1"/>
  <c r="AX795" i="28"/>
  <c r="BE795" i="28" s="1"/>
  <c r="AW795" i="28"/>
  <c r="BD795" i="28" s="1"/>
  <c r="AV795" i="28"/>
  <c r="BC795" i="28" s="1"/>
  <c r="AU795" i="28"/>
  <c r="BB795" i="28" s="1"/>
  <c r="AT795" i="28"/>
  <c r="BA795" i="28" s="1"/>
  <c r="AY794" i="28"/>
  <c r="BF794" i="28" s="1"/>
  <c r="AX794" i="28"/>
  <c r="BE794" i="28" s="1"/>
  <c r="AW794" i="28"/>
  <c r="BD794" i="28" s="1"/>
  <c r="AV794" i="28"/>
  <c r="BC794" i="28" s="1"/>
  <c r="AU794" i="28"/>
  <c r="BB794" i="28" s="1"/>
  <c r="AT794" i="28"/>
  <c r="BA794" i="28" s="1"/>
  <c r="AY793" i="28"/>
  <c r="BF793" i="28" s="1"/>
  <c r="AX793" i="28"/>
  <c r="BE793" i="28" s="1"/>
  <c r="AW793" i="28"/>
  <c r="BD793" i="28" s="1"/>
  <c r="AV793" i="28"/>
  <c r="BC793" i="28" s="1"/>
  <c r="AU793" i="28"/>
  <c r="BB793" i="28" s="1"/>
  <c r="AT793" i="28"/>
  <c r="BA793" i="28" s="1"/>
  <c r="AX792" i="28"/>
  <c r="BE792" i="28" s="1"/>
  <c r="AW792" i="28"/>
  <c r="BD792" i="28" s="1"/>
  <c r="AV792" i="28"/>
  <c r="BC792" i="28" s="1"/>
  <c r="AU792" i="28"/>
  <c r="BB792" i="28" s="1"/>
  <c r="AT792" i="28"/>
  <c r="BA792" i="28" s="1"/>
  <c r="AY791" i="28"/>
  <c r="BF791" i="28" s="1"/>
  <c r="AX791" i="28"/>
  <c r="BE791" i="28" s="1"/>
  <c r="AW791" i="28"/>
  <c r="BD791" i="28" s="1"/>
  <c r="AV791" i="28"/>
  <c r="BC791" i="28" s="1"/>
  <c r="AU791" i="28"/>
  <c r="BB791" i="28" s="1"/>
  <c r="AT791" i="28"/>
  <c r="BA791" i="28" s="1"/>
  <c r="AX790" i="28"/>
  <c r="BE790" i="28" s="1"/>
  <c r="AW790" i="28"/>
  <c r="BD790" i="28" s="1"/>
  <c r="AV790" i="28"/>
  <c r="BC790" i="28" s="1"/>
  <c r="AU790" i="28"/>
  <c r="BB790" i="28" s="1"/>
  <c r="AT790" i="28"/>
  <c r="BA790" i="28" s="1"/>
  <c r="AY789" i="28"/>
  <c r="BF789" i="28" s="1"/>
  <c r="AX789" i="28"/>
  <c r="BE789" i="28" s="1"/>
  <c r="AW789" i="28"/>
  <c r="BD789" i="28" s="1"/>
  <c r="AV789" i="28"/>
  <c r="BC789" i="28" s="1"/>
  <c r="AU789" i="28"/>
  <c r="BB789" i="28" s="1"/>
  <c r="AT789" i="28"/>
  <c r="BA789" i="28" s="1"/>
  <c r="AY788" i="28"/>
  <c r="BF788" i="28" s="1"/>
  <c r="AX788" i="28"/>
  <c r="BE788" i="28" s="1"/>
  <c r="AW788" i="28"/>
  <c r="BD788" i="28" s="1"/>
  <c r="AV788" i="28"/>
  <c r="BC788" i="28" s="1"/>
  <c r="AU788" i="28"/>
  <c r="BB788" i="28" s="1"/>
  <c r="AT788" i="28"/>
  <c r="BA788" i="28" s="1"/>
  <c r="AY787" i="28"/>
  <c r="BF787" i="28" s="1"/>
  <c r="AX787" i="28"/>
  <c r="BE787" i="28" s="1"/>
  <c r="AW787" i="28"/>
  <c r="BD787" i="28" s="1"/>
  <c r="AV787" i="28"/>
  <c r="BC787" i="28" s="1"/>
  <c r="AU787" i="28"/>
  <c r="BB787" i="28" s="1"/>
  <c r="AT787" i="28"/>
  <c r="BA787" i="28" s="1"/>
  <c r="AY786" i="28"/>
  <c r="BF786" i="28" s="1"/>
  <c r="AX786" i="28"/>
  <c r="BE786" i="28" s="1"/>
  <c r="AW786" i="28"/>
  <c r="BD786" i="28" s="1"/>
  <c r="AV786" i="28"/>
  <c r="BC786" i="28" s="1"/>
  <c r="AU786" i="28"/>
  <c r="BB786" i="28" s="1"/>
  <c r="AT786" i="28"/>
  <c r="BA786" i="28" s="1"/>
  <c r="AY785" i="28"/>
  <c r="BF785" i="28" s="1"/>
  <c r="AX785" i="28"/>
  <c r="BE785" i="28" s="1"/>
  <c r="AW785" i="28"/>
  <c r="BD785" i="28" s="1"/>
  <c r="AV785" i="28"/>
  <c r="BC785" i="28" s="1"/>
  <c r="AU785" i="28"/>
  <c r="BB785" i="28" s="1"/>
  <c r="AT785" i="28"/>
  <c r="BA785" i="28" s="1"/>
  <c r="AX784" i="28"/>
  <c r="BE784" i="28" s="1"/>
  <c r="AW784" i="28"/>
  <c r="BD784" i="28" s="1"/>
  <c r="AV784" i="28"/>
  <c r="BC784" i="28" s="1"/>
  <c r="AU784" i="28"/>
  <c r="BB784" i="28" s="1"/>
  <c r="AT784" i="28"/>
  <c r="BA784" i="28" s="1"/>
  <c r="AX783" i="28"/>
  <c r="BE783" i="28" s="1"/>
  <c r="AW783" i="28"/>
  <c r="BD783" i="28" s="1"/>
  <c r="AV783" i="28"/>
  <c r="BC783" i="28" s="1"/>
  <c r="AU783" i="28"/>
  <c r="BB783" i="28" s="1"/>
  <c r="AT783" i="28"/>
  <c r="BA783" i="28" s="1"/>
  <c r="AX782" i="28"/>
  <c r="BE782" i="28" s="1"/>
  <c r="AW782" i="28"/>
  <c r="BD782" i="28" s="1"/>
  <c r="AV782" i="28"/>
  <c r="BC782" i="28" s="1"/>
  <c r="AU782" i="28"/>
  <c r="BB782" i="28" s="1"/>
  <c r="AT782" i="28"/>
  <c r="BA782" i="28" s="1"/>
  <c r="AY781" i="28"/>
  <c r="BF781" i="28" s="1"/>
  <c r="AX781" i="28"/>
  <c r="BE781" i="28" s="1"/>
  <c r="AW781" i="28"/>
  <c r="BD781" i="28" s="1"/>
  <c r="AV781" i="28"/>
  <c r="BC781" i="28" s="1"/>
  <c r="AU781" i="28"/>
  <c r="BB781" i="28" s="1"/>
  <c r="AT781" i="28"/>
  <c r="BA781" i="28" s="1"/>
  <c r="AY780" i="28"/>
  <c r="BF780" i="28" s="1"/>
  <c r="AX780" i="28"/>
  <c r="BE780" i="28" s="1"/>
  <c r="AW780" i="28"/>
  <c r="BD780" i="28" s="1"/>
  <c r="AV780" i="28"/>
  <c r="BC780" i="28" s="1"/>
  <c r="AU780" i="28"/>
  <c r="BB780" i="28" s="1"/>
  <c r="AT780" i="28"/>
  <c r="BA780" i="28" s="1"/>
  <c r="AY779" i="28"/>
  <c r="BF779" i="28" s="1"/>
  <c r="AX779" i="28"/>
  <c r="BE779" i="28" s="1"/>
  <c r="AW779" i="28"/>
  <c r="BD779" i="28" s="1"/>
  <c r="AV779" i="28"/>
  <c r="BC779" i="28" s="1"/>
  <c r="AU779" i="28"/>
  <c r="BB779" i="28" s="1"/>
  <c r="AT779" i="28"/>
  <c r="BA779" i="28" s="1"/>
  <c r="AY778" i="28"/>
  <c r="BF778" i="28" s="1"/>
  <c r="AX778" i="28"/>
  <c r="BE778" i="28" s="1"/>
  <c r="AW778" i="28"/>
  <c r="BD778" i="28" s="1"/>
  <c r="AV778" i="28"/>
  <c r="BC778" i="28" s="1"/>
  <c r="AU778" i="28"/>
  <c r="BB778" i="28" s="1"/>
  <c r="AT778" i="28"/>
  <c r="BA778" i="28" s="1"/>
  <c r="AY777" i="28"/>
  <c r="BF777" i="28" s="1"/>
  <c r="AX777" i="28"/>
  <c r="BE777" i="28" s="1"/>
  <c r="AW777" i="28"/>
  <c r="BD777" i="28" s="1"/>
  <c r="AV777" i="28"/>
  <c r="BC777" i="28" s="1"/>
  <c r="AU777" i="28"/>
  <c r="BB777" i="28" s="1"/>
  <c r="AT777" i="28"/>
  <c r="BA777" i="28" s="1"/>
  <c r="AX776" i="28"/>
  <c r="BE776" i="28" s="1"/>
  <c r="AW776" i="28"/>
  <c r="BD776" i="28" s="1"/>
  <c r="AV776" i="28"/>
  <c r="BC776" i="28" s="1"/>
  <c r="AU776" i="28"/>
  <c r="BB776" i="28" s="1"/>
  <c r="AT776" i="28"/>
  <c r="BA776" i="28" s="1"/>
  <c r="AX775" i="28"/>
  <c r="BE775" i="28" s="1"/>
  <c r="AW775" i="28"/>
  <c r="BD775" i="28" s="1"/>
  <c r="AV775" i="28"/>
  <c r="BC775" i="28" s="1"/>
  <c r="AU775" i="28"/>
  <c r="BB775" i="28" s="1"/>
  <c r="AT775" i="28"/>
  <c r="BA775" i="28" s="1"/>
  <c r="AX774" i="28"/>
  <c r="BE774" i="28" s="1"/>
  <c r="AW774" i="28"/>
  <c r="BD774" i="28" s="1"/>
  <c r="AV774" i="28"/>
  <c r="BC774" i="28" s="1"/>
  <c r="AU774" i="28"/>
  <c r="BB774" i="28" s="1"/>
  <c r="AT774" i="28"/>
  <c r="BA774" i="28" s="1"/>
  <c r="AY773" i="28"/>
  <c r="BF773" i="28" s="1"/>
  <c r="AX773" i="28"/>
  <c r="BE773" i="28" s="1"/>
  <c r="AW773" i="28"/>
  <c r="BD773" i="28" s="1"/>
  <c r="AV773" i="28"/>
  <c r="BC773" i="28" s="1"/>
  <c r="AU773" i="28"/>
  <c r="BB773" i="28" s="1"/>
  <c r="AT773" i="28"/>
  <c r="BA773" i="28" s="1"/>
  <c r="AY772" i="28"/>
  <c r="BF772" i="28" s="1"/>
  <c r="AX772" i="28"/>
  <c r="BE772" i="28" s="1"/>
  <c r="AW772" i="28"/>
  <c r="BD772" i="28" s="1"/>
  <c r="AV772" i="28"/>
  <c r="BC772" i="28" s="1"/>
  <c r="AU772" i="28"/>
  <c r="BB772" i="28" s="1"/>
  <c r="AT772" i="28"/>
  <c r="BA772" i="28" s="1"/>
  <c r="AY771" i="28"/>
  <c r="BF771" i="28" s="1"/>
  <c r="AX771" i="28"/>
  <c r="BE771" i="28" s="1"/>
  <c r="AW771" i="28"/>
  <c r="BD771" i="28" s="1"/>
  <c r="AV771" i="28"/>
  <c r="BC771" i="28" s="1"/>
  <c r="AU771" i="28"/>
  <c r="BB771" i="28" s="1"/>
  <c r="AT771" i="28"/>
  <c r="BA771" i="28" s="1"/>
  <c r="AY770" i="28"/>
  <c r="BF770" i="28" s="1"/>
  <c r="AX770" i="28"/>
  <c r="BE770" i="28" s="1"/>
  <c r="AW770" i="28"/>
  <c r="BD770" i="28" s="1"/>
  <c r="AV770" i="28"/>
  <c r="BC770" i="28" s="1"/>
  <c r="AU770" i="28"/>
  <c r="BB770" i="28" s="1"/>
  <c r="AT770" i="28"/>
  <c r="BA770" i="28" s="1"/>
  <c r="AY769" i="28"/>
  <c r="BF769" i="28" s="1"/>
  <c r="AX769" i="28"/>
  <c r="BE769" i="28" s="1"/>
  <c r="AW769" i="28"/>
  <c r="BD769" i="28" s="1"/>
  <c r="AV769" i="28"/>
  <c r="BC769" i="28" s="1"/>
  <c r="AU769" i="28"/>
  <c r="BB769" i="28" s="1"/>
  <c r="AT769" i="28"/>
  <c r="BA769" i="28" s="1"/>
  <c r="AX768" i="28"/>
  <c r="BE768" i="28" s="1"/>
  <c r="AW768" i="28"/>
  <c r="BD768" i="28" s="1"/>
  <c r="AV768" i="28"/>
  <c r="BC768" i="28" s="1"/>
  <c r="AU768" i="28"/>
  <c r="BB768" i="28" s="1"/>
  <c r="AT768" i="28"/>
  <c r="BA768" i="28" s="1"/>
  <c r="AX767" i="28"/>
  <c r="BE767" i="28" s="1"/>
  <c r="AW767" i="28"/>
  <c r="BD767" i="28" s="1"/>
  <c r="AV767" i="28"/>
  <c r="BC767" i="28" s="1"/>
  <c r="AU767" i="28"/>
  <c r="BB767" i="28" s="1"/>
  <c r="AT767" i="28"/>
  <c r="BA767" i="28" s="1"/>
  <c r="AX766" i="28"/>
  <c r="BE766" i="28" s="1"/>
  <c r="AW766" i="28"/>
  <c r="BD766" i="28" s="1"/>
  <c r="AV766" i="28"/>
  <c r="BC766" i="28" s="1"/>
  <c r="AU766" i="28"/>
  <c r="BB766" i="28" s="1"/>
  <c r="AT766" i="28"/>
  <c r="BA766" i="28" s="1"/>
  <c r="AY765" i="28"/>
  <c r="BF765" i="28" s="1"/>
  <c r="AX765" i="28"/>
  <c r="BE765" i="28" s="1"/>
  <c r="AW765" i="28"/>
  <c r="BD765" i="28" s="1"/>
  <c r="AV765" i="28"/>
  <c r="BC765" i="28" s="1"/>
  <c r="AU765" i="28"/>
  <c r="BB765" i="28" s="1"/>
  <c r="AT765" i="28"/>
  <c r="BA765" i="28" s="1"/>
  <c r="AY764" i="28"/>
  <c r="BF764" i="28" s="1"/>
  <c r="AX764" i="28"/>
  <c r="BE764" i="28" s="1"/>
  <c r="AW764" i="28"/>
  <c r="BD764" i="28" s="1"/>
  <c r="AV764" i="28"/>
  <c r="BC764" i="28" s="1"/>
  <c r="AU764" i="28"/>
  <c r="BB764" i="28" s="1"/>
  <c r="AT764" i="28"/>
  <c r="BA764" i="28" s="1"/>
  <c r="AY763" i="28"/>
  <c r="BF763" i="28" s="1"/>
  <c r="AX763" i="28"/>
  <c r="BE763" i="28" s="1"/>
  <c r="AW763" i="28"/>
  <c r="BD763" i="28" s="1"/>
  <c r="AV763" i="28"/>
  <c r="BC763" i="28" s="1"/>
  <c r="AU763" i="28"/>
  <c r="BB763" i="28" s="1"/>
  <c r="AT763" i="28"/>
  <c r="BA763" i="28" s="1"/>
  <c r="AY762" i="28"/>
  <c r="BF762" i="28" s="1"/>
  <c r="AX762" i="28"/>
  <c r="BE762" i="28" s="1"/>
  <c r="AW762" i="28"/>
  <c r="BD762" i="28" s="1"/>
  <c r="AV762" i="28"/>
  <c r="BC762" i="28" s="1"/>
  <c r="AU762" i="28"/>
  <c r="BB762" i="28" s="1"/>
  <c r="AT762" i="28"/>
  <c r="BA762" i="28" s="1"/>
  <c r="AY761" i="28"/>
  <c r="BF761" i="28" s="1"/>
  <c r="AX761" i="28"/>
  <c r="BE761" i="28" s="1"/>
  <c r="AW761" i="28"/>
  <c r="BD761" i="28" s="1"/>
  <c r="AV761" i="28"/>
  <c r="BC761" i="28" s="1"/>
  <c r="AU761" i="28"/>
  <c r="BB761" i="28" s="1"/>
  <c r="AT761" i="28"/>
  <c r="BA761" i="28" s="1"/>
  <c r="AX760" i="28"/>
  <c r="BE760" i="28" s="1"/>
  <c r="AW760" i="28"/>
  <c r="BD760" i="28" s="1"/>
  <c r="AV760" i="28"/>
  <c r="BC760" i="28" s="1"/>
  <c r="AU760" i="28"/>
  <c r="BB760" i="28" s="1"/>
  <c r="AT760" i="28"/>
  <c r="BA760" i="28" s="1"/>
  <c r="AX759" i="28"/>
  <c r="BE759" i="28" s="1"/>
  <c r="AW759" i="28"/>
  <c r="BD759" i="28" s="1"/>
  <c r="AV759" i="28"/>
  <c r="BC759" i="28" s="1"/>
  <c r="AU759" i="28"/>
  <c r="BB759" i="28" s="1"/>
  <c r="AT759" i="28"/>
  <c r="BA759" i="28" s="1"/>
  <c r="AX758" i="28"/>
  <c r="BE758" i="28" s="1"/>
  <c r="AW758" i="28"/>
  <c r="BD758" i="28" s="1"/>
  <c r="AV758" i="28"/>
  <c r="BC758" i="28" s="1"/>
  <c r="AU758" i="28"/>
  <c r="BB758" i="28" s="1"/>
  <c r="AT758" i="28"/>
  <c r="BA758" i="28" s="1"/>
  <c r="AY757" i="28"/>
  <c r="BF757" i="28" s="1"/>
  <c r="AX757" i="28"/>
  <c r="BE757" i="28" s="1"/>
  <c r="AW757" i="28"/>
  <c r="BD757" i="28" s="1"/>
  <c r="AV757" i="28"/>
  <c r="BC757" i="28" s="1"/>
  <c r="AU757" i="28"/>
  <c r="BB757" i="28" s="1"/>
  <c r="AT757" i="28"/>
  <c r="BA757" i="28" s="1"/>
  <c r="AY756" i="28"/>
  <c r="BF756" i="28" s="1"/>
  <c r="AX756" i="28"/>
  <c r="BE756" i="28" s="1"/>
  <c r="AW756" i="28"/>
  <c r="BD756" i="28" s="1"/>
  <c r="AV756" i="28"/>
  <c r="BC756" i="28" s="1"/>
  <c r="AU756" i="28"/>
  <c r="BB756" i="28" s="1"/>
  <c r="AT756" i="28"/>
  <c r="BA756" i="28" s="1"/>
  <c r="AY755" i="28"/>
  <c r="BF755" i="28" s="1"/>
  <c r="AX755" i="28"/>
  <c r="BE755" i="28" s="1"/>
  <c r="AW755" i="28"/>
  <c r="BD755" i="28" s="1"/>
  <c r="AV755" i="28"/>
  <c r="BC755" i="28" s="1"/>
  <c r="AU755" i="28"/>
  <c r="BB755" i="28" s="1"/>
  <c r="AT755" i="28"/>
  <c r="BA755" i="28" s="1"/>
  <c r="AY754" i="28"/>
  <c r="BF754" i="28" s="1"/>
  <c r="AX754" i="28"/>
  <c r="BE754" i="28" s="1"/>
  <c r="AW754" i="28"/>
  <c r="BD754" i="28" s="1"/>
  <c r="AV754" i="28"/>
  <c r="BC754" i="28" s="1"/>
  <c r="AU754" i="28"/>
  <c r="BB754" i="28" s="1"/>
  <c r="AT754" i="28"/>
  <c r="BA754" i="28" s="1"/>
  <c r="AY753" i="28"/>
  <c r="BF753" i="28" s="1"/>
  <c r="AX753" i="28"/>
  <c r="BE753" i="28" s="1"/>
  <c r="AW753" i="28"/>
  <c r="BD753" i="28" s="1"/>
  <c r="AV753" i="28"/>
  <c r="BC753" i="28" s="1"/>
  <c r="AU753" i="28"/>
  <c r="BB753" i="28" s="1"/>
  <c r="AT753" i="28"/>
  <c r="BA753" i="28" s="1"/>
  <c r="AX752" i="28"/>
  <c r="BE752" i="28" s="1"/>
  <c r="AW752" i="28"/>
  <c r="BD752" i="28" s="1"/>
  <c r="AV752" i="28"/>
  <c r="BC752" i="28" s="1"/>
  <c r="AU752" i="28"/>
  <c r="BB752" i="28" s="1"/>
  <c r="AT752" i="28"/>
  <c r="BA752" i="28" s="1"/>
  <c r="AX751" i="28"/>
  <c r="BE751" i="28" s="1"/>
  <c r="AW751" i="28"/>
  <c r="BD751" i="28" s="1"/>
  <c r="AV751" i="28"/>
  <c r="BC751" i="28" s="1"/>
  <c r="AU751" i="28"/>
  <c r="BB751" i="28" s="1"/>
  <c r="AT751" i="28"/>
  <c r="BA751" i="28" s="1"/>
  <c r="AX750" i="28"/>
  <c r="BE750" i="28" s="1"/>
  <c r="AW750" i="28"/>
  <c r="BD750" i="28" s="1"/>
  <c r="AV750" i="28"/>
  <c r="BC750" i="28" s="1"/>
  <c r="AU750" i="28"/>
  <c r="BB750" i="28" s="1"/>
  <c r="AT750" i="28"/>
  <c r="BA750" i="28" s="1"/>
  <c r="AY749" i="28"/>
  <c r="BF749" i="28" s="1"/>
  <c r="AX749" i="28"/>
  <c r="BE749" i="28" s="1"/>
  <c r="AW749" i="28"/>
  <c r="BD749" i="28" s="1"/>
  <c r="AV749" i="28"/>
  <c r="BC749" i="28" s="1"/>
  <c r="AU749" i="28"/>
  <c r="BB749" i="28" s="1"/>
  <c r="AT749" i="28"/>
  <c r="BA749" i="28" s="1"/>
  <c r="AY748" i="28"/>
  <c r="BF748" i="28" s="1"/>
  <c r="AX748" i="28"/>
  <c r="BE748" i="28" s="1"/>
  <c r="AW748" i="28"/>
  <c r="BD748" i="28" s="1"/>
  <c r="AV748" i="28"/>
  <c r="BC748" i="28" s="1"/>
  <c r="AU748" i="28"/>
  <c r="BB748" i="28" s="1"/>
  <c r="AT748" i="28"/>
  <c r="BA748" i="28" s="1"/>
  <c r="AY747" i="28"/>
  <c r="BF747" i="28" s="1"/>
  <c r="AX747" i="28"/>
  <c r="BE747" i="28" s="1"/>
  <c r="AW747" i="28"/>
  <c r="BD747" i="28" s="1"/>
  <c r="AV747" i="28"/>
  <c r="BC747" i="28" s="1"/>
  <c r="AU747" i="28"/>
  <c r="BB747" i="28" s="1"/>
  <c r="AT747" i="28"/>
  <c r="BA747" i="28" s="1"/>
  <c r="AY746" i="28"/>
  <c r="BF746" i="28" s="1"/>
  <c r="AX746" i="28"/>
  <c r="BE746" i="28" s="1"/>
  <c r="AW746" i="28"/>
  <c r="BD746" i="28" s="1"/>
  <c r="AV746" i="28"/>
  <c r="BC746" i="28" s="1"/>
  <c r="AU746" i="28"/>
  <c r="BB746" i="28" s="1"/>
  <c r="AT746" i="28"/>
  <c r="BA746" i="28" s="1"/>
  <c r="AY745" i="28"/>
  <c r="BF745" i="28" s="1"/>
  <c r="AX745" i="28"/>
  <c r="BE745" i="28" s="1"/>
  <c r="AW745" i="28"/>
  <c r="BD745" i="28" s="1"/>
  <c r="AV745" i="28"/>
  <c r="BC745" i="28" s="1"/>
  <c r="AU745" i="28"/>
  <c r="BB745" i="28" s="1"/>
  <c r="AT745" i="28"/>
  <c r="BA745" i="28" s="1"/>
  <c r="AX744" i="28"/>
  <c r="BE744" i="28" s="1"/>
  <c r="AW744" i="28"/>
  <c r="BD744" i="28" s="1"/>
  <c r="AV744" i="28"/>
  <c r="BC744" i="28" s="1"/>
  <c r="AU744" i="28"/>
  <c r="BB744" i="28" s="1"/>
  <c r="AT744" i="28"/>
  <c r="BA744" i="28" s="1"/>
  <c r="AX743" i="28"/>
  <c r="BE743" i="28" s="1"/>
  <c r="AW743" i="28"/>
  <c r="BD743" i="28" s="1"/>
  <c r="AV743" i="28"/>
  <c r="BC743" i="28" s="1"/>
  <c r="AU743" i="28"/>
  <c r="BB743" i="28" s="1"/>
  <c r="AT743" i="28"/>
  <c r="BA743" i="28" s="1"/>
  <c r="AY742" i="28"/>
  <c r="BF742" i="28" s="1"/>
  <c r="AX742" i="28"/>
  <c r="BE742" i="28" s="1"/>
  <c r="AW742" i="28"/>
  <c r="BD742" i="28" s="1"/>
  <c r="AV742" i="28"/>
  <c r="BC742" i="28" s="1"/>
  <c r="AU742" i="28"/>
  <c r="BB742" i="28" s="1"/>
  <c r="AT742" i="28"/>
  <c r="BA742" i="28" s="1"/>
  <c r="AY741" i="28"/>
  <c r="BF741" i="28" s="1"/>
  <c r="AX741" i="28"/>
  <c r="BE741" i="28" s="1"/>
  <c r="AW741" i="28"/>
  <c r="BD741" i="28" s="1"/>
  <c r="AV741" i="28"/>
  <c r="BC741" i="28" s="1"/>
  <c r="AU741" i="28"/>
  <c r="BB741" i="28" s="1"/>
  <c r="AT741" i="28"/>
  <c r="BA741" i="28" s="1"/>
  <c r="AY740" i="28"/>
  <c r="BF740" i="28" s="1"/>
  <c r="AX740" i="28"/>
  <c r="BE740" i="28" s="1"/>
  <c r="AW740" i="28"/>
  <c r="BD740" i="28" s="1"/>
  <c r="AV740" i="28"/>
  <c r="BC740" i="28" s="1"/>
  <c r="AU740" i="28"/>
  <c r="BB740" i="28" s="1"/>
  <c r="AT740" i="28"/>
  <c r="BA740" i="28" s="1"/>
  <c r="AY739" i="28"/>
  <c r="BF739" i="28" s="1"/>
  <c r="AX739" i="28"/>
  <c r="BE739" i="28" s="1"/>
  <c r="AW739" i="28"/>
  <c r="BD739" i="28" s="1"/>
  <c r="AV739" i="28"/>
  <c r="BC739" i="28" s="1"/>
  <c r="AU739" i="28"/>
  <c r="BB739" i="28" s="1"/>
  <c r="AT739" i="28"/>
  <c r="BA739" i="28" s="1"/>
  <c r="AY738" i="28"/>
  <c r="BF738" i="28" s="1"/>
  <c r="AX738" i="28"/>
  <c r="BE738" i="28" s="1"/>
  <c r="AW738" i="28"/>
  <c r="BD738" i="28" s="1"/>
  <c r="AV738" i="28"/>
  <c r="BC738" i="28" s="1"/>
  <c r="AU738" i="28"/>
  <c r="BB738" i="28" s="1"/>
  <c r="AT738" i="28"/>
  <c r="BA738" i="28" s="1"/>
  <c r="AY737" i="28"/>
  <c r="BF737" i="28" s="1"/>
  <c r="AX737" i="28"/>
  <c r="BE737" i="28" s="1"/>
  <c r="AW737" i="28"/>
  <c r="BD737" i="28" s="1"/>
  <c r="AV737" i="28"/>
  <c r="BC737" i="28" s="1"/>
  <c r="AU737" i="28"/>
  <c r="BB737" i="28" s="1"/>
  <c r="AT737" i="28"/>
  <c r="BA737" i="28" s="1"/>
  <c r="AX736" i="28"/>
  <c r="BE736" i="28" s="1"/>
  <c r="AW736" i="28"/>
  <c r="BD736" i="28" s="1"/>
  <c r="AV736" i="28"/>
  <c r="BC736" i="28" s="1"/>
  <c r="AU736" i="28"/>
  <c r="BB736" i="28" s="1"/>
  <c r="AT736" i="28"/>
  <c r="BA736" i="28" s="1"/>
  <c r="AX735" i="28"/>
  <c r="BE735" i="28" s="1"/>
  <c r="AW735" i="28"/>
  <c r="BD735" i="28" s="1"/>
  <c r="AV735" i="28"/>
  <c r="BC735" i="28" s="1"/>
  <c r="AU735" i="28"/>
  <c r="BB735" i="28" s="1"/>
  <c r="AT735" i="28"/>
  <c r="BA735" i="28" s="1"/>
  <c r="BF734" i="28"/>
  <c r="AX734" i="28"/>
  <c r="BE734" i="28" s="1"/>
  <c r="AW734" i="28"/>
  <c r="BD734" i="28" s="1"/>
  <c r="AV734" i="28"/>
  <c r="BC734" i="28" s="1"/>
  <c r="AU734" i="28"/>
  <c r="BB734" i="28" s="1"/>
  <c r="AT734" i="28"/>
  <c r="BA734" i="28" s="1"/>
  <c r="AY733" i="28"/>
  <c r="BF733" i="28" s="1"/>
  <c r="AX733" i="28"/>
  <c r="BE733" i="28" s="1"/>
  <c r="AW733" i="28"/>
  <c r="BD733" i="28" s="1"/>
  <c r="AV733" i="28"/>
  <c r="BC733" i="28" s="1"/>
  <c r="AU733" i="28"/>
  <c r="BB733" i="28" s="1"/>
  <c r="AT733" i="28"/>
  <c r="BA733" i="28" s="1"/>
  <c r="AY732" i="28"/>
  <c r="BF732" i="28" s="1"/>
  <c r="AX732" i="28"/>
  <c r="BE732" i="28" s="1"/>
  <c r="AW732" i="28"/>
  <c r="BD732" i="28" s="1"/>
  <c r="AV732" i="28"/>
  <c r="BC732" i="28" s="1"/>
  <c r="AU732" i="28"/>
  <c r="BB732" i="28" s="1"/>
  <c r="AT732" i="28"/>
  <c r="BA732" i="28" s="1"/>
  <c r="AY731" i="28"/>
  <c r="BF731" i="28" s="1"/>
  <c r="AX731" i="28"/>
  <c r="BE731" i="28" s="1"/>
  <c r="AW731" i="28"/>
  <c r="BD731" i="28" s="1"/>
  <c r="AV731" i="28"/>
  <c r="BC731" i="28" s="1"/>
  <c r="AU731" i="28"/>
  <c r="BB731" i="28" s="1"/>
  <c r="AT731" i="28"/>
  <c r="BA731" i="28" s="1"/>
  <c r="AY730" i="28"/>
  <c r="BF730" i="28" s="1"/>
  <c r="AX730" i="28"/>
  <c r="BE730" i="28" s="1"/>
  <c r="AW730" i="28"/>
  <c r="BD730" i="28" s="1"/>
  <c r="AV730" i="28"/>
  <c r="BC730" i="28" s="1"/>
  <c r="AU730" i="28"/>
  <c r="BB730" i="28" s="1"/>
  <c r="AT730" i="28"/>
  <c r="BA730" i="28" s="1"/>
  <c r="AY729" i="28"/>
  <c r="BF729" i="28" s="1"/>
  <c r="AX729" i="28"/>
  <c r="BE729" i="28" s="1"/>
  <c r="AW729" i="28"/>
  <c r="BD729" i="28" s="1"/>
  <c r="AV729" i="28"/>
  <c r="BC729" i="28" s="1"/>
  <c r="AU729" i="28"/>
  <c r="BB729" i="28" s="1"/>
  <c r="AT729" i="28"/>
  <c r="BA729" i="28" s="1"/>
  <c r="AX728" i="28"/>
  <c r="BE728" i="28" s="1"/>
  <c r="AW728" i="28"/>
  <c r="BD728" i="28" s="1"/>
  <c r="AV728" i="28"/>
  <c r="BC728" i="28" s="1"/>
  <c r="AU728" i="28"/>
  <c r="BB728" i="28" s="1"/>
  <c r="AT728" i="28"/>
  <c r="BA728" i="28" s="1"/>
  <c r="AX727" i="28"/>
  <c r="BE727" i="28" s="1"/>
  <c r="AW727" i="28"/>
  <c r="BD727" i="28" s="1"/>
  <c r="AV727" i="28"/>
  <c r="BC727" i="28" s="1"/>
  <c r="AU727" i="28"/>
  <c r="BB727" i="28" s="1"/>
  <c r="AT727" i="28"/>
  <c r="BA727" i="28" s="1"/>
  <c r="AX726" i="28"/>
  <c r="BE726" i="28" s="1"/>
  <c r="AW726" i="28"/>
  <c r="BD726" i="28" s="1"/>
  <c r="AV726" i="28"/>
  <c r="BC726" i="28" s="1"/>
  <c r="AU726" i="28"/>
  <c r="BB726" i="28" s="1"/>
  <c r="AT726" i="28"/>
  <c r="BA726" i="28" s="1"/>
  <c r="AY725" i="28"/>
  <c r="BF725" i="28" s="1"/>
  <c r="AX725" i="28"/>
  <c r="BE725" i="28" s="1"/>
  <c r="AW725" i="28"/>
  <c r="BD725" i="28" s="1"/>
  <c r="AV725" i="28"/>
  <c r="BC725" i="28" s="1"/>
  <c r="AU725" i="28"/>
  <c r="BB725" i="28" s="1"/>
  <c r="AT725" i="28"/>
  <c r="BA725" i="28" s="1"/>
  <c r="AY724" i="28"/>
  <c r="BF724" i="28" s="1"/>
  <c r="AX724" i="28"/>
  <c r="BE724" i="28" s="1"/>
  <c r="AW724" i="28"/>
  <c r="BD724" i="28" s="1"/>
  <c r="AV724" i="28"/>
  <c r="BC724" i="28" s="1"/>
  <c r="AU724" i="28"/>
  <c r="BB724" i="28" s="1"/>
  <c r="AT724" i="28"/>
  <c r="BA724" i="28" s="1"/>
  <c r="AY723" i="28"/>
  <c r="BF723" i="28" s="1"/>
  <c r="AX723" i="28"/>
  <c r="BE723" i="28" s="1"/>
  <c r="AW723" i="28"/>
  <c r="BD723" i="28" s="1"/>
  <c r="AV723" i="28"/>
  <c r="BC723" i="28" s="1"/>
  <c r="AU723" i="28"/>
  <c r="BB723" i="28" s="1"/>
  <c r="AT723" i="28"/>
  <c r="BA723" i="28" s="1"/>
  <c r="AY722" i="28"/>
  <c r="BF722" i="28" s="1"/>
  <c r="AX722" i="28"/>
  <c r="BE722" i="28" s="1"/>
  <c r="AW722" i="28"/>
  <c r="BD722" i="28" s="1"/>
  <c r="AV722" i="28"/>
  <c r="BC722" i="28" s="1"/>
  <c r="AU722" i="28"/>
  <c r="BB722" i="28" s="1"/>
  <c r="AT722" i="28"/>
  <c r="BA722" i="28" s="1"/>
  <c r="AY721" i="28"/>
  <c r="BF721" i="28" s="1"/>
  <c r="AX721" i="28"/>
  <c r="BE721" i="28" s="1"/>
  <c r="AW721" i="28"/>
  <c r="BD721" i="28" s="1"/>
  <c r="AV721" i="28"/>
  <c r="BC721" i="28" s="1"/>
  <c r="AU721" i="28"/>
  <c r="BB721" i="28" s="1"/>
  <c r="AT721" i="28"/>
  <c r="BA721" i="28" s="1"/>
  <c r="AX720" i="28"/>
  <c r="BE720" i="28" s="1"/>
  <c r="AW720" i="28"/>
  <c r="BD720" i="28" s="1"/>
  <c r="AV720" i="28"/>
  <c r="BC720" i="28" s="1"/>
  <c r="AU720" i="28"/>
  <c r="BB720" i="28" s="1"/>
  <c r="AT720" i="28"/>
  <c r="BA720" i="28" s="1"/>
  <c r="AY719" i="28"/>
  <c r="BF719" i="28" s="1"/>
  <c r="AX719" i="28"/>
  <c r="BE719" i="28" s="1"/>
  <c r="AW719" i="28"/>
  <c r="BD719" i="28" s="1"/>
  <c r="AV719" i="28"/>
  <c r="BC719" i="28" s="1"/>
  <c r="AU719" i="28"/>
  <c r="BB719" i="28" s="1"/>
  <c r="AT719" i="28"/>
  <c r="BA719" i="28" s="1"/>
  <c r="AX718" i="28"/>
  <c r="BE718" i="28" s="1"/>
  <c r="AW718" i="28"/>
  <c r="BD718" i="28" s="1"/>
  <c r="AV718" i="28"/>
  <c r="BC718" i="28" s="1"/>
  <c r="AU718" i="28"/>
  <c r="BB718" i="28" s="1"/>
  <c r="AT718" i="28"/>
  <c r="BA718" i="28" s="1"/>
  <c r="AY717" i="28"/>
  <c r="BF717" i="28" s="1"/>
  <c r="AX717" i="28"/>
  <c r="BE717" i="28" s="1"/>
  <c r="AW717" i="28"/>
  <c r="BD717" i="28" s="1"/>
  <c r="AV717" i="28"/>
  <c r="BC717" i="28" s="1"/>
  <c r="AU717" i="28"/>
  <c r="BB717" i="28" s="1"/>
  <c r="AT717" i="28"/>
  <c r="BA717" i="28" s="1"/>
  <c r="AY716" i="28"/>
  <c r="BF716" i="28" s="1"/>
  <c r="AX716" i="28"/>
  <c r="BE716" i="28" s="1"/>
  <c r="AW716" i="28"/>
  <c r="BD716" i="28" s="1"/>
  <c r="AV716" i="28"/>
  <c r="BC716" i="28" s="1"/>
  <c r="AU716" i="28"/>
  <c r="BB716" i="28" s="1"/>
  <c r="AT716" i="28"/>
  <c r="BA716" i="28" s="1"/>
  <c r="AY715" i="28"/>
  <c r="BF715" i="28" s="1"/>
  <c r="AX715" i="28"/>
  <c r="BE715" i="28" s="1"/>
  <c r="AW715" i="28"/>
  <c r="BD715" i="28" s="1"/>
  <c r="AV715" i="28"/>
  <c r="BC715" i="28" s="1"/>
  <c r="AU715" i="28"/>
  <c r="BB715" i="28" s="1"/>
  <c r="AT715" i="28"/>
  <c r="BA715" i="28" s="1"/>
  <c r="AY714" i="28"/>
  <c r="BF714" i="28" s="1"/>
  <c r="AX714" i="28"/>
  <c r="BE714" i="28" s="1"/>
  <c r="AW714" i="28"/>
  <c r="BD714" i="28" s="1"/>
  <c r="AV714" i="28"/>
  <c r="BC714" i="28" s="1"/>
  <c r="AU714" i="28"/>
  <c r="BB714" i="28" s="1"/>
  <c r="AT714" i="28"/>
  <c r="BA714" i="28" s="1"/>
  <c r="AY713" i="28"/>
  <c r="BF713" i="28" s="1"/>
  <c r="AX713" i="28"/>
  <c r="BE713" i="28" s="1"/>
  <c r="AW713" i="28"/>
  <c r="BD713" i="28" s="1"/>
  <c r="AV713" i="28"/>
  <c r="BC713" i="28" s="1"/>
  <c r="AU713" i="28"/>
  <c r="BB713" i="28" s="1"/>
  <c r="AT713" i="28"/>
  <c r="BA713" i="28" s="1"/>
  <c r="AX712" i="28"/>
  <c r="BE712" i="28" s="1"/>
  <c r="AW712" i="28"/>
  <c r="BD712" i="28" s="1"/>
  <c r="AV712" i="28"/>
  <c r="BC712" i="28" s="1"/>
  <c r="AU712" i="28"/>
  <c r="BB712" i="28" s="1"/>
  <c r="AT712" i="28"/>
  <c r="BA712" i="28" s="1"/>
  <c r="AX711" i="28"/>
  <c r="BE711" i="28" s="1"/>
  <c r="AW711" i="28"/>
  <c r="BD711" i="28" s="1"/>
  <c r="AV711" i="28"/>
  <c r="BC711" i="28" s="1"/>
  <c r="AU711" i="28"/>
  <c r="BB711" i="28" s="1"/>
  <c r="AT711" i="28"/>
  <c r="BA711" i="28" s="1"/>
  <c r="AX710" i="28"/>
  <c r="BE710" i="28" s="1"/>
  <c r="AW710" i="28"/>
  <c r="BD710" i="28" s="1"/>
  <c r="AV710" i="28"/>
  <c r="BC710" i="28" s="1"/>
  <c r="AU710" i="28"/>
  <c r="BB710" i="28" s="1"/>
  <c r="AT710" i="28"/>
  <c r="BA710" i="28" s="1"/>
  <c r="AY709" i="28"/>
  <c r="BF709" i="28" s="1"/>
  <c r="AX709" i="28"/>
  <c r="BE709" i="28" s="1"/>
  <c r="AW709" i="28"/>
  <c r="BD709" i="28" s="1"/>
  <c r="AV709" i="28"/>
  <c r="BC709" i="28" s="1"/>
  <c r="AU709" i="28"/>
  <c r="BB709" i="28" s="1"/>
  <c r="AT709" i="28"/>
  <c r="BA709" i="28" s="1"/>
  <c r="AY708" i="28"/>
  <c r="BF708" i="28" s="1"/>
  <c r="AX708" i="28"/>
  <c r="BE708" i="28" s="1"/>
  <c r="AW708" i="28"/>
  <c r="BD708" i="28" s="1"/>
  <c r="AV708" i="28"/>
  <c r="BC708" i="28" s="1"/>
  <c r="AU708" i="28"/>
  <c r="BB708" i="28" s="1"/>
  <c r="AT708" i="28"/>
  <c r="BA708" i="28" s="1"/>
  <c r="AY707" i="28"/>
  <c r="BF707" i="28" s="1"/>
  <c r="AX707" i="28"/>
  <c r="BE707" i="28" s="1"/>
  <c r="AW707" i="28"/>
  <c r="BD707" i="28" s="1"/>
  <c r="AV707" i="28"/>
  <c r="BC707" i="28" s="1"/>
  <c r="AU707" i="28"/>
  <c r="BB707" i="28" s="1"/>
  <c r="AT707" i="28"/>
  <c r="BA707" i="28" s="1"/>
  <c r="AY706" i="28"/>
  <c r="BF706" i="28" s="1"/>
  <c r="AX706" i="28"/>
  <c r="BE706" i="28" s="1"/>
  <c r="AW706" i="28"/>
  <c r="BD706" i="28" s="1"/>
  <c r="AV706" i="28"/>
  <c r="BC706" i="28" s="1"/>
  <c r="AU706" i="28"/>
  <c r="BB706" i="28" s="1"/>
  <c r="AT706" i="28"/>
  <c r="BA706" i="28" s="1"/>
  <c r="AY705" i="28"/>
  <c r="BF705" i="28" s="1"/>
  <c r="AX705" i="28"/>
  <c r="BE705" i="28" s="1"/>
  <c r="AW705" i="28"/>
  <c r="BD705" i="28" s="1"/>
  <c r="AV705" i="28"/>
  <c r="BC705" i="28" s="1"/>
  <c r="AU705" i="28"/>
  <c r="BB705" i="28" s="1"/>
  <c r="AT705" i="28"/>
  <c r="BA705" i="28" s="1"/>
  <c r="AX704" i="28"/>
  <c r="BE704" i="28" s="1"/>
  <c r="AW704" i="28"/>
  <c r="BD704" i="28" s="1"/>
  <c r="AV704" i="28"/>
  <c r="BC704" i="28" s="1"/>
  <c r="AU704" i="28"/>
  <c r="BB704" i="28" s="1"/>
  <c r="AT704" i="28"/>
  <c r="BA704" i="28" s="1"/>
  <c r="AY703" i="28"/>
  <c r="BF703" i="28" s="1"/>
  <c r="AX703" i="28"/>
  <c r="BE703" i="28" s="1"/>
  <c r="AW703" i="28"/>
  <c r="BD703" i="28" s="1"/>
  <c r="AV703" i="28"/>
  <c r="BC703" i="28" s="1"/>
  <c r="AU703" i="28"/>
  <c r="BB703" i="28" s="1"/>
  <c r="AT703" i="28"/>
  <c r="BA703" i="28" s="1"/>
  <c r="AX702" i="28"/>
  <c r="BE702" i="28" s="1"/>
  <c r="AW702" i="28"/>
  <c r="BD702" i="28" s="1"/>
  <c r="AV702" i="28"/>
  <c r="BC702" i="28" s="1"/>
  <c r="AU702" i="28"/>
  <c r="BB702" i="28" s="1"/>
  <c r="AT702" i="28"/>
  <c r="BA702" i="28" s="1"/>
  <c r="AY701" i="28"/>
  <c r="BF701" i="28" s="1"/>
  <c r="AX701" i="28"/>
  <c r="BE701" i="28" s="1"/>
  <c r="AW701" i="28"/>
  <c r="BD701" i="28" s="1"/>
  <c r="AV701" i="28"/>
  <c r="BC701" i="28" s="1"/>
  <c r="AU701" i="28"/>
  <c r="BB701" i="28" s="1"/>
  <c r="AT701" i="28"/>
  <c r="BA701" i="28" s="1"/>
  <c r="AY700" i="28"/>
  <c r="BF700" i="28" s="1"/>
  <c r="AX700" i="28"/>
  <c r="BE700" i="28" s="1"/>
  <c r="AW700" i="28"/>
  <c r="BD700" i="28" s="1"/>
  <c r="AV700" i="28"/>
  <c r="BC700" i="28" s="1"/>
  <c r="AU700" i="28"/>
  <c r="BB700" i="28" s="1"/>
  <c r="AT700" i="28"/>
  <c r="BA700" i="28" s="1"/>
  <c r="AY699" i="28"/>
  <c r="BF699" i="28" s="1"/>
  <c r="AX699" i="28"/>
  <c r="BE699" i="28" s="1"/>
  <c r="AW699" i="28"/>
  <c r="BD699" i="28" s="1"/>
  <c r="AV699" i="28"/>
  <c r="BC699" i="28" s="1"/>
  <c r="AU699" i="28"/>
  <c r="BB699" i="28" s="1"/>
  <c r="AT699" i="28"/>
  <c r="BA699" i="28" s="1"/>
  <c r="AY698" i="28"/>
  <c r="BF698" i="28" s="1"/>
  <c r="AX698" i="28"/>
  <c r="BE698" i="28" s="1"/>
  <c r="AW698" i="28"/>
  <c r="BD698" i="28" s="1"/>
  <c r="AV698" i="28"/>
  <c r="BC698" i="28" s="1"/>
  <c r="AU698" i="28"/>
  <c r="BB698" i="28" s="1"/>
  <c r="AT698" i="28"/>
  <c r="BA698" i="28" s="1"/>
  <c r="AY697" i="28"/>
  <c r="BF697" i="28" s="1"/>
  <c r="AX697" i="28"/>
  <c r="BE697" i="28" s="1"/>
  <c r="AW697" i="28"/>
  <c r="BD697" i="28" s="1"/>
  <c r="AV697" i="28"/>
  <c r="BC697" i="28" s="1"/>
  <c r="AU697" i="28"/>
  <c r="BB697" i="28" s="1"/>
  <c r="AT697" i="28"/>
  <c r="BA697" i="28" s="1"/>
  <c r="AX696" i="28"/>
  <c r="BE696" i="28" s="1"/>
  <c r="AW696" i="28"/>
  <c r="BD696" i="28" s="1"/>
  <c r="AV696" i="28"/>
  <c r="BC696" i="28" s="1"/>
  <c r="AU696" i="28"/>
  <c r="BB696" i="28" s="1"/>
  <c r="AT696" i="28"/>
  <c r="BA696" i="28" s="1"/>
  <c r="AX695" i="28"/>
  <c r="BE695" i="28" s="1"/>
  <c r="AW695" i="28"/>
  <c r="BD695" i="28" s="1"/>
  <c r="AV695" i="28"/>
  <c r="BC695" i="28" s="1"/>
  <c r="AU695" i="28"/>
  <c r="BB695" i="28" s="1"/>
  <c r="AT695" i="28"/>
  <c r="BA695" i="28" s="1"/>
  <c r="AX694" i="28"/>
  <c r="BE694" i="28" s="1"/>
  <c r="AW694" i="28"/>
  <c r="BD694" i="28" s="1"/>
  <c r="AV694" i="28"/>
  <c r="BC694" i="28" s="1"/>
  <c r="AU694" i="28"/>
  <c r="BB694" i="28" s="1"/>
  <c r="AT694" i="28"/>
  <c r="BA694" i="28" s="1"/>
  <c r="AY693" i="28"/>
  <c r="BF693" i="28" s="1"/>
  <c r="AX693" i="28"/>
  <c r="BE693" i="28" s="1"/>
  <c r="AW693" i="28"/>
  <c r="BD693" i="28" s="1"/>
  <c r="AV693" i="28"/>
  <c r="BC693" i="28" s="1"/>
  <c r="AU693" i="28"/>
  <c r="BB693" i="28" s="1"/>
  <c r="AT693" i="28"/>
  <c r="BA693" i="28" s="1"/>
  <c r="AY692" i="28"/>
  <c r="BF692" i="28" s="1"/>
  <c r="AX692" i="28"/>
  <c r="BE692" i="28" s="1"/>
  <c r="AW692" i="28"/>
  <c r="BD692" i="28" s="1"/>
  <c r="AV692" i="28"/>
  <c r="BC692" i="28" s="1"/>
  <c r="AU692" i="28"/>
  <c r="BB692" i="28" s="1"/>
  <c r="AT692" i="28"/>
  <c r="BA692" i="28" s="1"/>
  <c r="AY691" i="28"/>
  <c r="BF691" i="28" s="1"/>
  <c r="AX691" i="28"/>
  <c r="BE691" i="28" s="1"/>
  <c r="AW691" i="28"/>
  <c r="BD691" i="28" s="1"/>
  <c r="AV691" i="28"/>
  <c r="BC691" i="28" s="1"/>
  <c r="AU691" i="28"/>
  <c r="BB691" i="28" s="1"/>
  <c r="AT691" i="28"/>
  <c r="BA691" i="28" s="1"/>
  <c r="AY690" i="28"/>
  <c r="BF690" i="28" s="1"/>
  <c r="AX690" i="28"/>
  <c r="BE690" i="28" s="1"/>
  <c r="AW690" i="28"/>
  <c r="BD690" i="28" s="1"/>
  <c r="AV690" i="28"/>
  <c r="BC690" i="28" s="1"/>
  <c r="AU690" i="28"/>
  <c r="BB690" i="28" s="1"/>
  <c r="AT690" i="28"/>
  <c r="BA690" i="28" s="1"/>
  <c r="AY689" i="28"/>
  <c r="BF689" i="28" s="1"/>
  <c r="AX689" i="28"/>
  <c r="BE689" i="28" s="1"/>
  <c r="AW689" i="28"/>
  <c r="BD689" i="28" s="1"/>
  <c r="AV689" i="28"/>
  <c r="BC689" i="28" s="1"/>
  <c r="AU689" i="28"/>
  <c r="BB689" i="28" s="1"/>
  <c r="AT689" i="28"/>
  <c r="BA689" i="28" s="1"/>
  <c r="AX688" i="28"/>
  <c r="BE688" i="28" s="1"/>
  <c r="AW688" i="28"/>
  <c r="BD688" i="28" s="1"/>
  <c r="AV688" i="28"/>
  <c r="BC688" i="28" s="1"/>
  <c r="AU688" i="28"/>
  <c r="BB688" i="28" s="1"/>
  <c r="AT688" i="28"/>
  <c r="BA688" i="28" s="1"/>
  <c r="AX687" i="28"/>
  <c r="BE687" i="28" s="1"/>
  <c r="AW687" i="28"/>
  <c r="BD687" i="28" s="1"/>
  <c r="AV687" i="28"/>
  <c r="BC687" i="28" s="1"/>
  <c r="AU687" i="28"/>
  <c r="BB687" i="28" s="1"/>
  <c r="AT687" i="28"/>
  <c r="BA687" i="28" s="1"/>
  <c r="AX686" i="28"/>
  <c r="BE686" i="28" s="1"/>
  <c r="AW686" i="28"/>
  <c r="BD686" i="28" s="1"/>
  <c r="AV686" i="28"/>
  <c r="BC686" i="28" s="1"/>
  <c r="AU686" i="28"/>
  <c r="BB686" i="28" s="1"/>
  <c r="AT686" i="28"/>
  <c r="BA686" i="28" s="1"/>
  <c r="AY685" i="28"/>
  <c r="BF685" i="28" s="1"/>
  <c r="AX685" i="28"/>
  <c r="BE685" i="28" s="1"/>
  <c r="AW685" i="28"/>
  <c r="BD685" i="28" s="1"/>
  <c r="AV685" i="28"/>
  <c r="BC685" i="28" s="1"/>
  <c r="AU685" i="28"/>
  <c r="BB685" i="28" s="1"/>
  <c r="AT685" i="28"/>
  <c r="BA685" i="28" s="1"/>
  <c r="AY684" i="28"/>
  <c r="BF684" i="28" s="1"/>
  <c r="AX684" i="28"/>
  <c r="BE684" i="28" s="1"/>
  <c r="AW684" i="28"/>
  <c r="BD684" i="28" s="1"/>
  <c r="AV684" i="28"/>
  <c r="BC684" i="28" s="1"/>
  <c r="AU684" i="28"/>
  <c r="BB684" i="28" s="1"/>
  <c r="AT684" i="28"/>
  <c r="BA684" i="28" s="1"/>
  <c r="AY683" i="28"/>
  <c r="BF683" i="28" s="1"/>
  <c r="AX683" i="28"/>
  <c r="BE683" i="28" s="1"/>
  <c r="AW683" i="28"/>
  <c r="BD683" i="28" s="1"/>
  <c r="AV683" i="28"/>
  <c r="BC683" i="28" s="1"/>
  <c r="AU683" i="28"/>
  <c r="BB683" i="28" s="1"/>
  <c r="AT683" i="28"/>
  <c r="BA683" i="28" s="1"/>
  <c r="AY682" i="28"/>
  <c r="BF682" i="28" s="1"/>
  <c r="AX682" i="28"/>
  <c r="BE682" i="28" s="1"/>
  <c r="AW682" i="28"/>
  <c r="BD682" i="28" s="1"/>
  <c r="AV682" i="28"/>
  <c r="BC682" i="28" s="1"/>
  <c r="AU682" i="28"/>
  <c r="BB682" i="28" s="1"/>
  <c r="AT682" i="28"/>
  <c r="BA682" i="28" s="1"/>
  <c r="AY681" i="28"/>
  <c r="BF681" i="28" s="1"/>
  <c r="AX681" i="28"/>
  <c r="BE681" i="28" s="1"/>
  <c r="AW681" i="28"/>
  <c r="BD681" i="28" s="1"/>
  <c r="AV681" i="28"/>
  <c r="BC681" i="28" s="1"/>
  <c r="AU681" i="28"/>
  <c r="BB681" i="28" s="1"/>
  <c r="AT681" i="28"/>
  <c r="BA681" i="28" s="1"/>
  <c r="AX680" i="28"/>
  <c r="BE680" i="28" s="1"/>
  <c r="AW680" i="28"/>
  <c r="BD680" i="28" s="1"/>
  <c r="AV680" i="28"/>
  <c r="BC680" i="28" s="1"/>
  <c r="AU680" i="28"/>
  <c r="BB680" i="28" s="1"/>
  <c r="AT680" i="28"/>
  <c r="BA680" i="28" s="1"/>
  <c r="AY679" i="28"/>
  <c r="BF679" i="28" s="1"/>
  <c r="AX679" i="28"/>
  <c r="BE679" i="28" s="1"/>
  <c r="AW679" i="28"/>
  <c r="BD679" i="28" s="1"/>
  <c r="AV679" i="28"/>
  <c r="BC679" i="28" s="1"/>
  <c r="AU679" i="28"/>
  <c r="BB679" i="28" s="1"/>
  <c r="AT679" i="28"/>
  <c r="BA679" i="28" s="1"/>
  <c r="AX678" i="28"/>
  <c r="BE678" i="28" s="1"/>
  <c r="AW678" i="28"/>
  <c r="BD678" i="28" s="1"/>
  <c r="AV678" i="28"/>
  <c r="BC678" i="28" s="1"/>
  <c r="AU678" i="28"/>
  <c r="BB678" i="28" s="1"/>
  <c r="AT678" i="28"/>
  <c r="BA678" i="28" s="1"/>
  <c r="AY677" i="28"/>
  <c r="BF677" i="28" s="1"/>
  <c r="AX677" i="28"/>
  <c r="BE677" i="28" s="1"/>
  <c r="AW677" i="28"/>
  <c r="BD677" i="28" s="1"/>
  <c r="AV677" i="28"/>
  <c r="BC677" i="28" s="1"/>
  <c r="AU677" i="28"/>
  <c r="BB677" i="28" s="1"/>
  <c r="AT677" i="28"/>
  <c r="BA677" i="28" s="1"/>
  <c r="AY676" i="28"/>
  <c r="BF676" i="28" s="1"/>
  <c r="AX676" i="28"/>
  <c r="BE676" i="28" s="1"/>
  <c r="AW676" i="28"/>
  <c r="BD676" i="28" s="1"/>
  <c r="AV676" i="28"/>
  <c r="BC676" i="28" s="1"/>
  <c r="AU676" i="28"/>
  <c r="BB676" i="28" s="1"/>
  <c r="AT676" i="28"/>
  <c r="BA676" i="28" s="1"/>
  <c r="AY675" i="28"/>
  <c r="BF675" i="28" s="1"/>
  <c r="AX675" i="28"/>
  <c r="BE675" i="28" s="1"/>
  <c r="AW675" i="28"/>
  <c r="BD675" i="28" s="1"/>
  <c r="AV675" i="28"/>
  <c r="BC675" i="28" s="1"/>
  <c r="AU675" i="28"/>
  <c r="BB675" i="28" s="1"/>
  <c r="AT675" i="28"/>
  <c r="BA675" i="28" s="1"/>
  <c r="AY674" i="28"/>
  <c r="BF674" i="28" s="1"/>
  <c r="AX674" i="28"/>
  <c r="BE674" i="28" s="1"/>
  <c r="AW674" i="28"/>
  <c r="BD674" i="28" s="1"/>
  <c r="AV674" i="28"/>
  <c r="BC674" i="28" s="1"/>
  <c r="AU674" i="28"/>
  <c r="BB674" i="28" s="1"/>
  <c r="AT674" i="28"/>
  <c r="BA674" i="28" s="1"/>
  <c r="AY673" i="28"/>
  <c r="BF673" i="28" s="1"/>
  <c r="AX673" i="28"/>
  <c r="BE673" i="28" s="1"/>
  <c r="AW673" i="28"/>
  <c r="BD673" i="28" s="1"/>
  <c r="AV673" i="28"/>
  <c r="BC673" i="28" s="1"/>
  <c r="AU673" i="28"/>
  <c r="BB673" i="28" s="1"/>
  <c r="AT673" i="28"/>
  <c r="BA673" i="28" s="1"/>
  <c r="AX672" i="28"/>
  <c r="BE672" i="28" s="1"/>
  <c r="AW672" i="28"/>
  <c r="BD672" i="28" s="1"/>
  <c r="AV672" i="28"/>
  <c r="BC672" i="28" s="1"/>
  <c r="AU672" i="28"/>
  <c r="BB672" i="28" s="1"/>
  <c r="AT672" i="28"/>
  <c r="BA672" i="28" s="1"/>
  <c r="AX671" i="28"/>
  <c r="BE671" i="28" s="1"/>
  <c r="AW671" i="28"/>
  <c r="BD671" i="28" s="1"/>
  <c r="AV671" i="28"/>
  <c r="BC671" i="28" s="1"/>
  <c r="AU671" i="28"/>
  <c r="BB671" i="28" s="1"/>
  <c r="AT671" i="28"/>
  <c r="BA671" i="28" s="1"/>
  <c r="AX670" i="28"/>
  <c r="BE670" i="28" s="1"/>
  <c r="AW670" i="28"/>
  <c r="BD670" i="28" s="1"/>
  <c r="AV670" i="28"/>
  <c r="BC670" i="28" s="1"/>
  <c r="AU670" i="28"/>
  <c r="BB670" i="28" s="1"/>
  <c r="AT670" i="28"/>
  <c r="BA670" i="28" s="1"/>
  <c r="AY669" i="28"/>
  <c r="BF669" i="28" s="1"/>
  <c r="AX669" i="28"/>
  <c r="BE669" i="28" s="1"/>
  <c r="AW669" i="28"/>
  <c r="BD669" i="28" s="1"/>
  <c r="AV669" i="28"/>
  <c r="BC669" i="28" s="1"/>
  <c r="AU669" i="28"/>
  <c r="BB669" i="28" s="1"/>
  <c r="AT669" i="28"/>
  <c r="BA669" i="28" s="1"/>
  <c r="AY668" i="28"/>
  <c r="BF668" i="28" s="1"/>
  <c r="AX668" i="28"/>
  <c r="BE668" i="28" s="1"/>
  <c r="AW668" i="28"/>
  <c r="BD668" i="28" s="1"/>
  <c r="AV668" i="28"/>
  <c r="BC668" i="28" s="1"/>
  <c r="AU668" i="28"/>
  <c r="BB668" i="28" s="1"/>
  <c r="AT668" i="28"/>
  <c r="BA668" i="28" s="1"/>
  <c r="AY667" i="28"/>
  <c r="BF667" i="28" s="1"/>
  <c r="AX667" i="28"/>
  <c r="BE667" i="28" s="1"/>
  <c r="AW667" i="28"/>
  <c r="BD667" i="28" s="1"/>
  <c r="AV667" i="28"/>
  <c r="BC667" i="28" s="1"/>
  <c r="AU667" i="28"/>
  <c r="BB667" i="28" s="1"/>
  <c r="AT667" i="28"/>
  <c r="BA667" i="28" s="1"/>
  <c r="AY666" i="28"/>
  <c r="BF666" i="28" s="1"/>
  <c r="AX666" i="28"/>
  <c r="BE666" i="28" s="1"/>
  <c r="AW666" i="28"/>
  <c r="BD666" i="28" s="1"/>
  <c r="AV666" i="28"/>
  <c r="BC666" i="28" s="1"/>
  <c r="AU666" i="28"/>
  <c r="BB666" i="28" s="1"/>
  <c r="AT666" i="28"/>
  <c r="BA666" i="28" s="1"/>
  <c r="AY665" i="28"/>
  <c r="BF665" i="28" s="1"/>
  <c r="AX665" i="28"/>
  <c r="BE665" i="28" s="1"/>
  <c r="AW665" i="28"/>
  <c r="BD665" i="28" s="1"/>
  <c r="AV665" i="28"/>
  <c r="BC665" i="28" s="1"/>
  <c r="AU665" i="28"/>
  <c r="BB665" i="28" s="1"/>
  <c r="AT665" i="28"/>
  <c r="BA665" i="28" s="1"/>
  <c r="AX664" i="28"/>
  <c r="BE664" i="28" s="1"/>
  <c r="AW664" i="28"/>
  <c r="BD664" i="28" s="1"/>
  <c r="AV664" i="28"/>
  <c r="BC664" i="28" s="1"/>
  <c r="AU664" i="28"/>
  <c r="BB664" i="28" s="1"/>
  <c r="AT664" i="28"/>
  <c r="BA664" i="28" s="1"/>
  <c r="AX663" i="28"/>
  <c r="BE663" i="28" s="1"/>
  <c r="AW663" i="28"/>
  <c r="BD663" i="28" s="1"/>
  <c r="AV663" i="28"/>
  <c r="BC663" i="28" s="1"/>
  <c r="AU663" i="28"/>
  <c r="BB663" i="28" s="1"/>
  <c r="AT663" i="28"/>
  <c r="BA663" i="28" s="1"/>
  <c r="AX662" i="28"/>
  <c r="BE662" i="28" s="1"/>
  <c r="AW662" i="28"/>
  <c r="BD662" i="28" s="1"/>
  <c r="AV662" i="28"/>
  <c r="BC662" i="28" s="1"/>
  <c r="AU662" i="28"/>
  <c r="BB662" i="28" s="1"/>
  <c r="AT662" i="28"/>
  <c r="BA662" i="28" s="1"/>
  <c r="AY661" i="28"/>
  <c r="BF661" i="28" s="1"/>
  <c r="AX661" i="28"/>
  <c r="BE661" i="28" s="1"/>
  <c r="AW661" i="28"/>
  <c r="BD661" i="28" s="1"/>
  <c r="AV661" i="28"/>
  <c r="BC661" i="28" s="1"/>
  <c r="AU661" i="28"/>
  <c r="BB661" i="28" s="1"/>
  <c r="AT661" i="28"/>
  <c r="BA661" i="28" s="1"/>
  <c r="AY660" i="28"/>
  <c r="BF660" i="28" s="1"/>
  <c r="AX660" i="28"/>
  <c r="BE660" i="28" s="1"/>
  <c r="AW660" i="28"/>
  <c r="BD660" i="28" s="1"/>
  <c r="AV660" i="28"/>
  <c r="BC660" i="28" s="1"/>
  <c r="AU660" i="28"/>
  <c r="BB660" i="28" s="1"/>
  <c r="AT660" i="28"/>
  <c r="BA660" i="28" s="1"/>
  <c r="AY659" i="28"/>
  <c r="BF659" i="28" s="1"/>
  <c r="AX659" i="28"/>
  <c r="BE659" i="28" s="1"/>
  <c r="AW659" i="28"/>
  <c r="BD659" i="28" s="1"/>
  <c r="AV659" i="28"/>
  <c r="BC659" i="28" s="1"/>
  <c r="AU659" i="28"/>
  <c r="BB659" i="28" s="1"/>
  <c r="AT659" i="28"/>
  <c r="BA659" i="28" s="1"/>
  <c r="AY658" i="28"/>
  <c r="BF658" i="28" s="1"/>
  <c r="AX658" i="28"/>
  <c r="BE658" i="28" s="1"/>
  <c r="AW658" i="28"/>
  <c r="BD658" i="28" s="1"/>
  <c r="AV658" i="28"/>
  <c r="BC658" i="28" s="1"/>
  <c r="AU658" i="28"/>
  <c r="BB658" i="28" s="1"/>
  <c r="AT658" i="28"/>
  <c r="BA658" i="28" s="1"/>
  <c r="AY657" i="28"/>
  <c r="BF657" i="28" s="1"/>
  <c r="AX657" i="28"/>
  <c r="BE657" i="28" s="1"/>
  <c r="AW657" i="28"/>
  <c r="BD657" i="28" s="1"/>
  <c r="AV657" i="28"/>
  <c r="BC657" i="28" s="1"/>
  <c r="AU657" i="28"/>
  <c r="BB657" i="28" s="1"/>
  <c r="AT657" i="28"/>
  <c r="BA657" i="28" s="1"/>
  <c r="AX656" i="28"/>
  <c r="BE656" i="28" s="1"/>
  <c r="AW656" i="28"/>
  <c r="BD656" i="28" s="1"/>
  <c r="AV656" i="28"/>
  <c r="BC656" i="28" s="1"/>
  <c r="AU656" i="28"/>
  <c r="BB656" i="28" s="1"/>
  <c r="AT656" i="28"/>
  <c r="BA656" i="28" s="1"/>
  <c r="AX655" i="28"/>
  <c r="BE655" i="28" s="1"/>
  <c r="AW655" i="28"/>
  <c r="BD655" i="28" s="1"/>
  <c r="AV655" i="28"/>
  <c r="BC655" i="28" s="1"/>
  <c r="AU655" i="28"/>
  <c r="BB655" i="28" s="1"/>
  <c r="AT655" i="28"/>
  <c r="BA655" i="28" s="1"/>
  <c r="AX654" i="28"/>
  <c r="BE654" i="28" s="1"/>
  <c r="AW654" i="28"/>
  <c r="BD654" i="28" s="1"/>
  <c r="AV654" i="28"/>
  <c r="BC654" i="28" s="1"/>
  <c r="AU654" i="28"/>
  <c r="BB654" i="28" s="1"/>
  <c r="AT654" i="28"/>
  <c r="BA654" i="28" s="1"/>
  <c r="AY653" i="28"/>
  <c r="BF653" i="28" s="1"/>
  <c r="AX653" i="28"/>
  <c r="BE653" i="28" s="1"/>
  <c r="AW653" i="28"/>
  <c r="BD653" i="28" s="1"/>
  <c r="AV653" i="28"/>
  <c r="BC653" i="28" s="1"/>
  <c r="AU653" i="28"/>
  <c r="BB653" i="28" s="1"/>
  <c r="AT653" i="28"/>
  <c r="BA653" i="28" s="1"/>
  <c r="AY652" i="28"/>
  <c r="BF652" i="28" s="1"/>
  <c r="AX652" i="28"/>
  <c r="BE652" i="28" s="1"/>
  <c r="AW652" i="28"/>
  <c r="BD652" i="28" s="1"/>
  <c r="AV652" i="28"/>
  <c r="BC652" i="28" s="1"/>
  <c r="AU652" i="28"/>
  <c r="BB652" i="28" s="1"/>
  <c r="AT652" i="28"/>
  <c r="BA652" i="28" s="1"/>
  <c r="AY651" i="28"/>
  <c r="BF651" i="28" s="1"/>
  <c r="AX651" i="28"/>
  <c r="BE651" i="28" s="1"/>
  <c r="AW651" i="28"/>
  <c r="BD651" i="28" s="1"/>
  <c r="AV651" i="28"/>
  <c r="BC651" i="28" s="1"/>
  <c r="AU651" i="28"/>
  <c r="BB651" i="28" s="1"/>
  <c r="AT651" i="28"/>
  <c r="BA651" i="28" s="1"/>
  <c r="AY650" i="28"/>
  <c r="BF650" i="28" s="1"/>
  <c r="AX650" i="28"/>
  <c r="BE650" i="28" s="1"/>
  <c r="AW650" i="28"/>
  <c r="BD650" i="28" s="1"/>
  <c r="AV650" i="28"/>
  <c r="BC650" i="28" s="1"/>
  <c r="AU650" i="28"/>
  <c r="BB650" i="28" s="1"/>
  <c r="AT650" i="28"/>
  <c r="BA650" i="28" s="1"/>
  <c r="AY649" i="28"/>
  <c r="BF649" i="28" s="1"/>
  <c r="AX649" i="28"/>
  <c r="BE649" i="28" s="1"/>
  <c r="AW649" i="28"/>
  <c r="BD649" i="28" s="1"/>
  <c r="AV649" i="28"/>
  <c r="BC649" i="28" s="1"/>
  <c r="AU649" i="28"/>
  <c r="BB649" i="28" s="1"/>
  <c r="AT649" i="28"/>
  <c r="BA649" i="28" s="1"/>
  <c r="AX648" i="28"/>
  <c r="BE648" i="28" s="1"/>
  <c r="AW648" i="28"/>
  <c r="BD648" i="28" s="1"/>
  <c r="AV648" i="28"/>
  <c r="BC648" i="28" s="1"/>
  <c r="AU648" i="28"/>
  <c r="BB648" i="28" s="1"/>
  <c r="AT648" i="28"/>
  <c r="BA648" i="28" s="1"/>
  <c r="AY647" i="28"/>
  <c r="BF647" i="28" s="1"/>
  <c r="AX647" i="28"/>
  <c r="BE647" i="28" s="1"/>
  <c r="AW647" i="28"/>
  <c r="BD647" i="28" s="1"/>
  <c r="AV647" i="28"/>
  <c r="BC647" i="28" s="1"/>
  <c r="AU647" i="28"/>
  <c r="BB647" i="28" s="1"/>
  <c r="AT647" i="28"/>
  <c r="BA647" i="28" s="1"/>
  <c r="AX646" i="28"/>
  <c r="BE646" i="28" s="1"/>
  <c r="AW646" i="28"/>
  <c r="BD646" i="28" s="1"/>
  <c r="AV646" i="28"/>
  <c r="BC646" i="28" s="1"/>
  <c r="AU646" i="28"/>
  <c r="BB646" i="28" s="1"/>
  <c r="AT646" i="28"/>
  <c r="BA646" i="28" s="1"/>
  <c r="AY645" i="28"/>
  <c r="BF645" i="28" s="1"/>
  <c r="AX645" i="28"/>
  <c r="BE645" i="28" s="1"/>
  <c r="AW645" i="28"/>
  <c r="BD645" i="28" s="1"/>
  <c r="AV645" i="28"/>
  <c r="BC645" i="28" s="1"/>
  <c r="AU645" i="28"/>
  <c r="BB645" i="28" s="1"/>
  <c r="AT645" i="28"/>
  <c r="BA645" i="28" s="1"/>
  <c r="AY644" i="28"/>
  <c r="BF644" i="28" s="1"/>
  <c r="AX644" i="28"/>
  <c r="BE644" i="28" s="1"/>
  <c r="AW644" i="28"/>
  <c r="BD644" i="28" s="1"/>
  <c r="AV644" i="28"/>
  <c r="BC644" i="28" s="1"/>
  <c r="AU644" i="28"/>
  <c r="BB644" i="28" s="1"/>
  <c r="AT644" i="28"/>
  <c r="BA644" i="28" s="1"/>
  <c r="AY643" i="28"/>
  <c r="BF643" i="28" s="1"/>
  <c r="AX643" i="28"/>
  <c r="BE643" i="28" s="1"/>
  <c r="AW643" i="28"/>
  <c r="BD643" i="28" s="1"/>
  <c r="AV643" i="28"/>
  <c r="BC643" i="28" s="1"/>
  <c r="AU643" i="28"/>
  <c r="BB643" i="28" s="1"/>
  <c r="AT643" i="28"/>
  <c r="BA643" i="28" s="1"/>
  <c r="AY642" i="28"/>
  <c r="BF642" i="28" s="1"/>
  <c r="AX642" i="28"/>
  <c r="BE642" i="28" s="1"/>
  <c r="AW642" i="28"/>
  <c r="BD642" i="28" s="1"/>
  <c r="AV642" i="28"/>
  <c r="BC642" i="28" s="1"/>
  <c r="AU642" i="28"/>
  <c r="BB642" i="28" s="1"/>
  <c r="AT642" i="28"/>
  <c r="BA642" i="28" s="1"/>
  <c r="AY641" i="28"/>
  <c r="BF641" i="28" s="1"/>
  <c r="AX641" i="28"/>
  <c r="BE641" i="28" s="1"/>
  <c r="AW641" i="28"/>
  <c r="BD641" i="28" s="1"/>
  <c r="AV641" i="28"/>
  <c r="BC641" i="28" s="1"/>
  <c r="AU641" i="28"/>
  <c r="BB641" i="28" s="1"/>
  <c r="AT641" i="28"/>
  <c r="BA641" i="28" s="1"/>
  <c r="AX640" i="28"/>
  <c r="BE640" i="28" s="1"/>
  <c r="AW640" i="28"/>
  <c r="BD640" i="28" s="1"/>
  <c r="AV640" i="28"/>
  <c r="BC640" i="28" s="1"/>
  <c r="AU640" i="28"/>
  <c r="BB640" i="28" s="1"/>
  <c r="AT640" i="28"/>
  <c r="BA640" i="28" s="1"/>
  <c r="AX639" i="28"/>
  <c r="BE639" i="28" s="1"/>
  <c r="AW639" i="28"/>
  <c r="BD639" i="28" s="1"/>
  <c r="AV639" i="28"/>
  <c r="BC639" i="28" s="1"/>
  <c r="AU639" i="28"/>
  <c r="BB639" i="28" s="1"/>
  <c r="AT639" i="28"/>
  <c r="BA639" i="28" s="1"/>
  <c r="AY638" i="28"/>
  <c r="BF638" i="28" s="1"/>
  <c r="AX638" i="28"/>
  <c r="BE638" i="28" s="1"/>
  <c r="AW638" i="28"/>
  <c r="BD638" i="28" s="1"/>
  <c r="AV638" i="28"/>
  <c r="BC638" i="28" s="1"/>
  <c r="AU638" i="28"/>
  <c r="BB638" i="28" s="1"/>
  <c r="AT638" i="28"/>
  <c r="BA638" i="28" s="1"/>
  <c r="AY637" i="28"/>
  <c r="BF637" i="28" s="1"/>
  <c r="AX637" i="28"/>
  <c r="BE637" i="28" s="1"/>
  <c r="AW637" i="28"/>
  <c r="BD637" i="28" s="1"/>
  <c r="AV637" i="28"/>
  <c r="BC637" i="28" s="1"/>
  <c r="AU637" i="28"/>
  <c r="BB637" i="28" s="1"/>
  <c r="AT637" i="28"/>
  <c r="BA637" i="28" s="1"/>
  <c r="AY636" i="28"/>
  <c r="BF636" i="28" s="1"/>
  <c r="AX636" i="28"/>
  <c r="BE636" i="28" s="1"/>
  <c r="AW636" i="28"/>
  <c r="BD636" i="28" s="1"/>
  <c r="AV636" i="28"/>
  <c r="BC636" i="28" s="1"/>
  <c r="AU636" i="28"/>
  <c r="BB636" i="28" s="1"/>
  <c r="AT636" i="28"/>
  <c r="BA636" i="28" s="1"/>
  <c r="AY635" i="28"/>
  <c r="BF635" i="28" s="1"/>
  <c r="AX635" i="28"/>
  <c r="BE635" i="28" s="1"/>
  <c r="AW635" i="28"/>
  <c r="BD635" i="28" s="1"/>
  <c r="AV635" i="28"/>
  <c r="BC635" i="28" s="1"/>
  <c r="AU635" i="28"/>
  <c r="BB635" i="28" s="1"/>
  <c r="AT635" i="28"/>
  <c r="BA635" i="28" s="1"/>
  <c r="AY634" i="28"/>
  <c r="BF634" i="28" s="1"/>
  <c r="AX634" i="28"/>
  <c r="BE634" i="28" s="1"/>
  <c r="AW634" i="28"/>
  <c r="BD634" i="28" s="1"/>
  <c r="AV634" i="28"/>
  <c r="BC634" i="28" s="1"/>
  <c r="AU634" i="28"/>
  <c r="BB634" i="28" s="1"/>
  <c r="AT634" i="28"/>
  <c r="BA634" i="28" s="1"/>
  <c r="AY633" i="28"/>
  <c r="BF633" i="28" s="1"/>
  <c r="AX633" i="28"/>
  <c r="BE633" i="28" s="1"/>
  <c r="AW633" i="28"/>
  <c r="BD633" i="28" s="1"/>
  <c r="AV633" i="28"/>
  <c r="BC633" i="28" s="1"/>
  <c r="AU633" i="28"/>
  <c r="BB633" i="28" s="1"/>
  <c r="AT633" i="28"/>
  <c r="BA633" i="28" s="1"/>
  <c r="AX632" i="28"/>
  <c r="BE632" i="28" s="1"/>
  <c r="AW632" i="28"/>
  <c r="BD632" i="28" s="1"/>
  <c r="AV632" i="28"/>
  <c r="BC632" i="28" s="1"/>
  <c r="AU632" i="28"/>
  <c r="BB632" i="28" s="1"/>
  <c r="AT632" i="28"/>
  <c r="BA632" i="28" s="1"/>
  <c r="AX631" i="28"/>
  <c r="BE631" i="28" s="1"/>
  <c r="AW631" i="28"/>
  <c r="BD631" i="28" s="1"/>
  <c r="AV631" i="28"/>
  <c r="BC631" i="28" s="1"/>
  <c r="AU631" i="28"/>
  <c r="BB631" i="28" s="1"/>
  <c r="AT631" i="28"/>
  <c r="BA631" i="28" s="1"/>
  <c r="AY630" i="28"/>
  <c r="BF630" i="28" s="1"/>
  <c r="AX630" i="28"/>
  <c r="BE630" i="28" s="1"/>
  <c r="AW630" i="28"/>
  <c r="BD630" i="28" s="1"/>
  <c r="AV630" i="28"/>
  <c r="BC630" i="28" s="1"/>
  <c r="AU630" i="28"/>
  <c r="BB630" i="28" s="1"/>
  <c r="AT630" i="28"/>
  <c r="BA630" i="28" s="1"/>
  <c r="AY629" i="28"/>
  <c r="BF629" i="28" s="1"/>
  <c r="AX629" i="28"/>
  <c r="BE629" i="28" s="1"/>
  <c r="AW629" i="28"/>
  <c r="BD629" i="28" s="1"/>
  <c r="AV629" i="28"/>
  <c r="BC629" i="28" s="1"/>
  <c r="AU629" i="28"/>
  <c r="BB629" i="28" s="1"/>
  <c r="AT629" i="28"/>
  <c r="BA629" i="28" s="1"/>
  <c r="AY628" i="28"/>
  <c r="BF628" i="28" s="1"/>
  <c r="AX628" i="28"/>
  <c r="BE628" i="28" s="1"/>
  <c r="AW628" i="28"/>
  <c r="BD628" i="28" s="1"/>
  <c r="AV628" i="28"/>
  <c r="BC628" i="28" s="1"/>
  <c r="AU628" i="28"/>
  <c r="BB628" i="28" s="1"/>
  <c r="AT628" i="28"/>
  <c r="BA628" i="28" s="1"/>
  <c r="AY627" i="28"/>
  <c r="BF627" i="28" s="1"/>
  <c r="AX627" i="28"/>
  <c r="BE627" i="28" s="1"/>
  <c r="AW627" i="28"/>
  <c r="BD627" i="28" s="1"/>
  <c r="AV627" i="28"/>
  <c r="BC627" i="28" s="1"/>
  <c r="AU627" i="28"/>
  <c r="BB627" i="28" s="1"/>
  <c r="AT627" i="28"/>
  <c r="BA627" i="28" s="1"/>
  <c r="AY626" i="28"/>
  <c r="BF626" i="28" s="1"/>
  <c r="AX626" i="28"/>
  <c r="BE626" i="28" s="1"/>
  <c r="AW626" i="28"/>
  <c r="BD626" i="28" s="1"/>
  <c r="AV626" i="28"/>
  <c r="BC626" i="28" s="1"/>
  <c r="AU626" i="28"/>
  <c r="BB626" i="28" s="1"/>
  <c r="AT626" i="28"/>
  <c r="BA626" i="28" s="1"/>
  <c r="AY625" i="28"/>
  <c r="BF625" i="28" s="1"/>
  <c r="AX625" i="28"/>
  <c r="BE625" i="28" s="1"/>
  <c r="AW625" i="28"/>
  <c r="BD625" i="28" s="1"/>
  <c r="AV625" i="28"/>
  <c r="BC625" i="28" s="1"/>
  <c r="AU625" i="28"/>
  <c r="BB625" i="28" s="1"/>
  <c r="AT625" i="28"/>
  <c r="BA625" i="28" s="1"/>
  <c r="AX624" i="28"/>
  <c r="BE624" i="28" s="1"/>
  <c r="AW624" i="28"/>
  <c r="BD624" i="28" s="1"/>
  <c r="AV624" i="28"/>
  <c r="BC624" i="28" s="1"/>
  <c r="AU624" i="28"/>
  <c r="BB624" i="28" s="1"/>
  <c r="AT624" i="28"/>
  <c r="BA624" i="28" s="1"/>
  <c r="AX623" i="28"/>
  <c r="BE623" i="28" s="1"/>
  <c r="AW623" i="28"/>
  <c r="BD623" i="28" s="1"/>
  <c r="AV623" i="28"/>
  <c r="BC623" i="28" s="1"/>
  <c r="AU623" i="28"/>
  <c r="BB623" i="28" s="1"/>
  <c r="AT623" i="28"/>
  <c r="BA623" i="28" s="1"/>
  <c r="AX622" i="28"/>
  <c r="BE622" i="28" s="1"/>
  <c r="AW622" i="28"/>
  <c r="BD622" i="28" s="1"/>
  <c r="AV622" i="28"/>
  <c r="BC622" i="28" s="1"/>
  <c r="AU622" i="28"/>
  <c r="BB622" i="28" s="1"/>
  <c r="AT622" i="28"/>
  <c r="BA622" i="28" s="1"/>
  <c r="AY621" i="28"/>
  <c r="BF621" i="28" s="1"/>
  <c r="AX621" i="28"/>
  <c r="BE621" i="28" s="1"/>
  <c r="AW621" i="28"/>
  <c r="BD621" i="28" s="1"/>
  <c r="AV621" i="28"/>
  <c r="BC621" i="28" s="1"/>
  <c r="AU621" i="28"/>
  <c r="BB621" i="28" s="1"/>
  <c r="AT621" i="28"/>
  <c r="BA621" i="28" s="1"/>
  <c r="AY620" i="28"/>
  <c r="BF620" i="28" s="1"/>
  <c r="AX620" i="28"/>
  <c r="BE620" i="28" s="1"/>
  <c r="AW620" i="28"/>
  <c r="BD620" i="28" s="1"/>
  <c r="AV620" i="28"/>
  <c r="BC620" i="28" s="1"/>
  <c r="AU620" i="28"/>
  <c r="BB620" i="28" s="1"/>
  <c r="AT620" i="28"/>
  <c r="BA620" i="28" s="1"/>
  <c r="AY619" i="28"/>
  <c r="BF619" i="28" s="1"/>
  <c r="AX619" i="28"/>
  <c r="BE619" i="28" s="1"/>
  <c r="AW619" i="28"/>
  <c r="BD619" i="28" s="1"/>
  <c r="AV619" i="28"/>
  <c r="BC619" i="28" s="1"/>
  <c r="AU619" i="28"/>
  <c r="BB619" i="28" s="1"/>
  <c r="AT619" i="28"/>
  <c r="BA619" i="28" s="1"/>
  <c r="AY618" i="28"/>
  <c r="BF618" i="28" s="1"/>
  <c r="AX618" i="28"/>
  <c r="BE618" i="28" s="1"/>
  <c r="AW618" i="28"/>
  <c r="BD618" i="28" s="1"/>
  <c r="AV618" i="28"/>
  <c r="BC618" i="28" s="1"/>
  <c r="AU618" i="28"/>
  <c r="BB618" i="28" s="1"/>
  <c r="AT618" i="28"/>
  <c r="BA618" i="28" s="1"/>
  <c r="AY617" i="28"/>
  <c r="BF617" i="28" s="1"/>
  <c r="AX617" i="28"/>
  <c r="BE617" i="28" s="1"/>
  <c r="AW617" i="28"/>
  <c r="BD617" i="28" s="1"/>
  <c r="AV617" i="28"/>
  <c r="BC617" i="28" s="1"/>
  <c r="AU617" i="28"/>
  <c r="BB617" i="28" s="1"/>
  <c r="AT617" i="28"/>
  <c r="BA617" i="28" s="1"/>
  <c r="AX616" i="28"/>
  <c r="BE616" i="28" s="1"/>
  <c r="AW616" i="28"/>
  <c r="BD616" i="28" s="1"/>
  <c r="AV616" i="28"/>
  <c r="BC616" i="28" s="1"/>
  <c r="AU616" i="28"/>
  <c r="BB616" i="28" s="1"/>
  <c r="AT616" i="28"/>
  <c r="BA616" i="28" s="1"/>
  <c r="AX615" i="28"/>
  <c r="BE615" i="28" s="1"/>
  <c r="AW615" i="28"/>
  <c r="BD615" i="28" s="1"/>
  <c r="AV615" i="28"/>
  <c r="BC615" i="28" s="1"/>
  <c r="AU615" i="28"/>
  <c r="BB615" i="28" s="1"/>
  <c r="AT615" i="28"/>
  <c r="BA615" i="28" s="1"/>
  <c r="AX614" i="28"/>
  <c r="BE614" i="28" s="1"/>
  <c r="AW614" i="28"/>
  <c r="BD614" i="28" s="1"/>
  <c r="AV614" i="28"/>
  <c r="BC614" i="28" s="1"/>
  <c r="AU614" i="28"/>
  <c r="BB614" i="28" s="1"/>
  <c r="AT614" i="28"/>
  <c r="BA614" i="28" s="1"/>
  <c r="AY613" i="28"/>
  <c r="BF613" i="28" s="1"/>
  <c r="AX613" i="28"/>
  <c r="BE613" i="28" s="1"/>
  <c r="AW613" i="28"/>
  <c r="BD613" i="28" s="1"/>
  <c r="AV613" i="28"/>
  <c r="BC613" i="28" s="1"/>
  <c r="AU613" i="28"/>
  <c r="BB613" i="28" s="1"/>
  <c r="AT613" i="28"/>
  <c r="BA613" i="28" s="1"/>
  <c r="AY612" i="28"/>
  <c r="BF612" i="28" s="1"/>
  <c r="AX612" i="28"/>
  <c r="BE612" i="28" s="1"/>
  <c r="AW612" i="28"/>
  <c r="BD612" i="28" s="1"/>
  <c r="AV612" i="28"/>
  <c r="BC612" i="28" s="1"/>
  <c r="AU612" i="28"/>
  <c r="BB612" i="28" s="1"/>
  <c r="AT612" i="28"/>
  <c r="BA612" i="28" s="1"/>
  <c r="AY611" i="28"/>
  <c r="BF611" i="28" s="1"/>
  <c r="AX611" i="28"/>
  <c r="BE611" i="28" s="1"/>
  <c r="AW611" i="28"/>
  <c r="BD611" i="28" s="1"/>
  <c r="AV611" i="28"/>
  <c r="BC611" i="28" s="1"/>
  <c r="AU611" i="28"/>
  <c r="BB611" i="28" s="1"/>
  <c r="AT611" i="28"/>
  <c r="BA611" i="28" s="1"/>
  <c r="AY610" i="28"/>
  <c r="BF610" i="28" s="1"/>
  <c r="AX610" i="28"/>
  <c r="BE610" i="28" s="1"/>
  <c r="AW610" i="28"/>
  <c r="BD610" i="28" s="1"/>
  <c r="AV610" i="28"/>
  <c r="BC610" i="28" s="1"/>
  <c r="AU610" i="28"/>
  <c r="BB610" i="28" s="1"/>
  <c r="AT610" i="28"/>
  <c r="BA610" i="28" s="1"/>
  <c r="AY609" i="28"/>
  <c r="BF609" i="28" s="1"/>
  <c r="AX609" i="28"/>
  <c r="BE609" i="28" s="1"/>
  <c r="AW609" i="28"/>
  <c r="BD609" i="28" s="1"/>
  <c r="AV609" i="28"/>
  <c r="BC609" i="28" s="1"/>
  <c r="AU609" i="28"/>
  <c r="BB609" i="28" s="1"/>
  <c r="AT609" i="28"/>
  <c r="BA609" i="28" s="1"/>
  <c r="AX608" i="28"/>
  <c r="BE608" i="28" s="1"/>
  <c r="AW608" i="28"/>
  <c r="BD608" i="28" s="1"/>
  <c r="AV608" i="28"/>
  <c r="BC608" i="28" s="1"/>
  <c r="AU608" i="28"/>
  <c r="BB608" i="28" s="1"/>
  <c r="AT608" i="28"/>
  <c r="BA608" i="28" s="1"/>
  <c r="AX607" i="28"/>
  <c r="BE607" i="28" s="1"/>
  <c r="AW607" i="28"/>
  <c r="BD607" i="28" s="1"/>
  <c r="AV607" i="28"/>
  <c r="BC607" i="28" s="1"/>
  <c r="AU607" i="28"/>
  <c r="BB607" i="28" s="1"/>
  <c r="AT607" i="28"/>
  <c r="BA607" i="28" s="1"/>
  <c r="AX606" i="28"/>
  <c r="BE606" i="28" s="1"/>
  <c r="AW606" i="28"/>
  <c r="BD606" i="28" s="1"/>
  <c r="AV606" i="28"/>
  <c r="BC606" i="28" s="1"/>
  <c r="AU606" i="28"/>
  <c r="BB606" i="28" s="1"/>
  <c r="AT606" i="28"/>
  <c r="BA606" i="28" s="1"/>
  <c r="AY605" i="28"/>
  <c r="BF605" i="28" s="1"/>
  <c r="AX605" i="28"/>
  <c r="BE605" i="28" s="1"/>
  <c r="AW605" i="28"/>
  <c r="BD605" i="28" s="1"/>
  <c r="AV605" i="28"/>
  <c r="BC605" i="28" s="1"/>
  <c r="AU605" i="28"/>
  <c r="BB605" i="28" s="1"/>
  <c r="AT605" i="28"/>
  <c r="BA605" i="28" s="1"/>
  <c r="AY604" i="28"/>
  <c r="BF604" i="28" s="1"/>
  <c r="AX604" i="28"/>
  <c r="BE604" i="28" s="1"/>
  <c r="AW604" i="28"/>
  <c r="BD604" i="28" s="1"/>
  <c r="AV604" i="28"/>
  <c r="BC604" i="28" s="1"/>
  <c r="AU604" i="28"/>
  <c r="BB604" i="28" s="1"/>
  <c r="AT604" i="28"/>
  <c r="BA604" i="28" s="1"/>
  <c r="AY603" i="28"/>
  <c r="BF603" i="28" s="1"/>
  <c r="AX603" i="28"/>
  <c r="BE603" i="28" s="1"/>
  <c r="AW603" i="28"/>
  <c r="BD603" i="28" s="1"/>
  <c r="AV603" i="28"/>
  <c r="BC603" i="28" s="1"/>
  <c r="AU603" i="28"/>
  <c r="BB603" i="28" s="1"/>
  <c r="AT603" i="28"/>
  <c r="BA603" i="28" s="1"/>
  <c r="AY602" i="28"/>
  <c r="BF602" i="28" s="1"/>
  <c r="AX602" i="28"/>
  <c r="BE602" i="28" s="1"/>
  <c r="AW602" i="28"/>
  <c r="BD602" i="28" s="1"/>
  <c r="AV602" i="28"/>
  <c r="BC602" i="28" s="1"/>
  <c r="AU602" i="28"/>
  <c r="BB602" i="28" s="1"/>
  <c r="AT602" i="28"/>
  <c r="BA602" i="28" s="1"/>
  <c r="AY601" i="28"/>
  <c r="BF601" i="28" s="1"/>
  <c r="AX601" i="28"/>
  <c r="BE601" i="28" s="1"/>
  <c r="AW601" i="28"/>
  <c r="BD601" i="28" s="1"/>
  <c r="AV601" i="28"/>
  <c r="BC601" i="28" s="1"/>
  <c r="AU601" i="28"/>
  <c r="BB601" i="28" s="1"/>
  <c r="AT601" i="28"/>
  <c r="BA601" i="28" s="1"/>
  <c r="AX600" i="28"/>
  <c r="BE600" i="28" s="1"/>
  <c r="AW600" i="28"/>
  <c r="BD600" i="28" s="1"/>
  <c r="AV600" i="28"/>
  <c r="BC600" i="28" s="1"/>
  <c r="AU600" i="28"/>
  <c r="BB600" i="28" s="1"/>
  <c r="AT600" i="28"/>
  <c r="BA600" i="28" s="1"/>
  <c r="AX599" i="28"/>
  <c r="BE599" i="28" s="1"/>
  <c r="AW599" i="28"/>
  <c r="BD599" i="28" s="1"/>
  <c r="AV599" i="28"/>
  <c r="BC599" i="28" s="1"/>
  <c r="AU599" i="28"/>
  <c r="BB599" i="28" s="1"/>
  <c r="AT599" i="28"/>
  <c r="BA599" i="28" s="1"/>
  <c r="AX598" i="28"/>
  <c r="BE598" i="28" s="1"/>
  <c r="AW598" i="28"/>
  <c r="BD598" i="28" s="1"/>
  <c r="AV598" i="28"/>
  <c r="BC598" i="28" s="1"/>
  <c r="AU598" i="28"/>
  <c r="BB598" i="28" s="1"/>
  <c r="AT598" i="28"/>
  <c r="BA598" i="28" s="1"/>
  <c r="AY597" i="28"/>
  <c r="BF597" i="28" s="1"/>
  <c r="AX597" i="28"/>
  <c r="BE597" i="28" s="1"/>
  <c r="AW597" i="28"/>
  <c r="BD597" i="28" s="1"/>
  <c r="AV597" i="28"/>
  <c r="BC597" i="28" s="1"/>
  <c r="AU597" i="28"/>
  <c r="BB597" i="28" s="1"/>
  <c r="AT597" i="28"/>
  <c r="BA597" i="28" s="1"/>
  <c r="AY596" i="28"/>
  <c r="BF596" i="28" s="1"/>
  <c r="AX596" i="28"/>
  <c r="BE596" i="28" s="1"/>
  <c r="AW596" i="28"/>
  <c r="BD596" i="28" s="1"/>
  <c r="AV596" i="28"/>
  <c r="BC596" i="28" s="1"/>
  <c r="AU596" i="28"/>
  <c r="BB596" i="28" s="1"/>
  <c r="AT596" i="28"/>
  <c r="BA596" i="28" s="1"/>
  <c r="AY595" i="28"/>
  <c r="BF595" i="28" s="1"/>
  <c r="AX595" i="28"/>
  <c r="BE595" i="28" s="1"/>
  <c r="AW595" i="28"/>
  <c r="BD595" i="28" s="1"/>
  <c r="AV595" i="28"/>
  <c r="BC595" i="28" s="1"/>
  <c r="AU595" i="28"/>
  <c r="BB595" i="28" s="1"/>
  <c r="AT595" i="28"/>
  <c r="BA595" i="28" s="1"/>
  <c r="AY594" i="28"/>
  <c r="BF594" i="28" s="1"/>
  <c r="AX594" i="28"/>
  <c r="BE594" i="28" s="1"/>
  <c r="AW594" i="28"/>
  <c r="BD594" i="28" s="1"/>
  <c r="AV594" i="28"/>
  <c r="BC594" i="28" s="1"/>
  <c r="AU594" i="28"/>
  <c r="BB594" i="28" s="1"/>
  <c r="AT594" i="28"/>
  <c r="BA594" i="28" s="1"/>
  <c r="AY593" i="28"/>
  <c r="BF593" i="28" s="1"/>
  <c r="AX593" i="28"/>
  <c r="BE593" i="28" s="1"/>
  <c r="AW593" i="28"/>
  <c r="BD593" i="28" s="1"/>
  <c r="AV593" i="28"/>
  <c r="BC593" i="28" s="1"/>
  <c r="AU593" i="28"/>
  <c r="BB593" i="28" s="1"/>
  <c r="AT593" i="28"/>
  <c r="BA593" i="28" s="1"/>
  <c r="AX592" i="28"/>
  <c r="BE592" i="28" s="1"/>
  <c r="AW592" i="28"/>
  <c r="BD592" i="28" s="1"/>
  <c r="AV592" i="28"/>
  <c r="BC592" i="28" s="1"/>
  <c r="AU592" i="28"/>
  <c r="BB592" i="28" s="1"/>
  <c r="AT592" i="28"/>
  <c r="BA592" i="28" s="1"/>
  <c r="AY591" i="28"/>
  <c r="BF591" i="28" s="1"/>
  <c r="AX591" i="28"/>
  <c r="BE591" i="28" s="1"/>
  <c r="AW591" i="28"/>
  <c r="BD591" i="28" s="1"/>
  <c r="AV591" i="28"/>
  <c r="BC591" i="28" s="1"/>
  <c r="AU591" i="28"/>
  <c r="BB591" i="28" s="1"/>
  <c r="AT591" i="28"/>
  <c r="BA591" i="28" s="1"/>
  <c r="AX590" i="28"/>
  <c r="BE590" i="28" s="1"/>
  <c r="AW590" i="28"/>
  <c r="BD590" i="28" s="1"/>
  <c r="AV590" i="28"/>
  <c r="BC590" i="28" s="1"/>
  <c r="AU590" i="28"/>
  <c r="BB590" i="28" s="1"/>
  <c r="AT590" i="28"/>
  <c r="BA590" i="28" s="1"/>
  <c r="AY589" i="28"/>
  <c r="BF589" i="28" s="1"/>
  <c r="AX589" i="28"/>
  <c r="BE589" i="28" s="1"/>
  <c r="AW589" i="28"/>
  <c r="BD589" i="28" s="1"/>
  <c r="AV589" i="28"/>
  <c r="BC589" i="28" s="1"/>
  <c r="AU589" i="28"/>
  <c r="BB589" i="28" s="1"/>
  <c r="AT589" i="28"/>
  <c r="BA589" i="28" s="1"/>
  <c r="AY588" i="28"/>
  <c r="BF588" i="28" s="1"/>
  <c r="AX588" i="28"/>
  <c r="BE588" i="28" s="1"/>
  <c r="AW588" i="28"/>
  <c r="BD588" i="28" s="1"/>
  <c r="AV588" i="28"/>
  <c r="BC588" i="28" s="1"/>
  <c r="AU588" i="28"/>
  <c r="BB588" i="28" s="1"/>
  <c r="AT588" i="28"/>
  <c r="BA588" i="28" s="1"/>
  <c r="AY587" i="28"/>
  <c r="BF587" i="28" s="1"/>
  <c r="AX587" i="28"/>
  <c r="BE587" i="28" s="1"/>
  <c r="AW587" i="28"/>
  <c r="BD587" i="28" s="1"/>
  <c r="AV587" i="28"/>
  <c r="BC587" i="28" s="1"/>
  <c r="AU587" i="28"/>
  <c r="BB587" i="28" s="1"/>
  <c r="AT587" i="28"/>
  <c r="BA587" i="28" s="1"/>
  <c r="AY586" i="28"/>
  <c r="BF586" i="28" s="1"/>
  <c r="AX586" i="28"/>
  <c r="BE586" i="28" s="1"/>
  <c r="AW586" i="28"/>
  <c r="BD586" i="28" s="1"/>
  <c r="AV586" i="28"/>
  <c r="BC586" i="28" s="1"/>
  <c r="AU586" i="28"/>
  <c r="BB586" i="28" s="1"/>
  <c r="AT586" i="28"/>
  <c r="BA586" i="28" s="1"/>
  <c r="AY585" i="28"/>
  <c r="BF585" i="28" s="1"/>
  <c r="AX585" i="28"/>
  <c r="BE585" i="28" s="1"/>
  <c r="AW585" i="28"/>
  <c r="BD585" i="28" s="1"/>
  <c r="AV585" i="28"/>
  <c r="BC585" i="28" s="1"/>
  <c r="AU585" i="28"/>
  <c r="BB585" i="28" s="1"/>
  <c r="AT585" i="28"/>
  <c r="BA585" i="28" s="1"/>
  <c r="AX584" i="28"/>
  <c r="BE584" i="28" s="1"/>
  <c r="AW584" i="28"/>
  <c r="BD584" i="28" s="1"/>
  <c r="AV584" i="28"/>
  <c r="BC584" i="28" s="1"/>
  <c r="AU584" i="28"/>
  <c r="BB584" i="28" s="1"/>
  <c r="AT584" i="28"/>
  <c r="BA584" i="28" s="1"/>
  <c r="AX583" i="28"/>
  <c r="BE583" i="28" s="1"/>
  <c r="AW583" i="28"/>
  <c r="BD583" i="28" s="1"/>
  <c r="AV583" i="28"/>
  <c r="BC583" i="28" s="1"/>
  <c r="AU583" i="28"/>
  <c r="BB583" i="28" s="1"/>
  <c r="AT583" i="28"/>
  <c r="BA583" i="28" s="1"/>
  <c r="AX582" i="28"/>
  <c r="BE582" i="28" s="1"/>
  <c r="AW582" i="28"/>
  <c r="BD582" i="28" s="1"/>
  <c r="AV582" i="28"/>
  <c r="BC582" i="28" s="1"/>
  <c r="AU582" i="28"/>
  <c r="BB582" i="28" s="1"/>
  <c r="AT582" i="28"/>
  <c r="BA582" i="28" s="1"/>
  <c r="AY581" i="28"/>
  <c r="BF581" i="28" s="1"/>
  <c r="AX581" i="28"/>
  <c r="BE581" i="28" s="1"/>
  <c r="AW581" i="28"/>
  <c r="BD581" i="28" s="1"/>
  <c r="AV581" i="28"/>
  <c r="BC581" i="28" s="1"/>
  <c r="AU581" i="28"/>
  <c r="BB581" i="28" s="1"/>
  <c r="AT581" i="28"/>
  <c r="BA581" i="28" s="1"/>
  <c r="AY580" i="28"/>
  <c r="BF580" i="28" s="1"/>
  <c r="AX580" i="28"/>
  <c r="BE580" i="28" s="1"/>
  <c r="AW580" i="28"/>
  <c r="BD580" i="28" s="1"/>
  <c r="AV580" i="28"/>
  <c r="BC580" i="28" s="1"/>
  <c r="AU580" i="28"/>
  <c r="BB580" i="28" s="1"/>
  <c r="AT580" i="28"/>
  <c r="BA580" i="28" s="1"/>
  <c r="AY579" i="28"/>
  <c r="BF579" i="28" s="1"/>
  <c r="AX579" i="28"/>
  <c r="BE579" i="28" s="1"/>
  <c r="AW579" i="28"/>
  <c r="BD579" i="28" s="1"/>
  <c r="AV579" i="28"/>
  <c r="BC579" i="28" s="1"/>
  <c r="AU579" i="28"/>
  <c r="BB579" i="28" s="1"/>
  <c r="AT579" i="28"/>
  <c r="BA579" i="28" s="1"/>
  <c r="AY578" i="28"/>
  <c r="BF578" i="28" s="1"/>
  <c r="AX578" i="28"/>
  <c r="BE578" i="28" s="1"/>
  <c r="AW578" i="28"/>
  <c r="BD578" i="28" s="1"/>
  <c r="AV578" i="28"/>
  <c r="BC578" i="28" s="1"/>
  <c r="AU578" i="28"/>
  <c r="BB578" i="28" s="1"/>
  <c r="AT578" i="28"/>
  <c r="BA578" i="28" s="1"/>
  <c r="AY577" i="28"/>
  <c r="BF577" i="28" s="1"/>
  <c r="AX577" i="28"/>
  <c r="BE577" i="28" s="1"/>
  <c r="AW577" i="28"/>
  <c r="BD577" i="28" s="1"/>
  <c r="AV577" i="28"/>
  <c r="BC577" i="28" s="1"/>
  <c r="AU577" i="28"/>
  <c r="BB577" i="28" s="1"/>
  <c r="AT577" i="28"/>
  <c r="BA577" i="28" s="1"/>
  <c r="AX576" i="28"/>
  <c r="BE576" i="28" s="1"/>
  <c r="AW576" i="28"/>
  <c r="BD576" i="28" s="1"/>
  <c r="AV576" i="28"/>
  <c r="BC576" i="28" s="1"/>
  <c r="AU576" i="28"/>
  <c r="BB576" i="28" s="1"/>
  <c r="AT576" i="28"/>
  <c r="BA576" i="28" s="1"/>
  <c r="AX575" i="28"/>
  <c r="BE575" i="28" s="1"/>
  <c r="AW575" i="28"/>
  <c r="BD575" i="28" s="1"/>
  <c r="AV575" i="28"/>
  <c r="BC575" i="28" s="1"/>
  <c r="AU575" i="28"/>
  <c r="BB575" i="28" s="1"/>
  <c r="AT575" i="28"/>
  <c r="BA575" i="28" s="1"/>
  <c r="AX574" i="28"/>
  <c r="BE574" i="28" s="1"/>
  <c r="AW574" i="28"/>
  <c r="BD574" i="28" s="1"/>
  <c r="AV574" i="28"/>
  <c r="BC574" i="28" s="1"/>
  <c r="AU574" i="28"/>
  <c r="BB574" i="28" s="1"/>
  <c r="AT574" i="28"/>
  <c r="BA574" i="28" s="1"/>
  <c r="AY573" i="28"/>
  <c r="BF573" i="28" s="1"/>
  <c r="AX573" i="28"/>
  <c r="BE573" i="28" s="1"/>
  <c r="AW573" i="28"/>
  <c r="BD573" i="28" s="1"/>
  <c r="AV573" i="28"/>
  <c r="BC573" i="28" s="1"/>
  <c r="AU573" i="28"/>
  <c r="BB573" i="28" s="1"/>
  <c r="AT573" i="28"/>
  <c r="BA573" i="28" s="1"/>
  <c r="AY572" i="28"/>
  <c r="BF572" i="28" s="1"/>
  <c r="AX572" i="28"/>
  <c r="BE572" i="28" s="1"/>
  <c r="AW572" i="28"/>
  <c r="BD572" i="28" s="1"/>
  <c r="AV572" i="28"/>
  <c r="BC572" i="28" s="1"/>
  <c r="AU572" i="28"/>
  <c r="BB572" i="28" s="1"/>
  <c r="AT572" i="28"/>
  <c r="BA572" i="28" s="1"/>
  <c r="AY571" i="28"/>
  <c r="BF571" i="28" s="1"/>
  <c r="AX571" i="28"/>
  <c r="BE571" i="28" s="1"/>
  <c r="AW571" i="28"/>
  <c r="BD571" i="28" s="1"/>
  <c r="AV571" i="28"/>
  <c r="BC571" i="28" s="1"/>
  <c r="AU571" i="28"/>
  <c r="BB571" i="28" s="1"/>
  <c r="AT571" i="28"/>
  <c r="BA571" i="28" s="1"/>
  <c r="AY570" i="28"/>
  <c r="BF570" i="28" s="1"/>
  <c r="AX570" i="28"/>
  <c r="BE570" i="28" s="1"/>
  <c r="AW570" i="28"/>
  <c r="BD570" i="28" s="1"/>
  <c r="AV570" i="28"/>
  <c r="BC570" i="28" s="1"/>
  <c r="AU570" i="28"/>
  <c r="BB570" i="28" s="1"/>
  <c r="AT570" i="28"/>
  <c r="BA570" i="28" s="1"/>
  <c r="AY569" i="28"/>
  <c r="BF569" i="28" s="1"/>
  <c r="AX569" i="28"/>
  <c r="BE569" i="28" s="1"/>
  <c r="AW569" i="28"/>
  <c r="BD569" i="28" s="1"/>
  <c r="AV569" i="28"/>
  <c r="BC569" i="28" s="1"/>
  <c r="AU569" i="28"/>
  <c r="BB569" i="28" s="1"/>
  <c r="AT569" i="28"/>
  <c r="BA569" i="28" s="1"/>
  <c r="AX568" i="28"/>
  <c r="BE568" i="28" s="1"/>
  <c r="AW568" i="28"/>
  <c r="BD568" i="28" s="1"/>
  <c r="AV568" i="28"/>
  <c r="BC568" i="28" s="1"/>
  <c r="AU568" i="28"/>
  <c r="BB568" i="28" s="1"/>
  <c r="AT568" i="28"/>
  <c r="BA568" i="28" s="1"/>
  <c r="AY567" i="28"/>
  <c r="BF567" i="28" s="1"/>
  <c r="AX567" i="28"/>
  <c r="BE567" i="28" s="1"/>
  <c r="AW567" i="28"/>
  <c r="BD567" i="28" s="1"/>
  <c r="AV567" i="28"/>
  <c r="BC567" i="28" s="1"/>
  <c r="AU567" i="28"/>
  <c r="BB567" i="28" s="1"/>
  <c r="AT567" i="28"/>
  <c r="BA567" i="28" s="1"/>
  <c r="AX566" i="28"/>
  <c r="BE566" i="28" s="1"/>
  <c r="AW566" i="28"/>
  <c r="BD566" i="28" s="1"/>
  <c r="AV566" i="28"/>
  <c r="BC566" i="28" s="1"/>
  <c r="AU566" i="28"/>
  <c r="BB566" i="28" s="1"/>
  <c r="AT566" i="28"/>
  <c r="BA566" i="28" s="1"/>
  <c r="AY565" i="28"/>
  <c r="BF565" i="28" s="1"/>
  <c r="AX565" i="28"/>
  <c r="BE565" i="28" s="1"/>
  <c r="AW565" i="28"/>
  <c r="BD565" i="28" s="1"/>
  <c r="AV565" i="28"/>
  <c r="BC565" i="28" s="1"/>
  <c r="AU565" i="28"/>
  <c r="BB565" i="28" s="1"/>
  <c r="AT565" i="28"/>
  <c r="BA565" i="28" s="1"/>
  <c r="AY564" i="28"/>
  <c r="BF564" i="28" s="1"/>
  <c r="AX564" i="28"/>
  <c r="BE564" i="28" s="1"/>
  <c r="AW564" i="28"/>
  <c r="BD564" i="28" s="1"/>
  <c r="AV564" i="28"/>
  <c r="BC564" i="28" s="1"/>
  <c r="AU564" i="28"/>
  <c r="BB564" i="28" s="1"/>
  <c r="AT564" i="28"/>
  <c r="BA564" i="28" s="1"/>
  <c r="AY563" i="28"/>
  <c r="BF563" i="28" s="1"/>
  <c r="AX563" i="28"/>
  <c r="BE563" i="28" s="1"/>
  <c r="AW563" i="28"/>
  <c r="BD563" i="28" s="1"/>
  <c r="AV563" i="28"/>
  <c r="BC563" i="28" s="1"/>
  <c r="AU563" i="28"/>
  <c r="BB563" i="28" s="1"/>
  <c r="AT563" i="28"/>
  <c r="BA563" i="28" s="1"/>
  <c r="AY562" i="28"/>
  <c r="BF562" i="28" s="1"/>
  <c r="AX562" i="28"/>
  <c r="BE562" i="28" s="1"/>
  <c r="AW562" i="28"/>
  <c r="BD562" i="28" s="1"/>
  <c r="AV562" i="28"/>
  <c r="BC562" i="28" s="1"/>
  <c r="AU562" i="28"/>
  <c r="BB562" i="28" s="1"/>
  <c r="AT562" i="28"/>
  <c r="BA562" i="28" s="1"/>
  <c r="AY561" i="28"/>
  <c r="BF561" i="28" s="1"/>
  <c r="AX561" i="28"/>
  <c r="BE561" i="28" s="1"/>
  <c r="AW561" i="28"/>
  <c r="BD561" i="28" s="1"/>
  <c r="AV561" i="28"/>
  <c r="BC561" i="28" s="1"/>
  <c r="AU561" i="28"/>
  <c r="BB561" i="28" s="1"/>
  <c r="AT561" i="28"/>
  <c r="BA561" i="28" s="1"/>
  <c r="AX560" i="28"/>
  <c r="BE560" i="28" s="1"/>
  <c r="AW560" i="28"/>
  <c r="BD560" i="28" s="1"/>
  <c r="AV560" i="28"/>
  <c r="BC560" i="28" s="1"/>
  <c r="AU560" i="28"/>
  <c r="BB560" i="28" s="1"/>
  <c r="AT560" i="28"/>
  <c r="BA560" i="28" s="1"/>
  <c r="AX559" i="28"/>
  <c r="BE559" i="28" s="1"/>
  <c r="AW559" i="28"/>
  <c r="BD559" i="28" s="1"/>
  <c r="AV559" i="28"/>
  <c r="BC559" i="28" s="1"/>
  <c r="AU559" i="28"/>
  <c r="BB559" i="28" s="1"/>
  <c r="AT559" i="28"/>
  <c r="BA559" i="28" s="1"/>
  <c r="AX558" i="28"/>
  <c r="BE558" i="28" s="1"/>
  <c r="AW558" i="28"/>
  <c r="BD558" i="28" s="1"/>
  <c r="AV558" i="28"/>
  <c r="BC558" i="28" s="1"/>
  <c r="AU558" i="28"/>
  <c r="BB558" i="28" s="1"/>
  <c r="AT558" i="28"/>
  <c r="BA558" i="28" s="1"/>
  <c r="AY557" i="28"/>
  <c r="BF557" i="28" s="1"/>
  <c r="AX557" i="28"/>
  <c r="BE557" i="28" s="1"/>
  <c r="AW557" i="28"/>
  <c r="BD557" i="28" s="1"/>
  <c r="AV557" i="28"/>
  <c r="BC557" i="28" s="1"/>
  <c r="AU557" i="28"/>
  <c r="BB557" i="28" s="1"/>
  <c r="AT557" i="28"/>
  <c r="BA557" i="28" s="1"/>
  <c r="AY556" i="28"/>
  <c r="BF556" i="28" s="1"/>
  <c r="AX556" i="28"/>
  <c r="BE556" i="28" s="1"/>
  <c r="AW556" i="28"/>
  <c r="BD556" i="28" s="1"/>
  <c r="AV556" i="28"/>
  <c r="BC556" i="28" s="1"/>
  <c r="AU556" i="28"/>
  <c r="BB556" i="28" s="1"/>
  <c r="AT556" i="28"/>
  <c r="BA556" i="28" s="1"/>
  <c r="AY555" i="28"/>
  <c r="BF555" i="28" s="1"/>
  <c r="AX555" i="28"/>
  <c r="BE555" i="28" s="1"/>
  <c r="AW555" i="28"/>
  <c r="BD555" i="28" s="1"/>
  <c r="AV555" i="28"/>
  <c r="BC555" i="28" s="1"/>
  <c r="AU555" i="28"/>
  <c r="BB555" i="28" s="1"/>
  <c r="AT555" i="28"/>
  <c r="BA555" i="28" s="1"/>
  <c r="AY554" i="28"/>
  <c r="BF554" i="28" s="1"/>
  <c r="AX554" i="28"/>
  <c r="BE554" i="28" s="1"/>
  <c r="AW554" i="28"/>
  <c r="BD554" i="28" s="1"/>
  <c r="AV554" i="28"/>
  <c r="BC554" i="28" s="1"/>
  <c r="AU554" i="28"/>
  <c r="BB554" i="28" s="1"/>
  <c r="AT554" i="28"/>
  <c r="BA554" i="28" s="1"/>
  <c r="AY553" i="28"/>
  <c r="BF553" i="28" s="1"/>
  <c r="AX553" i="28"/>
  <c r="BE553" i="28" s="1"/>
  <c r="AW553" i="28"/>
  <c r="BD553" i="28" s="1"/>
  <c r="AV553" i="28"/>
  <c r="BC553" i="28" s="1"/>
  <c r="AU553" i="28"/>
  <c r="BB553" i="28" s="1"/>
  <c r="AT553" i="28"/>
  <c r="BA553" i="28" s="1"/>
  <c r="AX552" i="28"/>
  <c r="BE552" i="28" s="1"/>
  <c r="AW552" i="28"/>
  <c r="BD552" i="28" s="1"/>
  <c r="AV552" i="28"/>
  <c r="BC552" i="28" s="1"/>
  <c r="AU552" i="28"/>
  <c r="BB552" i="28" s="1"/>
  <c r="AT552" i="28"/>
  <c r="BA552" i="28" s="1"/>
  <c r="AY551" i="28"/>
  <c r="BF551" i="28" s="1"/>
  <c r="AX551" i="28"/>
  <c r="BE551" i="28" s="1"/>
  <c r="AW551" i="28"/>
  <c r="BD551" i="28" s="1"/>
  <c r="AV551" i="28"/>
  <c r="BC551" i="28" s="1"/>
  <c r="AU551" i="28"/>
  <c r="BB551" i="28" s="1"/>
  <c r="AT551" i="28"/>
  <c r="BA551" i="28" s="1"/>
  <c r="AX550" i="28"/>
  <c r="BE550" i="28" s="1"/>
  <c r="AW550" i="28"/>
  <c r="BD550" i="28" s="1"/>
  <c r="AV550" i="28"/>
  <c r="BC550" i="28" s="1"/>
  <c r="AU550" i="28"/>
  <c r="BB550" i="28" s="1"/>
  <c r="AT550" i="28"/>
  <c r="BA550" i="28" s="1"/>
  <c r="AY549" i="28"/>
  <c r="BF549" i="28" s="1"/>
  <c r="AX549" i="28"/>
  <c r="BE549" i="28" s="1"/>
  <c r="AW549" i="28"/>
  <c r="BD549" i="28" s="1"/>
  <c r="AV549" i="28"/>
  <c r="BC549" i="28" s="1"/>
  <c r="AU549" i="28"/>
  <c r="BB549" i="28" s="1"/>
  <c r="AT549" i="28"/>
  <c r="BA549" i="28" s="1"/>
  <c r="AY548" i="28"/>
  <c r="BF548" i="28" s="1"/>
  <c r="AX548" i="28"/>
  <c r="BE548" i="28" s="1"/>
  <c r="AW548" i="28"/>
  <c r="BD548" i="28" s="1"/>
  <c r="AV548" i="28"/>
  <c r="BC548" i="28" s="1"/>
  <c r="AU548" i="28"/>
  <c r="BB548" i="28" s="1"/>
  <c r="AT548" i="28"/>
  <c r="BA548" i="28" s="1"/>
  <c r="AY547" i="28"/>
  <c r="BF547" i="28" s="1"/>
  <c r="AX547" i="28"/>
  <c r="BE547" i="28" s="1"/>
  <c r="AW547" i="28"/>
  <c r="BD547" i="28" s="1"/>
  <c r="AV547" i="28"/>
  <c r="BC547" i="28" s="1"/>
  <c r="AU547" i="28"/>
  <c r="BB547" i="28" s="1"/>
  <c r="AT547" i="28"/>
  <c r="BA547" i="28" s="1"/>
  <c r="AY546" i="28"/>
  <c r="BF546" i="28" s="1"/>
  <c r="AX546" i="28"/>
  <c r="BE546" i="28" s="1"/>
  <c r="AW546" i="28"/>
  <c r="BD546" i="28" s="1"/>
  <c r="AV546" i="28"/>
  <c r="BC546" i="28" s="1"/>
  <c r="AU546" i="28"/>
  <c r="BB546" i="28" s="1"/>
  <c r="AT546" i="28"/>
  <c r="BA546" i="28" s="1"/>
  <c r="AY545" i="28"/>
  <c r="BF545" i="28" s="1"/>
  <c r="AX545" i="28"/>
  <c r="BE545" i="28" s="1"/>
  <c r="AW545" i="28"/>
  <c r="BD545" i="28" s="1"/>
  <c r="AV545" i="28"/>
  <c r="BC545" i="28" s="1"/>
  <c r="AU545" i="28"/>
  <c r="BB545" i="28" s="1"/>
  <c r="AT545" i="28"/>
  <c r="BA545" i="28" s="1"/>
  <c r="AX544" i="28"/>
  <c r="BE544" i="28" s="1"/>
  <c r="AW544" i="28"/>
  <c r="BD544" i="28" s="1"/>
  <c r="AV544" i="28"/>
  <c r="BC544" i="28" s="1"/>
  <c r="AU544" i="28"/>
  <c r="BB544" i="28" s="1"/>
  <c r="AT544" i="28"/>
  <c r="BA544" i="28" s="1"/>
  <c r="AY543" i="28"/>
  <c r="BF543" i="28" s="1"/>
  <c r="AX543" i="28"/>
  <c r="BE543" i="28" s="1"/>
  <c r="AW543" i="28"/>
  <c r="BD543" i="28" s="1"/>
  <c r="AV543" i="28"/>
  <c r="BC543" i="28" s="1"/>
  <c r="AU543" i="28"/>
  <c r="BB543" i="28" s="1"/>
  <c r="AT543" i="28"/>
  <c r="BA543" i="28" s="1"/>
  <c r="AX542" i="28"/>
  <c r="BE542" i="28" s="1"/>
  <c r="AW542" i="28"/>
  <c r="BD542" i="28" s="1"/>
  <c r="AV542" i="28"/>
  <c r="BC542" i="28" s="1"/>
  <c r="AU542" i="28"/>
  <c r="BB542" i="28" s="1"/>
  <c r="AT542" i="28"/>
  <c r="BA542" i="28" s="1"/>
  <c r="AY541" i="28"/>
  <c r="BF541" i="28" s="1"/>
  <c r="AX541" i="28"/>
  <c r="BE541" i="28" s="1"/>
  <c r="AW541" i="28"/>
  <c r="BD541" i="28" s="1"/>
  <c r="AV541" i="28"/>
  <c r="BC541" i="28" s="1"/>
  <c r="AU541" i="28"/>
  <c r="BB541" i="28" s="1"/>
  <c r="AT541" i="28"/>
  <c r="BA541" i="28" s="1"/>
  <c r="AY540" i="28"/>
  <c r="BF540" i="28" s="1"/>
  <c r="AX540" i="28"/>
  <c r="BE540" i="28" s="1"/>
  <c r="AW540" i="28"/>
  <c r="BD540" i="28" s="1"/>
  <c r="AV540" i="28"/>
  <c r="BC540" i="28" s="1"/>
  <c r="AU540" i="28"/>
  <c r="BB540" i="28" s="1"/>
  <c r="AT540" i="28"/>
  <c r="BA540" i="28" s="1"/>
  <c r="AY539" i="28"/>
  <c r="BF539" i="28" s="1"/>
  <c r="AX539" i="28"/>
  <c r="BE539" i="28" s="1"/>
  <c r="AW539" i="28"/>
  <c r="BD539" i="28" s="1"/>
  <c r="AV539" i="28"/>
  <c r="BC539" i="28" s="1"/>
  <c r="AU539" i="28"/>
  <c r="BB539" i="28" s="1"/>
  <c r="AT539" i="28"/>
  <c r="BA539" i="28" s="1"/>
  <c r="AY538" i="28"/>
  <c r="BF538" i="28" s="1"/>
  <c r="AX538" i="28"/>
  <c r="BE538" i="28" s="1"/>
  <c r="AW538" i="28"/>
  <c r="BD538" i="28" s="1"/>
  <c r="AV538" i="28"/>
  <c r="BC538" i="28" s="1"/>
  <c r="AU538" i="28"/>
  <c r="BB538" i="28" s="1"/>
  <c r="AT538" i="28"/>
  <c r="BA538" i="28" s="1"/>
  <c r="AY537" i="28"/>
  <c r="BF537" i="28" s="1"/>
  <c r="AX537" i="28"/>
  <c r="BE537" i="28" s="1"/>
  <c r="AW537" i="28"/>
  <c r="BD537" i="28" s="1"/>
  <c r="AV537" i="28"/>
  <c r="BC537" i="28" s="1"/>
  <c r="AU537" i="28"/>
  <c r="BB537" i="28" s="1"/>
  <c r="AT537" i="28"/>
  <c r="BA537" i="28" s="1"/>
  <c r="AX536" i="28"/>
  <c r="BE536" i="28" s="1"/>
  <c r="AW536" i="28"/>
  <c r="BD536" i="28" s="1"/>
  <c r="AV536" i="28"/>
  <c r="BC536" i="28" s="1"/>
  <c r="AU536" i="28"/>
  <c r="BB536" i="28" s="1"/>
  <c r="AT536" i="28"/>
  <c r="BA536" i="28" s="1"/>
  <c r="AX535" i="28"/>
  <c r="BE535" i="28" s="1"/>
  <c r="AW535" i="28"/>
  <c r="BD535" i="28" s="1"/>
  <c r="AV535" i="28"/>
  <c r="BC535" i="28" s="1"/>
  <c r="AU535" i="28"/>
  <c r="BB535" i="28" s="1"/>
  <c r="AT535" i="28"/>
  <c r="BA535" i="28" s="1"/>
  <c r="AX534" i="28"/>
  <c r="BE534" i="28" s="1"/>
  <c r="AW534" i="28"/>
  <c r="BD534" i="28" s="1"/>
  <c r="AV534" i="28"/>
  <c r="BC534" i="28" s="1"/>
  <c r="AU534" i="28"/>
  <c r="BB534" i="28" s="1"/>
  <c r="AT534" i="28"/>
  <c r="BA534" i="28" s="1"/>
  <c r="AY533" i="28"/>
  <c r="BF533" i="28" s="1"/>
  <c r="AX533" i="28"/>
  <c r="BE533" i="28" s="1"/>
  <c r="AW533" i="28"/>
  <c r="BD533" i="28" s="1"/>
  <c r="AV533" i="28"/>
  <c r="BC533" i="28" s="1"/>
  <c r="AU533" i="28"/>
  <c r="BB533" i="28" s="1"/>
  <c r="AT533" i="28"/>
  <c r="BA533" i="28" s="1"/>
  <c r="AY532" i="28"/>
  <c r="BF532" i="28" s="1"/>
  <c r="AX532" i="28"/>
  <c r="BE532" i="28" s="1"/>
  <c r="AW532" i="28"/>
  <c r="BD532" i="28" s="1"/>
  <c r="AV532" i="28"/>
  <c r="BC532" i="28" s="1"/>
  <c r="AU532" i="28"/>
  <c r="BB532" i="28" s="1"/>
  <c r="AT532" i="28"/>
  <c r="BA532" i="28" s="1"/>
  <c r="AY531" i="28"/>
  <c r="BF531" i="28" s="1"/>
  <c r="AX531" i="28"/>
  <c r="BE531" i="28" s="1"/>
  <c r="AW531" i="28"/>
  <c r="BD531" i="28" s="1"/>
  <c r="AV531" i="28"/>
  <c r="BC531" i="28" s="1"/>
  <c r="AU531" i="28"/>
  <c r="BB531" i="28" s="1"/>
  <c r="AT531" i="28"/>
  <c r="BA531" i="28" s="1"/>
  <c r="AY530" i="28"/>
  <c r="BF530" i="28" s="1"/>
  <c r="AX530" i="28"/>
  <c r="BE530" i="28" s="1"/>
  <c r="AW530" i="28"/>
  <c r="BD530" i="28" s="1"/>
  <c r="AV530" i="28"/>
  <c r="BC530" i="28" s="1"/>
  <c r="AU530" i="28"/>
  <c r="BB530" i="28" s="1"/>
  <c r="AT530" i="28"/>
  <c r="BA530" i="28" s="1"/>
  <c r="AY529" i="28"/>
  <c r="BF529" i="28" s="1"/>
  <c r="AX529" i="28"/>
  <c r="BE529" i="28" s="1"/>
  <c r="AW529" i="28"/>
  <c r="BD529" i="28" s="1"/>
  <c r="AV529" i="28"/>
  <c r="BC529" i="28" s="1"/>
  <c r="AU529" i="28"/>
  <c r="BB529" i="28" s="1"/>
  <c r="AT529" i="28"/>
  <c r="BA529" i="28" s="1"/>
  <c r="AX528" i="28"/>
  <c r="BE528" i="28" s="1"/>
  <c r="AW528" i="28"/>
  <c r="BD528" i="28" s="1"/>
  <c r="AV528" i="28"/>
  <c r="BC528" i="28" s="1"/>
  <c r="AU528" i="28"/>
  <c r="BB528" i="28" s="1"/>
  <c r="AT528" i="28"/>
  <c r="BA528" i="28" s="1"/>
  <c r="AX527" i="28"/>
  <c r="BE527" i="28" s="1"/>
  <c r="AW527" i="28"/>
  <c r="BD527" i="28" s="1"/>
  <c r="AV527" i="28"/>
  <c r="BC527" i="28" s="1"/>
  <c r="AU527" i="28"/>
  <c r="BB527" i="28" s="1"/>
  <c r="AT527" i="28"/>
  <c r="BA527" i="28" s="1"/>
  <c r="AX526" i="28"/>
  <c r="BE526" i="28" s="1"/>
  <c r="AW526" i="28"/>
  <c r="BD526" i="28" s="1"/>
  <c r="AV526" i="28"/>
  <c r="BC526" i="28" s="1"/>
  <c r="AU526" i="28"/>
  <c r="BB526" i="28" s="1"/>
  <c r="AT526" i="28"/>
  <c r="BA526" i="28" s="1"/>
  <c r="AY525" i="28"/>
  <c r="BF525" i="28" s="1"/>
  <c r="AX525" i="28"/>
  <c r="BE525" i="28" s="1"/>
  <c r="AW525" i="28"/>
  <c r="BD525" i="28" s="1"/>
  <c r="AV525" i="28"/>
  <c r="BC525" i="28" s="1"/>
  <c r="AU525" i="28"/>
  <c r="BB525" i="28" s="1"/>
  <c r="AT525" i="28"/>
  <c r="BA525" i="28" s="1"/>
  <c r="AY524" i="28"/>
  <c r="BF524" i="28" s="1"/>
  <c r="AX524" i="28"/>
  <c r="BE524" i="28" s="1"/>
  <c r="AW524" i="28"/>
  <c r="BD524" i="28" s="1"/>
  <c r="AV524" i="28"/>
  <c r="BC524" i="28" s="1"/>
  <c r="AU524" i="28"/>
  <c r="BB524" i="28" s="1"/>
  <c r="AT524" i="28"/>
  <c r="BA524" i="28" s="1"/>
  <c r="AY523" i="28"/>
  <c r="BF523" i="28" s="1"/>
  <c r="AX523" i="28"/>
  <c r="BE523" i="28" s="1"/>
  <c r="AW523" i="28"/>
  <c r="BD523" i="28" s="1"/>
  <c r="AV523" i="28"/>
  <c r="BC523" i="28" s="1"/>
  <c r="AU523" i="28"/>
  <c r="BB523" i="28" s="1"/>
  <c r="AT523" i="28"/>
  <c r="BA523" i="28" s="1"/>
  <c r="AY522" i="28"/>
  <c r="BF522" i="28" s="1"/>
  <c r="AX522" i="28"/>
  <c r="BE522" i="28" s="1"/>
  <c r="AW522" i="28"/>
  <c r="BD522" i="28" s="1"/>
  <c r="AV522" i="28"/>
  <c r="BC522" i="28" s="1"/>
  <c r="AU522" i="28"/>
  <c r="BB522" i="28" s="1"/>
  <c r="AT522" i="28"/>
  <c r="BA522" i="28" s="1"/>
  <c r="AY521" i="28"/>
  <c r="BF521" i="28" s="1"/>
  <c r="AX521" i="28"/>
  <c r="BE521" i="28" s="1"/>
  <c r="AW521" i="28"/>
  <c r="BD521" i="28" s="1"/>
  <c r="AV521" i="28"/>
  <c r="BC521" i="28" s="1"/>
  <c r="AU521" i="28"/>
  <c r="BB521" i="28" s="1"/>
  <c r="AT521" i="28"/>
  <c r="BA521" i="28" s="1"/>
  <c r="AX520" i="28"/>
  <c r="BE520" i="28" s="1"/>
  <c r="AW520" i="28"/>
  <c r="BD520" i="28" s="1"/>
  <c r="AV520" i="28"/>
  <c r="BC520" i="28" s="1"/>
  <c r="AU520" i="28"/>
  <c r="BB520" i="28" s="1"/>
  <c r="AT520" i="28"/>
  <c r="BA520" i="28" s="1"/>
  <c r="AY519" i="28"/>
  <c r="BF519" i="28" s="1"/>
  <c r="AX519" i="28"/>
  <c r="BE519" i="28" s="1"/>
  <c r="AW519" i="28"/>
  <c r="BD519" i="28" s="1"/>
  <c r="AV519" i="28"/>
  <c r="BC519" i="28" s="1"/>
  <c r="AU519" i="28"/>
  <c r="BB519" i="28" s="1"/>
  <c r="AT519" i="28"/>
  <c r="BA519" i="28" s="1"/>
  <c r="AY518" i="28"/>
  <c r="BF518" i="28" s="1"/>
  <c r="AX518" i="28"/>
  <c r="BE518" i="28" s="1"/>
  <c r="AW518" i="28"/>
  <c r="BD518" i="28" s="1"/>
  <c r="AV518" i="28"/>
  <c r="BC518" i="28" s="1"/>
  <c r="AU518" i="28"/>
  <c r="BB518" i="28" s="1"/>
  <c r="AT518" i="28"/>
  <c r="BA518" i="28" s="1"/>
  <c r="AY517" i="28"/>
  <c r="BF517" i="28" s="1"/>
  <c r="AX517" i="28"/>
  <c r="BE517" i="28" s="1"/>
  <c r="AW517" i="28"/>
  <c r="BD517" i="28" s="1"/>
  <c r="AV517" i="28"/>
  <c r="BC517" i="28" s="1"/>
  <c r="AU517" i="28"/>
  <c r="BB517" i="28" s="1"/>
  <c r="AT517" i="28"/>
  <c r="BA517" i="28" s="1"/>
  <c r="AY516" i="28"/>
  <c r="BF516" i="28" s="1"/>
  <c r="AX516" i="28"/>
  <c r="BE516" i="28" s="1"/>
  <c r="AW516" i="28"/>
  <c r="BD516" i="28" s="1"/>
  <c r="AV516" i="28"/>
  <c r="BC516" i="28" s="1"/>
  <c r="AU516" i="28"/>
  <c r="BB516" i="28" s="1"/>
  <c r="AT516" i="28"/>
  <c r="BA516" i="28" s="1"/>
  <c r="AY515" i="28"/>
  <c r="BF515" i="28" s="1"/>
  <c r="AX515" i="28"/>
  <c r="BE515" i="28" s="1"/>
  <c r="AW515" i="28"/>
  <c r="BD515" i="28" s="1"/>
  <c r="AV515" i="28"/>
  <c r="BC515" i="28" s="1"/>
  <c r="AU515" i="28"/>
  <c r="BB515" i="28" s="1"/>
  <c r="AT515" i="28"/>
  <c r="BA515" i="28" s="1"/>
  <c r="AY514" i="28"/>
  <c r="BF514" i="28" s="1"/>
  <c r="AX514" i="28"/>
  <c r="BE514" i="28" s="1"/>
  <c r="AW514" i="28"/>
  <c r="BD514" i="28" s="1"/>
  <c r="AV514" i="28"/>
  <c r="BC514" i="28" s="1"/>
  <c r="AU514" i="28"/>
  <c r="BB514" i="28" s="1"/>
  <c r="AT514" i="28"/>
  <c r="BA514" i="28" s="1"/>
  <c r="AY513" i="28"/>
  <c r="BF513" i="28" s="1"/>
  <c r="AX513" i="28"/>
  <c r="BE513" i="28" s="1"/>
  <c r="AW513" i="28"/>
  <c r="BD513" i="28" s="1"/>
  <c r="AV513" i="28"/>
  <c r="BC513" i="28" s="1"/>
  <c r="AU513" i="28"/>
  <c r="BB513" i="28" s="1"/>
  <c r="AT513" i="28"/>
  <c r="BA513" i="28" s="1"/>
  <c r="AX512" i="28"/>
  <c r="BE512" i="28" s="1"/>
  <c r="AW512" i="28"/>
  <c r="BD512" i="28" s="1"/>
  <c r="AV512" i="28"/>
  <c r="BC512" i="28" s="1"/>
  <c r="AU512" i="28"/>
  <c r="BB512" i="28" s="1"/>
  <c r="AT512" i="28"/>
  <c r="BA512" i="28" s="1"/>
  <c r="AX511" i="28"/>
  <c r="BE511" i="28" s="1"/>
  <c r="AW511" i="28"/>
  <c r="BD511" i="28" s="1"/>
  <c r="AV511" i="28"/>
  <c r="BC511" i="28" s="1"/>
  <c r="AU511" i="28"/>
  <c r="BB511" i="28" s="1"/>
  <c r="AT511" i="28"/>
  <c r="BA511" i="28" s="1"/>
  <c r="AX510" i="28"/>
  <c r="BE510" i="28" s="1"/>
  <c r="AW510" i="28"/>
  <c r="BD510" i="28" s="1"/>
  <c r="AV510" i="28"/>
  <c r="BC510" i="28" s="1"/>
  <c r="AU510" i="28"/>
  <c r="BB510" i="28" s="1"/>
  <c r="AT510" i="28"/>
  <c r="BA510" i="28" s="1"/>
  <c r="AY509" i="28"/>
  <c r="BF509" i="28" s="1"/>
  <c r="AX509" i="28"/>
  <c r="BE509" i="28" s="1"/>
  <c r="AW509" i="28"/>
  <c r="BD509" i="28" s="1"/>
  <c r="AV509" i="28"/>
  <c r="BC509" i="28" s="1"/>
  <c r="AU509" i="28"/>
  <c r="BB509" i="28" s="1"/>
  <c r="AT509" i="28"/>
  <c r="BA509" i="28" s="1"/>
  <c r="AY508" i="28"/>
  <c r="BF508" i="28" s="1"/>
  <c r="AX508" i="28"/>
  <c r="BE508" i="28" s="1"/>
  <c r="AW508" i="28"/>
  <c r="BD508" i="28" s="1"/>
  <c r="AV508" i="28"/>
  <c r="BC508" i="28" s="1"/>
  <c r="AU508" i="28"/>
  <c r="BB508" i="28" s="1"/>
  <c r="AT508" i="28"/>
  <c r="BA508" i="28" s="1"/>
  <c r="AY507" i="28"/>
  <c r="BF507" i="28" s="1"/>
  <c r="AX507" i="28"/>
  <c r="BE507" i="28" s="1"/>
  <c r="AW507" i="28"/>
  <c r="BD507" i="28" s="1"/>
  <c r="AV507" i="28"/>
  <c r="BC507" i="28" s="1"/>
  <c r="AU507" i="28"/>
  <c r="BB507" i="28" s="1"/>
  <c r="AT507" i="28"/>
  <c r="BA507" i="28" s="1"/>
  <c r="AY506" i="28"/>
  <c r="BF506" i="28" s="1"/>
  <c r="AX506" i="28"/>
  <c r="BE506" i="28" s="1"/>
  <c r="AW506" i="28"/>
  <c r="BD506" i="28" s="1"/>
  <c r="AV506" i="28"/>
  <c r="BC506" i="28" s="1"/>
  <c r="AU506" i="28"/>
  <c r="BB506" i="28" s="1"/>
  <c r="AT506" i="28"/>
  <c r="BA506" i="28" s="1"/>
  <c r="AY505" i="28"/>
  <c r="BF505" i="28" s="1"/>
  <c r="AX505" i="28"/>
  <c r="BE505" i="28" s="1"/>
  <c r="AW505" i="28"/>
  <c r="BD505" i="28" s="1"/>
  <c r="AV505" i="28"/>
  <c r="BC505" i="28" s="1"/>
  <c r="AU505" i="28"/>
  <c r="BB505" i="28" s="1"/>
  <c r="AT505" i="28"/>
  <c r="BA505" i="28" s="1"/>
  <c r="AX504" i="28"/>
  <c r="BE504" i="28" s="1"/>
  <c r="AW504" i="28"/>
  <c r="BD504" i="28" s="1"/>
  <c r="AV504" i="28"/>
  <c r="BC504" i="28" s="1"/>
  <c r="AU504" i="28"/>
  <c r="BB504" i="28" s="1"/>
  <c r="AT504" i="28"/>
  <c r="BA504" i="28" s="1"/>
  <c r="AX503" i="28"/>
  <c r="BE503" i="28" s="1"/>
  <c r="AW503" i="28"/>
  <c r="BD503" i="28" s="1"/>
  <c r="AV503" i="28"/>
  <c r="BC503" i="28" s="1"/>
  <c r="AU503" i="28"/>
  <c r="BB503" i="28" s="1"/>
  <c r="AT503" i="28"/>
  <c r="BA503" i="28" s="1"/>
  <c r="AY502" i="28"/>
  <c r="BF502" i="28" s="1"/>
  <c r="AX502" i="28"/>
  <c r="BE502" i="28" s="1"/>
  <c r="AW502" i="28"/>
  <c r="BD502" i="28" s="1"/>
  <c r="AV502" i="28"/>
  <c r="BC502" i="28" s="1"/>
  <c r="AU502" i="28"/>
  <c r="BB502" i="28" s="1"/>
  <c r="AT502" i="28"/>
  <c r="BA502" i="28" s="1"/>
  <c r="AY501" i="28"/>
  <c r="BF501" i="28" s="1"/>
  <c r="AX501" i="28"/>
  <c r="BE501" i="28" s="1"/>
  <c r="AW501" i="28"/>
  <c r="BD501" i="28" s="1"/>
  <c r="AV501" i="28"/>
  <c r="BC501" i="28" s="1"/>
  <c r="AU501" i="28"/>
  <c r="BB501" i="28" s="1"/>
  <c r="AT501" i="28"/>
  <c r="BA501" i="28" s="1"/>
  <c r="AY500" i="28"/>
  <c r="BF500" i="28" s="1"/>
  <c r="AX500" i="28"/>
  <c r="BE500" i="28" s="1"/>
  <c r="AW500" i="28"/>
  <c r="BD500" i="28" s="1"/>
  <c r="AV500" i="28"/>
  <c r="BC500" i="28" s="1"/>
  <c r="AU500" i="28"/>
  <c r="BB500" i="28" s="1"/>
  <c r="AT500" i="28"/>
  <c r="BA500" i="28" s="1"/>
  <c r="AY499" i="28"/>
  <c r="BF499" i="28" s="1"/>
  <c r="AX499" i="28"/>
  <c r="BE499" i="28" s="1"/>
  <c r="AW499" i="28"/>
  <c r="BD499" i="28" s="1"/>
  <c r="AV499" i="28"/>
  <c r="BC499" i="28" s="1"/>
  <c r="AU499" i="28"/>
  <c r="BB499" i="28" s="1"/>
  <c r="AT499" i="28"/>
  <c r="BA499" i="28" s="1"/>
  <c r="AY498" i="28"/>
  <c r="BF498" i="28" s="1"/>
  <c r="AX498" i="28"/>
  <c r="BE498" i="28" s="1"/>
  <c r="AW498" i="28"/>
  <c r="BD498" i="28" s="1"/>
  <c r="AV498" i="28"/>
  <c r="BC498" i="28" s="1"/>
  <c r="AU498" i="28"/>
  <c r="BB498" i="28" s="1"/>
  <c r="AT498" i="28"/>
  <c r="BA498" i="28" s="1"/>
  <c r="AY497" i="28"/>
  <c r="BF497" i="28" s="1"/>
  <c r="AX497" i="28"/>
  <c r="BE497" i="28" s="1"/>
  <c r="AW497" i="28"/>
  <c r="BD497" i="28" s="1"/>
  <c r="AV497" i="28"/>
  <c r="BC497" i="28" s="1"/>
  <c r="AU497" i="28"/>
  <c r="BB497" i="28" s="1"/>
  <c r="AT497" i="28"/>
  <c r="BA497" i="28" s="1"/>
  <c r="AX496" i="28"/>
  <c r="BE496" i="28" s="1"/>
  <c r="AW496" i="28"/>
  <c r="BD496" i="28" s="1"/>
  <c r="AV496" i="28"/>
  <c r="BC496" i="28" s="1"/>
  <c r="AU496" i="28"/>
  <c r="BB496" i="28" s="1"/>
  <c r="AT496" i="28"/>
  <c r="BA496" i="28" s="1"/>
  <c r="AX495" i="28"/>
  <c r="BE495" i="28" s="1"/>
  <c r="AW495" i="28"/>
  <c r="BD495" i="28" s="1"/>
  <c r="AV495" i="28"/>
  <c r="BC495" i="28" s="1"/>
  <c r="AU495" i="28"/>
  <c r="BB495" i="28" s="1"/>
  <c r="AT495" i="28"/>
  <c r="BA495" i="28" s="1"/>
  <c r="BF494" i="28"/>
  <c r="AX494" i="28"/>
  <c r="BE494" i="28" s="1"/>
  <c r="AW494" i="28"/>
  <c r="BD494" i="28" s="1"/>
  <c r="AV494" i="28"/>
  <c r="BC494" i="28" s="1"/>
  <c r="AU494" i="28"/>
  <c r="BB494" i="28" s="1"/>
  <c r="AT494" i="28"/>
  <c r="BA494" i="28" s="1"/>
  <c r="AY493" i="28"/>
  <c r="BF493" i="28" s="1"/>
  <c r="AX493" i="28"/>
  <c r="BE493" i="28" s="1"/>
  <c r="AW493" i="28"/>
  <c r="BD493" i="28" s="1"/>
  <c r="AV493" i="28"/>
  <c r="BC493" i="28" s="1"/>
  <c r="AU493" i="28"/>
  <c r="BB493" i="28" s="1"/>
  <c r="AT493" i="28"/>
  <c r="BA493" i="28" s="1"/>
  <c r="AY492" i="28"/>
  <c r="BF492" i="28" s="1"/>
  <c r="AX492" i="28"/>
  <c r="BE492" i="28" s="1"/>
  <c r="AW492" i="28"/>
  <c r="BD492" i="28" s="1"/>
  <c r="AV492" i="28"/>
  <c r="BC492" i="28" s="1"/>
  <c r="AU492" i="28"/>
  <c r="BB492" i="28" s="1"/>
  <c r="AT492" i="28"/>
  <c r="BA492" i="28" s="1"/>
  <c r="AY491" i="28"/>
  <c r="BF491" i="28" s="1"/>
  <c r="AX491" i="28"/>
  <c r="BE491" i="28" s="1"/>
  <c r="AW491" i="28"/>
  <c r="BD491" i="28" s="1"/>
  <c r="AV491" i="28"/>
  <c r="BC491" i="28" s="1"/>
  <c r="AU491" i="28"/>
  <c r="BB491" i="28" s="1"/>
  <c r="AT491" i="28"/>
  <c r="BA491" i="28" s="1"/>
  <c r="AY490" i="28"/>
  <c r="BF490" i="28" s="1"/>
  <c r="AX490" i="28"/>
  <c r="BE490" i="28" s="1"/>
  <c r="AW490" i="28"/>
  <c r="BD490" i="28" s="1"/>
  <c r="AV490" i="28"/>
  <c r="BC490" i="28" s="1"/>
  <c r="AU490" i="28"/>
  <c r="BB490" i="28" s="1"/>
  <c r="AT490" i="28"/>
  <c r="BA490" i="28" s="1"/>
  <c r="AY489" i="28"/>
  <c r="BF489" i="28" s="1"/>
  <c r="AX489" i="28"/>
  <c r="BE489" i="28" s="1"/>
  <c r="AW489" i="28"/>
  <c r="BD489" i="28" s="1"/>
  <c r="AV489" i="28"/>
  <c r="BC489" i="28" s="1"/>
  <c r="AU489" i="28"/>
  <c r="BB489" i="28" s="1"/>
  <c r="AT489" i="28"/>
  <c r="BA489" i="28" s="1"/>
  <c r="AX488" i="28"/>
  <c r="BE488" i="28" s="1"/>
  <c r="AW488" i="28"/>
  <c r="BD488" i="28" s="1"/>
  <c r="AV488" i="28"/>
  <c r="BC488" i="28" s="1"/>
  <c r="AU488" i="28"/>
  <c r="BB488" i="28" s="1"/>
  <c r="AT488" i="28"/>
  <c r="BA488" i="28" s="1"/>
  <c r="AX487" i="28"/>
  <c r="BE487" i="28" s="1"/>
  <c r="AW487" i="28"/>
  <c r="BD487" i="28" s="1"/>
  <c r="AV487" i="28"/>
  <c r="BC487" i="28" s="1"/>
  <c r="AU487" i="28"/>
  <c r="BB487" i="28" s="1"/>
  <c r="AT487" i="28"/>
  <c r="BA487" i="28" s="1"/>
  <c r="BF486" i="28"/>
  <c r="AX486" i="28"/>
  <c r="BE486" i="28" s="1"/>
  <c r="AW486" i="28"/>
  <c r="BD486" i="28" s="1"/>
  <c r="AV486" i="28"/>
  <c r="BC486" i="28" s="1"/>
  <c r="AU486" i="28"/>
  <c r="BB486" i="28" s="1"/>
  <c r="AT486" i="28"/>
  <c r="BA486" i="28" s="1"/>
  <c r="AY485" i="28"/>
  <c r="BF485" i="28" s="1"/>
  <c r="AX485" i="28"/>
  <c r="BE485" i="28" s="1"/>
  <c r="AW485" i="28"/>
  <c r="BD485" i="28" s="1"/>
  <c r="AV485" i="28"/>
  <c r="BC485" i="28" s="1"/>
  <c r="AU485" i="28"/>
  <c r="BB485" i="28" s="1"/>
  <c r="AT485" i="28"/>
  <c r="BA485" i="28" s="1"/>
  <c r="AY484" i="28"/>
  <c r="BF484" i="28" s="1"/>
  <c r="AX484" i="28"/>
  <c r="BE484" i="28" s="1"/>
  <c r="AW484" i="28"/>
  <c r="BD484" i="28" s="1"/>
  <c r="AV484" i="28"/>
  <c r="BC484" i="28" s="1"/>
  <c r="AU484" i="28"/>
  <c r="BB484" i="28" s="1"/>
  <c r="AT484" i="28"/>
  <c r="BA484" i="28" s="1"/>
  <c r="AY483" i="28"/>
  <c r="BF483" i="28" s="1"/>
  <c r="AX483" i="28"/>
  <c r="BE483" i="28" s="1"/>
  <c r="AW483" i="28"/>
  <c r="BD483" i="28" s="1"/>
  <c r="AV483" i="28"/>
  <c r="BC483" i="28" s="1"/>
  <c r="AU483" i="28"/>
  <c r="BB483" i="28" s="1"/>
  <c r="AT483" i="28"/>
  <c r="BA483" i="28" s="1"/>
  <c r="AY482" i="28"/>
  <c r="BF482" i="28" s="1"/>
  <c r="AX482" i="28"/>
  <c r="BE482" i="28" s="1"/>
  <c r="AW482" i="28"/>
  <c r="BD482" i="28" s="1"/>
  <c r="AV482" i="28"/>
  <c r="BC482" i="28" s="1"/>
  <c r="AU482" i="28"/>
  <c r="BB482" i="28" s="1"/>
  <c r="AT482" i="28"/>
  <c r="BA482" i="28" s="1"/>
  <c r="AY481" i="28"/>
  <c r="BF481" i="28" s="1"/>
  <c r="AX481" i="28"/>
  <c r="BE481" i="28" s="1"/>
  <c r="AW481" i="28"/>
  <c r="BD481" i="28" s="1"/>
  <c r="AV481" i="28"/>
  <c r="BC481" i="28" s="1"/>
  <c r="AU481" i="28"/>
  <c r="BB481" i="28" s="1"/>
  <c r="AT481" i="28"/>
  <c r="BA481" i="28" s="1"/>
  <c r="AX480" i="28"/>
  <c r="BE480" i="28" s="1"/>
  <c r="AW480" i="28"/>
  <c r="BD480" i="28" s="1"/>
  <c r="AV480" i="28"/>
  <c r="BC480" i="28" s="1"/>
  <c r="AU480" i="28"/>
  <c r="BB480" i="28" s="1"/>
  <c r="AT480" i="28"/>
  <c r="BA480" i="28" s="1"/>
  <c r="AX479" i="28"/>
  <c r="BE479" i="28" s="1"/>
  <c r="AW479" i="28"/>
  <c r="BD479" i="28" s="1"/>
  <c r="AV479" i="28"/>
  <c r="BC479" i="28" s="1"/>
  <c r="AU479" i="28"/>
  <c r="BB479" i="28" s="1"/>
  <c r="AT479" i="28"/>
  <c r="BA479" i="28" s="1"/>
  <c r="AY478" i="28"/>
  <c r="BF478" i="28" s="1"/>
  <c r="AX478" i="28"/>
  <c r="BE478" i="28" s="1"/>
  <c r="AW478" i="28"/>
  <c r="BD478" i="28" s="1"/>
  <c r="AV478" i="28"/>
  <c r="BC478" i="28" s="1"/>
  <c r="AU478" i="28"/>
  <c r="BB478" i="28" s="1"/>
  <c r="AT478" i="28"/>
  <c r="BA478" i="28" s="1"/>
  <c r="AY477" i="28"/>
  <c r="BF477" i="28" s="1"/>
  <c r="AX477" i="28"/>
  <c r="BE477" i="28" s="1"/>
  <c r="AW477" i="28"/>
  <c r="BD477" i="28" s="1"/>
  <c r="AV477" i="28"/>
  <c r="BC477" i="28" s="1"/>
  <c r="AU477" i="28"/>
  <c r="BB477" i="28" s="1"/>
  <c r="AT477" i="28"/>
  <c r="BA477" i="28" s="1"/>
  <c r="AY476" i="28"/>
  <c r="BF476" i="28" s="1"/>
  <c r="AX476" i="28"/>
  <c r="BE476" i="28" s="1"/>
  <c r="AW476" i="28"/>
  <c r="BD476" i="28" s="1"/>
  <c r="AV476" i="28"/>
  <c r="BC476" i="28" s="1"/>
  <c r="AU476" i="28"/>
  <c r="BB476" i="28" s="1"/>
  <c r="AT476" i="28"/>
  <c r="BA476" i="28" s="1"/>
  <c r="AY475" i="28"/>
  <c r="BF475" i="28" s="1"/>
  <c r="AX475" i="28"/>
  <c r="BE475" i="28" s="1"/>
  <c r="AW475" i="28"/>
  <c r="BD475" i="28" s="1"/>
  <c r="AV475" i="28"/>
  <c r="BC475" i="28" s="1"/>
  <c r="AU475" i="28"/>
  <c r="BB475" i="28" s="1"/>
  <c r="AT475" i="28"/>
  <c r="BA475" i="28" s="1"/>
  <c r="AY474" i="28"/>
  <c r="BF474" i="28" s="1"/>
  <c r="AX474" i="28"/>
  <c r="BE474" i="28" s="1"/>
  <c r="AW474" i="28"/>
  <c r="BD474" i="28" s="1"/>
  <c r="AV474" i="28"/>
  <c r="BC474" i="28" s="1"/>
  <c r="AU474" i="28"/>
  <c r="BB474" i="28" s="1"/>
  <c r="AT474" i="28"/>
  <c r="BA474" i="28" s="1"/>
  <c r="AY473" i="28"/>
  <c r="BF473" i="28" s="1"/>
  <c r="AX473" i="28"/>
  <c r="BE473" i="28" s="1"/>
  <c r="AW473" i="28"/>
  <c r="BD473" i="28" s="1"/>
  <c r="AV473" i="28"/>
  <c r="BC473" i="28" s="1"/>
  <c r="AU473" i="28"/>
  <c r="BB473" i="28" s="1"/>
  <c r="AT473" i="28"/>
  <c r="BA473" i="28" s="1"/>
  <c r="AX472" i="28"/>
  <c r="BE472" i="28" s="1"/>
  <c r="AW472" i="28"/>
  <c r="BD472" i="28" s="1"/>
  <c r="AV472" i="28"/>
  <c r="BC472" i="28" s="1"/>
  <c r="AU472" i="28"/>
  <c r="BB472" i="28" s="1"/>
  <c r="AT472" i="28"/>
  <c r="BA472" i="28" s="1"/>
  <c r="AX471" i="28"/>
  <c r="BE471" i="28" s="1"/>
  <c r="AW471" i="28"/>
  <c r="BD471" i="28" s="1"/>
  <c r="AV471" i="28"/>
  <c r="BC471" i="28" s="1"/>
  <c r="AU471" i="28"/>
  <c r="BB471" i="28" s="1"/>
  <c r="AT471" i="28"/>
  <c r="BA471" i="28" s="1"/>
  <c r="AY470" i="28"/>
  <c r="BF470" i="28" s="1"/>
  <c r="AX470" i="28"/>
  <c r="BE470" i="28" s="1"/>
  <c r="AW470" i="28"/>
  <c r="BD470" i="28" s="1"/>
  <c r="AV470" i="28"/>
  <c r="BC470" i="28" s="1"/>
  <c r="AU470" i="28"/>
  <c r="BB470" i="28" s="1"/>
  <c r="AT470" i="28"/>
  <c r="BA470" i="28" s="1"/>
  <c r="AY469" i="28"/>
  <c r="BF469" i="28" s="1"/>
  <c r="AX469" i="28"/>
  <c r="BE469" i="28" s="1"/>
  <c r="AW469" i="28"/>
  <c r="BD469" i="28" s="1"/>
  <c r="AV469" i="28"/>
  <c r="BC469" i="28" s="1"/>
  <c r="AU469" i="28"/>
  <c r="BB469" i="28" s="1"/>
  <c r="AT469" i="28"/>
  <c r="BA469" i="28" s="1"/>
  <c r="AY468" i="28"/>
  <c r="BF468" i="28" s="1"/>
  <c r="AX468" i="28"/>
  <c r="BE468" i="28" s="1"/>
  <c r="AW468" i="28"/>
  <c r="BD468" i="28" s="1"/>
  <c r="AV468" i="28"/>
  <c r="BC468" i="28" s="1"/>
  <c r="AU468" i="28"/>
  <c r="BB468" i="28" s="1"/>
  <c r="AT468" i="28"/>
  <c r="BA468" i="28" s="1"/>
  <c r="AY467" i="28"/>
  <c r="BF467" i="28" s="1"/>
  <c r="AX467" i="28"/>
  <c r="BE467" i="28" s="1"/>
  <c r="AW467" i="28"/>
  <c r="BD467" i="28" s="1"/>
  <c r="AV467" i="28"/>
  <c r="BC467" i="28" s="1"/>
  <c r="AU467" i="28"/>
  <c r="BB467" i="28" s="1"/>
  <c r="AT467" i="28"/>
  <c r="BA467" i="28" s="1"/>
  <c r="AY466" i="28"/>
  <c r="BF466" i="28" s="1"/>
  <c r="AX466" i="28"/>
  <c r="BE466" i="28" s="1"/>
  <c r="AW466" i="28"/>
  <c r="BD466" i="28" s="1"/>
  <c r="AV466" i="28"/>
  <c r="BC466" i="28" s="1"/>
  <c r="AU466" i="28"/>
  <c r="BB466" i="28" s="1"/>
  <c r="AT466" i="28"/>
  <c r="BA466" i="28" s="1"/>
  <c r="AY465" i="28"/>
  <c r="BF465" i="28" s="1"/>
  <c r="AX465" i="28"/>
  <c r="BE465" i="28" s="1"/>
  <c r="AW465" i="28"/>
  <c r="BD465" i="28" s="1"/>
  <c r="AV465" i="28"/>
  <c r="BC465" i="28" s="1"/>
  <c r="AU465" i="28"/>
  <c r="BB465" i="28" s="1"/>
  <c r="AT465" i="28"/>
  <c r="BA465" i="28" s="1"/>
  <c r="AX464" i="28"/>
  <c r="BE464" i="28" s="1"/>
  <c r="AW464" i="28"/>
  <c r="BD464" i="28" s="1"/>
  <c r="AV464" i="28"/>
  <c r="BC464" i="28" s="1"/>
  <c r="AU464" i="28"/>
  <c r="BB464" i="28" s="1"/>
  <c r="AT464" i="28"/>
  <c r="BA464" i="28" s="1"/>
  <c r="AX463" i="28"/>
  <c r="BE463" i="28" s="1"/>
  <c r="AW463" i="28"/>
  <c r="BD463" i="28" s="1"/>
  <c r="AV463" i="28"/>
  <c r="BC463" i="28" s="1"/>
  <c r="AU463" i="28"/>
  <c r="BB463" i="28" s="1"/>
  <c r="AT463" i="28"/>
  <c r="BA463" i="28" s="1"/>
  <c r="AX462" i="28"/>
  <c r="BE462" i="28" s="1"/>
  <c r="AW462" i="28"/>
  <c r="BD462" i="28" s="1"/>
  <c r="AV462" i="28"/>
  <c r="BC462" i="28" s="1"/>
  <c r="AU462" i="28"/>
  <c r="BB462" i="28" s="1"/>
  <c r="AT462" i="28"/>
  <c r="BA462" i="28" s="1"/>
  <c r="AY461" i="28"/>
  <c r="BF461" i="28" s="1"/>
  <c r="AX461" i="28"/>
  <c r="BE461" i="28" s="1"/>
  <c r="AW461" i="28"/>
  <c r="BD461" i="28" s="1"/>
  <c r="AV461" i="28"/>
  <c r="BC461" i="28" s="1"/>
  <c r="AU461" i="28"/>
  <c r="BB461" i="28" s="1"/>
  <c r="AT461" i="28"/>
  <c r="BA461" i="28" s="1"/>
  <c r="AY460" i="28"/>
  <c r="BF460" i="28" s="1"/>
  <c r="AX460" i="28"/>
  <c r="BE460" i="28" s="1"/>
  <c r="AW460" i="28"/>
  <c r="BD460" i="28" s="1"/>
  <c r="AV460" i="28"/>
  <c r="BC460" i="28" s="1"/>
  <c r="AU460" i="28"/>
  <c r="BB460" i="28" s="1"/>
  <c r="AT460" i="28"/>
  <c r="BA460" i="28" s="1"/>
  <c r="AY459" i="28"/>
  <c r="BF459" i="28" s="1"/>
  <c r="AX459" i="28"/>
  <c r="BE459" i="28" s="1"/>
  <c r="AW459" i="28"/>
  <c r="BD459" i="28" s="1"/>
  <c r="AV459" i="28"/>
  <c r="BC459" i="28" s="1"/>
  <c r="AU459" i="28"/>
  <c r="BB459" i="28" s="1"/>
  <c r="AT459" i="28"/>
  <c r="BA459" i="28" s="1"/>
  <c r="AY458" i="28"/>
  <c r="BF458" i="28" s="1"/>
  <c r="AX458" i="28"/>
  <c r="BE458" i="28" s="1"/>
  <c r="AW458" i="28"/>
  <c r="BD458" i="28" s="1"/>
  <c r="AV458" i="28"/>
  <c r="BC458" i="28" s="1"/>
  <c r="AU458" i="28"/>
  <c r="BB458" i="28" s="1"/>
  <c r="AT458" i="28"/>
  <c r="BA458" i="28" s="1"/>
  <c r="AY457" i="28"/>
  <c r="BF457" i="28" s="1"/>
  <c r="AX457" i="28"/>
  <c r="BE457" i="28" s="1"/>
  <c r="AW457" i="28"/>
  <c r="BD457" i="28" s="1"/>
  <c r="AV457" i="28"/>
  <c r="BC457" i="28" s="1"/>
  <c r="AU457" i="28"/>
  <c r="BB457" i="28" s="1"/>
  <c r="AT457" i="28"/>
  <c r="BA457" i="28" s="1"/>
  <c r="AX456" i="28"/>
  <c r="BE456" i="28" s="1"/>
  <c r="AW456" i="28"/>
  <c r="BD456" i="28" s="1"/>
  <c r="AV456" i="28"/>
  <c r="BC456" i="28" s="1"/>
  <c r="AU456" i="28"/>
  <c r="BB456" i="28" s="1"/>
  <c r="AT456" i="28"/>
  <c r="BA456" i="28" s="1"/>
  <c r="AX455" i="28"/>
  <c r="BE455" i="28" s="1"/>
  <c r="AW455" i="28"/>
  <c r="BD455" i="28" s="1"/>
  <c r="AV455" i="28"/>
  <c r="BC455" i="28" s="1"/>
  <c r="AU455" i="28"/>
  <c r="BB455" i="28" s="1"/>
  <c r="AT455" i="28"/>
  <c r="BA455" i="28" s="1"/>
  <c r="AX454" i="28"/>
  <c r="BE454" i="28" s="1"/>
  <c r="AW454" i="28"/>
  <c r="BD454" i="28" s="1"/>
  <c r="AV454" i="28"/>
  <c r="BC454" i="28" s="1"/>
  <c r="AU454" i="28"/>
  <c r="BB454" i="28" s="1"/>
  <c r="AT454" i="28"/>
  <c r="BA454" i="28" s="1"/>
  <c r="AY453" i="28"/>
  <c r="BF453" i="28" s="1"/>
  <c r="AX453" i="28"/>
  <c r="BE453" i="28" s="1"/>
  <c r="AW453" i="28"/>
  <c r="BD453" i="28" s="1"/>
  <c r="AV453" i="28"/>
  <c r="BC453" i="28" s="1"/>
  <c r="AU453" i="28"/>
  <c r="BB453" i="28" s="1"/>
  <c r="AT453" i="28"/>
  <c r="BA453" i="28" s="1"/>
  <c r="AY452" i="28"/>
  <c r="BF452" i="28" s="1"/>
  <c r="AX452" i="28"/>
  <c r="BE452" i="28" s="1"/>
  <c r="AW452" i="28"/>
  <c r="BD452" i="28" s="1"/>
  <c r="AV452" i="28"/>
  <c r="BC452" i="28" s="1"/>
  <c r="AU452" i="28"/>
  <c r="BB452" i="28" s="1"/>
  <c r="AT452" i="28"/>
  <c r="BA452" i="28" s="1"/>
  <c r="AY451" i="28"/>
  <c r="BF451" i="28" s="1"/>
  <c r="AX451" i="28"/>
  <c r="BE451" i="28" s="1"/>
  <c r="AW451" i="28"/>
  <c r="BD451" i="28" s="1"/>
  <c r="AV451" i="28"/>
  <c r="BC451" i="28" s="1"/>
  <c r="AU451" i="28"/>
  <c r="BB451" i="28" s="1"/>
  <c r="AT451" i="28"/>
  <c r="BA451" i="28" s="1"/>
  <c r="AY450" i="28"/>
  <c r="BF450" i="28" s="1"/>
  <c r="AX450" i="28"/>
  <c r="BE450" i="28" s="1"/>
  <c r="AW450" i="28"/>
  <c r="BD450" i="28" s="1"/>
  <c r="AV450" i="28"/>
  <c r="BC450" i="28" s="1"/>
  <c r="AU450" i="28"/>
  <c r="BB450" i="28" s="1"/>
  <c r="AT450" i="28"/>
  <c r="BA450" i="28" s="1"/>
  <c r="AY449" i="28"/>
  <c r="BF449" i="28" s="1"/>
  <c r="AX449" i="28"/>
  <c r="BE449" i="28" s="1"/>
  <c r="AW449" i="28"/>
  <c r="BD449" i="28" s="1"/>
  <c r="AV449" i="28"/>
  <c r="BC449" i="28" s="1"/>
  <c r="AU449" i="28"/>
  <c r="BB449" i="28" s="1"/>
  <c r="AT449" i="28"/>
  <c r="BA449" i="28" s="1"/>
  <c r="AX448" i="28"/>
  <c r="BE448" i="28" s="1"/>
  <c r="AW448" i="28"/>
  <c r="BD448" i="28" s="1"/>
  <c r="AV448" i="28"/>
  <c r="BC448" i="28" s="1"/>
  <c r="AU448" i="28"/>
  <c r="BB448" i="28" s="1"/>
  <c r="AT448" i="28"/>
  <c r="BA448" i="28" s="1"/>
  <c r="AX447" i="28"/>
  <c r="BE447" i="28" s="1"/>
  <c r="AW447" i="28"/>
  <c r="BD447" i="28" s="1"/>
  <c r="AV447" i="28"/>
  <c r="BC447" i="28" s="1"/>
  <c r="AU447" i="28"/>
  <c r="BB447" i="28" s="1"/>
  <c r="AT447" i="28"/>
  <c r="BA447" i="28" s="1"/>
  <c r="BF446" i="28"/>
  <c r="AX446" i="28"/>
  <c r="BE446" i="28" s="1"/>
  <c r="AW446" i="28"/>
  <c r="BD446" i="28" s="1"/>
  <c r="AV446" i="28"/>
  <c r="BC446" i="28" s="1"/>
  <c r="AU446" i="28"/>
  <c r="BB446" i="28" s="1"/>
  <c r="AT446" i="28"/>
  <c r="BA446" i="28" s="1"/>
  <c r="AY445" i="28"/>
  <c r="BF445" i="28" s="1"/>
  <c r="AX445" i="28"/>
  <c r="BE445" i="28" s="1"/>
  <c r="AW445" i="28"/>
  <c r="BD445" i="28" s="1"/>
  <c r="AV445" i="28"/>
  <c r="BC445" i="28" s="1"/>
  <c r="AU445" i="28"/>
  <c r="BB445" i="28" s="1"/>
  <c r="AT445" i="28"/>
  <c r="BA445" i="28" s="1"/>
  <c r="AY444" i="28"/>
  <c r="BF444" i="28" s="1"/>
  <c r="AX444" i="28"/>
  <c r="BE444" i="28" s="1"/>
  <c r="AW444" i="28"/>
  <c r="BD444" i="28" s="1"/>
  <c r="AV444" i="28"/>
  <c r="BC444" i="28" s="1"/>
  <c r="AU444" i="28"/>
  <c r="BB444" i="28" s="1"/>
  <c r="AT444" i="28"/>
  <c r="BA444" i="28" s="1"/>
  <c r="AY443" i="28"/>
  <c r="BF443" i="28" s="1"/>
  <c r="AX443" i="28"/>
  <c r="BE443" i="28" s="1"/>
  <c r="AW443" i="28"/>
  <c r="BD443" i="28" s="1"/>
  <c r="AV443" i="28"/>
  <c r="BC443" i="28" s="1"/>
  <c r="AU443" i="28"/>
  <c r="BB443" i="28" s="1"/>
  <c r="AT443" i="28"/>
  <c r="BA443" i="28" s="1"/>
  <c r="AY442" i="28"/>
  <c r="BF442" i="28" s="1"/>
  <c r="AX442" i="28"/>
  <c r="BE442" i="28" s="1"/>
  <c r="AW442" i="28"/>
  <c r="BD442" i="28" s="1"/>
  <c r="AV442" i="28"/>
  <c r="BC442" i="28" s="1"/>
  <c r="AU442" i="28"/>
  <c r="BB442" i="28" s="1"/>
  <c r="AT442" i="28"/>
  <c r="BA442" i="28" s="1"/>
  <c r="AY441" i="28"/>
  <c r="BF441" i="28" s="1"/>
  <c r="AX441" i="28"/>
  <c r="BE441" i="28" s="1"/>
  <c r="AW441" i="28"/>
  <c r="BD441" i="28" s="1"/>
  <c r="AV441" i="28"/>
  <c r="BC441" i="28" s="1"/>
  <c r="AU441" i="28"/>
  <c r="BB441" i="28" s="1"/>
  <c r="AT441" i="28"/>
  <c r="BA441" i="28" s="1"/>
  <c r="AX440" i="28"/>
  <c r="BE440" i="28" s="1"/>
  <c r="AW440" i="28"/>
  <c r="BD440" i="28" s="1"/>
  <c r="AV440" i="28"/>
  <c r="BC440" i="28" s="1"/>
  <c r="AU440" i="28"/>
  <c r="BB440" i="28" s="1"/>
  <c r="AT440" i="28"/>
  <c r="BA440" i="28" s="1"/>
  <c r="AX439" i="28"/>
  <c r="BE439" i="28" s="1"/>
  <c r="AW439" i="28"/>
  <c r="BD439" i="28" s="1"/>
  <c r="AV439" i="28"/>
  <c r="BC439" i="28" s="1"/>
  <c r="AU439" i="28"/>
  <c r="BB439" i="28" s="1"/>
  <c r="AT439" i="28"/>
  <c r="BA439" i="28" s="1"/>
  <c r="AX438" i="28"/>
  <c r="BE438" i="28" s="1"/>
  <c r="AW438" i="28"/>
  <c r="BD438" i="28" s="1"/>
  <c r="AV438" i="28"/>
  <c r="BC438" i="28" s="1"/>
  <c r="AU438" i="28"/>
  <c r="BB438" i="28" s="1"/>
  <c r="AT438" i="28"/>
  <c r="BA438" i="28" s="1"/>
  <c r="AY437" i="28"/>
  <c r="BF437" i="28" s="1"/>
  <c r="AX437" i="28"/>
  <c r="BE437" i="28" s="1"/>
  <c r="AW437" i="28"/>
  <c r="BD437" i="28" s="1"/>
  <c r="AV437" i="28"/>
  <c r="BC437" i="28" s="1"/>
  <c r="AU437" i="28"/>
  <c r="BB437" i="28" s="1"/>
  <c r="AT437" i="28"/>
  <c r="BA437" i="28" s="1"/>
  <c r="AY436" i="28"/>
  <c r="BF436" i="28" s="1"/>
  <c r="AX436" i="28"/>
  <c r="BE436" i="28" s="1"/>
  <c r="AW436" i="28"/>
  <c r="BD436" i="28" s="1"/>
  <c r="AV436" i="28"/>
  <c r="BC436" i="28" s="1"/>
  <c r="AU436" i="28"/>
  <c r="BB436" i="28" s="1"/>
  <c r="AT436" i="28"/>
  <c r="BA436" i="28" s="1"/>
  <c r="AY435" i="28"/>
  <c r="BF435" i="28" s="1"/>
  <c r="AX435" i="28"/>
  <c r="BE435" i="28" s="1"/>
  <c r="AW435" i="28"/>
  <c r="BD435" i="28" s="1"/>
  <c r="AV435" i="28"/>
  <c r="BC435" i="28" s="1"/>
  <c r="AU435" i="28"/>
  <c r="BB435" i="28" s="1"/>
  <c r="AT435" i="28"/>
  <c r="BA435" i="28" s="1"/>
  <c r="AY434" i="28"/>
  <c r="BF434" i="28" s="1"/>
  <c r="AX434" i="28"/>
  <c r="BE434" i="28" s="1"/>
  <c r="AW434" i="28"/>
  <c r="BD434" i="28" s="1"/>
  <c r="AV434" i="28"/>
  <c r="BC434" i="28" s="1"/>
  <c r="AU434" i="28"/>
  <c r="BB434" i="28" s="1"/>
  <c r="AT434" i="28"/>
  <c r="BA434" i="28" s="1"/>
  <c r="AY433" i="28"/>
  <c r="BF433" i="28" s="1"/>
  <c r="AX433" i="28"/>
  <c r="BE433" i="28" s="1"/>
  <c r="AW433" i="28"/>
  <c r="BD433" i="28" s="1"/>
  <c r="AV433" i="28"/>
  <c r="BC433" i="28" s="1"/>
  <c r="AU433" i="28"/>
  <c r="BB433" i="28" s="1"/>
  <c r="AT433" i="28"/>
  <c r="BA433" i="28" s="1"/>
  <c r="AX432" i="28"/>
  <c r="BE432" i="28" s="1"/>
  <c r="AW432" i="28"/>
  <c r="BD432" i="28" s="1"/>
  <c r="AV432" i="28"/>
  <c r="BC432" i="28" s="1"/>
  <c r="AU432" i="28"/>
  <c r="BB432" i="28" s="1"/>
  <c r="AT432" i="28"/>
  <c r="BA432" i="28" s="1"/>
  <c r="AX431" i="28"/>
  <c r="BE431" i="28" s="1"/>
  <c r="AW431" i="28"/>
  <c r="BD431" i="28" s="1"/>
  <c r="AV431" i="28"/>
  <c r="BC431" i="28" s="1"/>
  <c r="AU431" i="28"/>
  <c r="BB431" i="28" s="1"/>
  <c r="AT431" i="28"/>
  <c r="BA431" i="28" s="1"/>
  <c r="AX430" i="28"/>
  <c r="BE430" i="28" s="1"/>
  <c r="AW430" i="28"/>
  <c r="BD430" i="28" s="1"/>
  <c r="AV430" i="28"/>
  <c r="BC430" i="28" s="1"/>
  <c r="AU430" i="28"/>
  <c r="BB430" i="28" s="1"/>
  <c r="AT430" i="28"/>
  <c r="BA430" i="28" s="1"/>
  <c r="AY429" i="28"/>
  <c r="BF429" i="28" s="1"/>
  <c r="AX429" i="28"/>
  <c r="BE429" i="28" s="1"/>
  <c r="AW429" i="28"/>
  <c r="BD429" i="28" s="1"/>
  <c r="AV429" i="28"/>
  <c r="BC429" i="28" s="1"/>
  <c r="AU429" i="28"/>
  <c r="BB429" i="28" s="1"/>
  <c r="AT429" i="28"/>
  <c r="BA429" i="28" s="1"/>
  <c r="AY428" i="28"/>
  <c r="BF428" i="28" s="1"/>
  <c r="AX428" i="28"/>
  <c r="BE428" i="28" s="1"/>
  <c r="AW428" i="28"/>
  <c r="BD428" i="28" s="1"/>
  <c r="AV428" i="28"/>
  <c r="BC428" i="28" s="1"/>
  <c r="AU428" i="28"/>
  <c r="BB428" i="28" s="1"/>
  <c r="AT428" i="28"/>
  <c r="BA428" i="28" s="1"/>
  <c r="AY427" i="28"/>
  <c r="BF427" i="28" s="1"/>
  <c r="AX427" i="28"/>
  <c r="BE427" i="28" s="1"/>
  <c r="AW427" i="28"/>
  <c r="BD427" i="28" s="1"/>
  <c r="AV427" i="28"/>
  <c r="BC427" i="28" s="1"/>
  <c r="AU427" i="28"/>
  <c r="BB427" i="28" s="1"/>
  <c r="AT427" i="28"/>
  <c r="BA427" i="28" s="1"/>
  <c r="AY426" i="28"/>
  <c r="BF426" i="28" s="1"/>
  <c r="AX426" i="28"/>
  <c r="BE426" i="28" s="1"/>
  <c r="AW426" i="28"/>
  <c r="BD426" i="28" s="1"/>
  <c r="AV426" i="28"/>
  <c r="BC426" i="28" s="1"/>
  <c r="AU426" i="28"/>
  <c r="BB426" i="28" s="1"/>
  <c r="AT426" i="28"/>
  <c r="BA426" i="28" s="1"/>
  <c r="AY425" i="28"/>
  <c r="BF425" i="28" s="1"/>
  <c r="AX425" i="28"/>
  <c r="BE425" i="28" s="1"/>
  <c r="AW425" i="28"/>
  <c r="BD425" i="28" s="1"/>
  <c r="AV425" i="28"/>
  <c r="BC425" i="28" s="1"/>
  <c r="AU425" i="28"/>
  <c r="BB425" i="28" s="1"/>
  <c r="AT425" i="28"/>
  <c r="BA425" i="28" s="1"/>
  <c r="AX424" i="28"/>
  <c r="BE424" i="28" s="1"/>
  <c r="AW424" i="28"/>
  <c r="BD424" i="28" s="1"/>
  <c r="AV424" i="28"/>
  <c r="BC424" i="28" s="1"/>
  <c r="AU424" i="28"/>
  <c r="BB424" i="28" s="1"/>
  <c r="AT424" i="28"/>
  <c r="BA424" i="28" s="1"/>
  <c r="AX423" i="28"/>
  <c r="BE423" i="28" s="1"/>
  <c r="AW423" i="28"/>
  <c r="BD423" i="28" s="1"/>
  <c r="AV423" i="28"/>
  <c r="BC423" i="28" s="1"/>
  <c r="AU423" i="28"/>
  <c r="BB423" i="28" s="1"/>
  <c r="AT423" i="28"/>
  <c r="BA423" i="28" s="1"/>
  <c r="AX422" i="28"/>
  <c r="BE422" i="28" s="1"/>
  <c r="AW422" i="28"/>
  <c r="BD422" i="28" s="1"/>
  <c r="AV422" i="28"/>
  <c r="BC422" i="28" s="1"/>
  <c r="AU422" i="28"/>
  <c r="BB422" i="28" s="1"/>
  <c r="AT422" i="28"/>
  <c r="BA422" i="28" s="1"/>
  <c r="AY421" i="28"/>
  <c r="BF421" i="28" s="1"/>
  <c r="AX421" i="28"/>
  <c r="BE421" i="28" s="1"/>
  <c r="AW421" i="28"/>
  <c r="BD421" i="28" s="1"/>
  <c r="AV421" i="28"/>
  <c r="BC421" i="28" s="1"/>
  <c r="AU421" i="28"/>
  <c r="BB421" i="28" s="1"/>
  <c r="AT421" i="28"/>
  <c r="BA421" i="28" s="1"/>
  <c r="AY420" i="28"/>
  <c r="BF420" i="28" s="1"/>
  <c r="AX420" i="28"/>
  <c r="BE420" i="28" s="1"/>
  <c r="AW420" i="28"/>
  <c r="BD420" i="28" s="1"/>
  <c r="AV420" i="28"/>
  <c r="BC420" i="28" s="1"/>
  <c r="AU420" i="28"/>
  <c r="BB420" i="28" s="1"/>
  <c r="AT420" i="28"/>
  <c r="BA420" i="28" s="1"/>
  <c r="AY419" i="28"/>
  <c r="BF419" i="28" s="1"/>
  <c r="AX419" i="28"/>
  <c r="BE419" i="28" s="1"/>
  <c r="AW419" i="28"/>
  <c r="BD419" i="28" s="1"/>
  <c r="AV419" i="28"/>
  <c r="BC419" i="28" s="1"/>
  <c r="AU419" i="28"/>
  <c r="BB419" i="28" s="1"/>
  <c r="AT419" i="28"/>
  <c r="BA419" i="28" s="1"/>
  <c r="AY418" i="28"/>
  <c r="BF418" i="28" s="1"/>
  <c r="AX418" i="28"/>
  <c r="BE418" i="28" s="1"/>
  <c r="AW418" i="28"/>
  <c r="BD418" i="28" s="1"/>
  <c r="AV418" i="28"/>
  <c r="BC418" i="28" s="1"/>
  <c r="AU418" i="28"/>
  <c r="BB418" i="28" s="1"/>
  <c r="AT418" i="28"/>
  <c r="BA418" i="28" s="1"/>
  <c r="AY417" i="28"/>
  <c r="BF417" i="28" s="1"/>
  <c r="AX417" i="28"/>
  <c r="BE417" i="28" s="1"/>
  <c r="AW417" i="28"/>
  <c r="BD417" i="28" s="1"/>
  <c r="AV417" i="28"/>
  <c r="BC417" i="28" s="1"/>
  <c r="AU417" i="28"/>
  <c r="BB417" i="28" s="1"/>
  <c r="AT417" i="28"/>
  <c r="BA417" i="28" s="1"/>
  <c r="AX416" i="28"/>
  <c r="BE416" i="28" s="1"/>
  <c r="AW416" i="28"/>
  <c r="BD416" i="28" s="1"/>
  <c r="AV416" i="28"/>
  <c r="BC416" i="28" s="1"/>
  <c r="AU416" i="28"/>
  <c r="BB416" i="28" s="1"/>
  <c r="AT416" i="28"/>
  <c r="BA416" i="28" s="1"/>
  <c r="AX415" i="28"/>
  <c r="BE415" i="28" s="1"/>
  <c r="AW415" i="28"/>
  <c r="BD415" i="28" s="1"/>
  <c r="AV415" i="28"/>
  <c r="BC415" i="28" s="1"/>
  <c r="AU415" i="28"/>
  <c r="BB415" i="28" s="1"/>
  <c r="AT415" i="28"/>
  <c r="BA415" i="28" s="1"/>
  <c r="BF414" i="28"/>
  <c r="AX414" i="28"/>
  <c r="BE414" i="28" s="1"/>
  <c r="AW414" i="28"/>
  <c r="BD414" i="28" s="1"/>
  <c r="AV414" i="28"/>
  <c r="BC414" i="28" s="1"/>
  <c r="AU414" i="28"/>
  <c r="BB414" i="28" s="1"/>
  <c r="AT414" i="28"/>
  <c r="BA414" i="28" s="1"/>
  <c r="AY413" i="28"/>
  <c r="BF413" i="28" s="1"/>
  <c r="AX413" i="28"/>
  <c r="BE413" i="28" s="1"/>
  <c r="AW413" i="28"/>
  <c r="BD413" i="28" s="1"/>
  <c r="AV413" i="28"/>
  <c r="BC413" i="28" s="1"/>
  <c r="AU413" i="28"/>
  <c r="BB413" i="28" s="1"/>
  <c r="AT413" i="28"/>
  <c r="BA413" i="28" s="1"/>
  <c r="AY412" i="28"/>
  <c r="BF412" i="28" s="1"/>
  <c r="AX412" i="28"/>
  <c r="BE412" i="28" s="1"/>
  <c r="AW412" i="28"/>
  <c r="BD412" i="28" s="1"/>
  <c r="AV412" i="28"/>
  <c r="BC412" i="28" s="1"/>
  <c r="AU412" i="28"/>
  <c r="BB412" i="28" s="1"/>
  <c r="AT412" i="28"/>
  <c r="BA412" i="28" s="1"/>
  <c r="AY411" i="28"/>
  <c r="BF411" i="28" s="1"/>
  <c r="AX411" i="28"/>
  <c r="BE411" i="28" s="1"/>
  <c r="AW411" i="28"/>
  <c r="BD411" i="28" s="1"/>
  <c r="AV411" i="28"/>
  <c r="BC411" i="28" s="1"/>
  <c r="AU411" i="28"/>
  <c r="BB411" i="28" s="1"/>
  <c r="AT411" i="28"/>
  <c r="BA411" i="28" s="1"/>
  <c r="AY410" i="28"/>
  <c r="BF410" i="28" s="1"/>
  <c r="AX410" i="28"/>
  <c r="BE410" i="28" s="1"/>
  <c r="AW410" i="28"/>
  <c r="BD410" i="28" s="1"/>
  <c r="AV410" i="28"/>
  <c r="BC410" i="28" s="1"/>
  <c r="AU410" i="28"/>
  <c r="BB410" i="28" s="1"/>
  <c r="AT410" i="28"/>
  <c r="BA410" i="28" s="1"/>
  <c r="AY409" i="28"/>
  <c r="BF409" i="28" s="1"/>
  <c r="AX409" i="28"/>
  <c r="BE409" i="28" s="1"/>
  <c r="AW409" i="28"/>
  <c r="BD409" i="28" s="1"/>
  <c r="AV409" i="28"/>
  <c r="BC409" i="28" s="1"/>
  <c r="AU409" i="28"/>
  <c r="BB409" i="28" s="1"/>
  <c r="AT409" i="28"/>
  <c r="BA409" i="28" s="1"/>
  <c r="AX408" i="28"/>
  <c r="BE408" i="28" s="1"/>
  <c r="AW408" i="28"/>
  <c r="BD408" i="28" s="1"/>
  <c r="AV408" i="28"/>
  <c r="BC408" i="28" s="1"/>
  <c r="AU408" i="28"/>
  <c r="BB408" i="28" s="1"/>
  <c r="AT408" i="28"/>
  <c r="BA408" i="28" s="1"/>
  <c r="AX407" i="28"/>
  <c r="BE407" i="28" s="1"/>
  <c r="AW407" i="28"/>
  <c r="BD407" i="28" s="1"/>
  <c r="AV407" i="28"/>
  <c r="BC407" i="28" s="1"/>
  <c r="AU407" i="28"/>
  <c r="BB407" i="28" s="1"/>
  <c r="AT407" i="28"/>
  <c r="BA407" i="28" s="1"/>
  <c r="BF406" i="28"/>
  <c r="AX406" i="28"/>
  <c r="BE406" i="28" s="1"/>
  <c r="AW406" i="28"/>
  <c r="BD406" i="28" s="1"/>
  <c r="AV406" i="28"/>
  <c r="BC406" i="28" s="1"/>
  <c r="AU406" i="28"/>
  <c r="BB406" i="28" s="1"/>
  <c r="AT406" i="28"/>
  <c r="BA406" i="28" s="1"/>
  <c r="AY405" i="28"/>
  <c r="BF405" i="28" s="1"/>
  <c r="AX405" i="28"/>
  <c r="BE405" i="28" s="1"/>
  <c r="AW405" i="28"/>
  <c r="BD405" i="28" s="1"/>
  <c r="AV405" i="28"/>
  <c r="BC405" i="28" s="1"/>
  <c r="AU405" i="28"/>
  <c r="BB405" i="28" s="1"/>
  <c r="AT405" i="28"/>
  <c r="BA405" i="28" s="1"/>
  <c r="AY404" i="28"/>
  <c r="BF404" i="28" s="1"/>
  <c r="AX404" i="28"/>
  <c r="BE404" i="28" s="1"/>
  <c r="AW404" i="28"/>
  <c r="BD404" i="28" s="1"/>
  <c r="AV404" i="28"/>
  <c r="BC404" i="28" s="1"/>
  <c r="AU404" i="28"/>
  <c r="BB404" i="28" s="1"/>
  <c r="AT404" i="28"/>
  <c r="BA404" i="28" s="1"/>
  <c r="AY403" i="28"/>
  <c r="BF403" i="28" s="1"/>
  <c r="AX403" i="28"/>
  <c r="BE403" i="28" s="1"/>
  <c r="AW403" i="28"/>
  <c r="BD403" i="28" s="1"/>
  <c r="AV403" i="28"/>
  <c r="BC403" i="28" s="1"/>
  <c r="AU403" i="28"/>
  <c r="BB403" i="28" s="1"/>
  <c r="AT403" i="28"/>
  <c r="BA403" i="28" s="1"/>
  <c r="AY402" i="28"/>
  <c r="BF402" i="28" s="1"/>
  <c r="AX402" i="28"/>
  <c r="BE402" i="28" s="1"/>
  <c r="AW402" i="28"/>
  <c r="BD402" i="28" s="1"/>
  <c r="AV402" i="28"/>
  <c r="BC402" i="28" s="1"/>
  <c r="AU402" i="28"/>
  <c r="BB402" i="28" s="1"/>
  <c r="AT402" i="28"/>
  <c r="BA402" i="28" s="1"/>
  <c r="AY401" i="28"/>
  <c r="BF401" i="28" s="1"/>
  <c r="AX401" i="28"/>
  <c r="BE401" i="28" s="1"/>
  <c r="AW401" i="28"/>
  <c r="BD401" i="28" s="1"/>
  <c r="AV401" i="28"/>
  <c r="BC401" i="28" s="1"/>
  <c r="AU401" i="28"/>
  <c r="BB401" i="28" s="1"/>
  <c r="AT401" i="28"/>
  <c r="BA401" i="28" s="1"/>
  <c r="AX400" i="28"/>
  <c r="BE400" i="28" s="1"/>
  <c r="AW400" i="28"/>
  <c r="BD400" i="28" s="1"/>
  <c r="AV400" i="28"/>
  <c r="BC400" i="28" s="1"/>
  <c r="AU400" i="28"/>
  <c r="BB400" i="28" s="1"/>
  <c r="AT400" i="28"/>
  <c r="BA400" i="28" s="1"/>
  <c r="AX399" i="28"/>
  <c r="BE399" i="28" s="1"/>
  <c r="AW399" i="28"/>
  <c r="BD399" i="28" s="1"/>
  <c r="AV399" i="28"/>
  <c r="BC399" i="28" s="1"/>
  <c r="AU399" i="28"/>
  <c r="BB399" i="28" s="1"/>
  <c r="AT399" i="28"/>
  <c r="BA399" i="28" s="1"/>
  <c r="AX398" i="28"/>
  <c r="BE398" i="28" s="1"/>
  <c r="AW398" i="28"/>
  <c r="BD398" i="28" s="1"/>
  <c r="AV398" i="28"/>
  <c r="BC398" i="28" s="1"/>
  <c r="AU398" i="28"/>
  <c r="BB398" i="28" s="1"/>
  <c r="AT398" i="28"/>
  <c r="BA398" i="28" s="1"/>
  <c r="AY397" i="28"/>
  <c r="BF397" i="28" s="1"/>
  <c r="AX397" i="28"/>
  <c r="BE397" i="28" s="1"/>
  <c r="AW397" i="28"/>
  <c r="BD397" i="28" s="1"/>
  <c r="AV397" i="28"/>
  <c r="BC397" i="28" s="1"/>
  <c r="AU397" i="28"/>
  <c r="BB397" i="28" s="1"/>
  <c r="AT397" i="28"/>
  <c r="BA397" i="28" s="1"/>
  <c r="AY396" i="28"/>
  <c r="BF396" i="28" s="1"/>
  <c r="AX396" i="28"/>
  <c r="BE396" i="28" s="1"/>
  <c r="AW396" i="28"/>
  <c r="BD396" i="28" s="1"/>
  <c r="AV396" i="28"/>
  <c r="BC396" i="28" s="1"/>
  <c r="AU396" i="28"/>
  <c r="BB396" i="28" s="1"/>
  <c r="AT396" i="28"/>
  <c r="BA396" i="28" s="1"/>
  <c r="AY395" i="28"/>
  <c r="BF395" i="28" s="1"/>
  <c r="AX395" i="28"/>
  <c r="BE395" i="28" s="1"/>
  <c r="AW395" i="28"/>
  <c r="BD395" i="28" s="1"/>
  <c r="AV395" i="28"/>
  <c r="BC395" i="28" s="1"/>
  <c r="AU395" i="28"/>
  <c r="BB395" i="28" s="1"/>
  <c r="AT395" i="28"/>
  <c r="BA395" i="28" s="1"/>
  <c r="AY394" i="28"/>
  <c r="BF394" i="28" s="1"/>
  <c r="AX394" i="28"/>
  <c r="BE394" i="28" s="1"/>
  <c r="AW394" i="28"/>
  <c r="BD394" i="28" s="1"/>
  <c r="AV394" i="28"/>
  <c r="BC394" i="28" s="1"/>
  <c r="AU394" i="28"/>
  <c r="BB394" i="28" s="1"/>
  <c r="AT394" i="28"/>
  <c r="BA394" i="28" s="1"/>
  <c r="AY393" i="28"/>
  <c r="BF393" i="28" s="1"/>
  <c r="AX393" i="28"/>
  <c r="BE393" i="28" s="1"/>
  <c r="AW393" i="28"/>
  <c r="BD393" i="28" s="1"/>
  <c r="AV393" i="28"/>
  <c r="BC393" i="28" s="1"/>
  <c r="AU393" i="28"/>
  <c r="BB393" i="28" s="1"/>
  <c r="AT393" i="28"/>
  <c r="BA393" i="28" s="1"/>
  <c r="AX392" i="28"/>
  <c r="BE392" i="28" s="1"/>
  <c r="AW392" i="28"/>
  <c r="BD392" i="28" s="1"/>
  <c r="AV392" i="28"/>
  <c r="BC392" i="28" s="1"/>
  <c r="AU392" i="28"/>
  <c r="BB392" i="28" s="1"/>
  <c r="AT392" i="28"/>
  <c r="BA392" i="28" s="1"/>
  <c r="AX391" i="28"/>
  <c r="BE391" i="28" s="1"/>
  <c r="AW391" i="28"/>
  <c r="BD391" i="28" s="1"/>
  <c r="AV391" i="28"/>
  <c r="BC391" i="28" s="1"/>
  <c r="AU391" i="28"/>
  <c r="BB391" i="28" s="1"/>
  <c r="AT391" i="28"/>
  <c r="BA391" i="28" s="1"/>
  <c r="AY390" i="28"/>
  <c r="BF390" i="28" s="1"/>
  <c r="AX390" i="28"/>
  <c r="BE390" i="28" s="1"/>
  <c r="AW390" i="28"/>
  <c r="BD390" i="28" s="1"/>
  <c r="AV390" i="28"/>
  <c r="BC390" i="28" s="1"/>
  <c r="AU390" i="28"/>
  <c r="BB390" i="28" s="1"/>
  <c r="AT390" i="28"/>
  <c r="BA390" i="28" s="1"/>
  <c r="AY389" i="28"/>
  <c r="BF389" i="28" s="1"/>
  <c r="AX389" i="28"/>
  <c r="BE389" i="28" s="1"/>
  <c r="AW389" i="28"/>
  <c r="BD389" i="28" s="1"/>
  <c r="AV389" i="28"/>
  <c r="BC389" i="28" s="1"/>
  <c r="AU389" i="28"/>
  <c r="BB389" i="28" s="1"/>
  <c r="AT389" i="28"/>
  <c r="BA389" i="28" s="1"/>
  <c r="AY388" i="28"/>
  <c r="BF388" i="28" s="1"/>
  <c r="AX388" i="28"/>
  <c r="BE388" i="28" s="1"/>
  <c r="AW388" i="28"/>
  <c r="BD388" i="28" s="1"/>
  <c r="AV388" i="28"/>
  <c r="BC388" i="28" s="1"/>
  <c r="AU388" i="28"/>
  <c r="BB388" i="28" s="1"/>
  <c r="AT388" i="28"/>
  <c r="BA388" i="28" s="1"/>
  <c r="AY387" i="28"/>
  <c r="BF387" i="28" s="1"/>
  <c r="AX387" i="28"/>
  <c r="BE387" i="28" s="1"/>
  <c r="AW387" i="28"/>
  <c r="BD387" i="28" s="1"/>
  <c r="AV387" i="28"/>
  <c r="BC387" i="28" s="1"/>
  <c r="AU387" i="28"/>
  <c r="BB387" i="28" s="1"/>
  <c r="AT387" i="28"/>
  <c r="BA387" i="28" s="1"/>
  <c r="AY386" i="28"/>
  <c r="BF386" i="28" s="1"/>
  <c r="AX386" i="28"/>
  <c r="BE386" i="28" s="1"/>
  <c r="AW386" i="28"/>
  <c r="BD386" i="28" s="1"/>
  <c r="AV386" i="28"/>
  <c r="BC386" i="28" s="1"/>
  <c r="AU386" i="28"/>
  <c r="BB386" i="28" s="1"/>
  <c r="AT386" i="28"/>
  <c r="BA386" i="28" s="1"/>
  <c r="AY385" i="28"/>
  <c r="BF385" i="28" s="1"/>
  <c r="AX385" i="28"/>
  <c r="BE385" i="28" s="1"/>
  <c r="AW385" i="28"/>
  <c r="BD385" i="28" s="1"/>
  <c r="AV385" i="28"/>
  <c r="BC385" i="28" s="1"/>
  <c r="AU385" i="28"/>
  <c r="BB385" i="28" s="1"/>
  <c r="AT385" i="28"/>
  <c r="BA385" i="28" s="1"/>
  <c r="AX384" i="28"/>
  <c r="BE384" i="28" s="1"/>
  <c r="AW384" i="28"/>
  <c r="BD384" i="28" s="1"/>
  <c r="AV384" i="28"/>
  <c r="BC384" i="28" s="1"/>
  <c r="AU384" i="28"/>
  <c r="BB384" i="28" s="1"/>
  <c r="AT384" i="28"/>
  <c r="BA384" i="28" s="1"/>
  <c r="AX383" i="28"/>
  <c r="BE383" i="28" s="1"/>
  <c r="AW383" i="28"/>
  <c r="BD383" i="28" s="1"/>
  <c r="AV383" i="28"/>
  <c r="BC383" i="28" s="1"/>
  <c r="AU383" i="28"/>
  <c r="BB383" i="28" s="1"/>
  <c r="AT383" i="28"/>
  <c r="BA383" i="28" s="1"/>
  <c r="AY382" i="28"/>
  <c r="BF382" i="28" s="1"/>
  <c r="AX382" i="28"/>
  <c r="BE382" i="28" s="1"/>
  <c r="AW382" i="28"/>
  <c r="BD382" i="28" s="1"/>
  <c r="AV382" i="28"/>
  <c r="BC382" i="28" s="1"/>
  <c r="AU382" i="28"/>
  <c r="BB382" i="28" s="1"/>
  <c r="AT382" i="28"/>
  <c r="BA382" i="28" s="1"/>
  <c r="AY381" i="28"/>
  <c r="BF381" i="28" s="1"/>
  <c r="AX381" i="28"/>
  <c r="BE381" i="28" s="1"/>
  <c r="AW381" i="28"/>
  <c r="BD381" i="28" s="1"/>
  <c r="AV381" i="28"/>
  <c r="BC381" i="28" s="1"/>
  <c r="AU381" i="28"/>
  <c r="BB381" i="28" s="1"/>
  <c r="AT381" i="28"/>
  <c r="BA381" i="28" s="1"/>
  <c r="AY380" i="28"/>
  <c r="BF380" i="28" s="1"/>
  <c r="AX380" i="28"/>
  <c r="BE380" i="28" s="1"/>
  <c r="AW380" i="28"/>
  <c r="BD380" i="28" s="1"/>
  <c r="AV380" i="28"/>
  <c r="BC380" i="28" s="1"/>
  <c r="AU380" i="28"/>
  <c r="BB380" i="28" s="1"/>
  <c r="AT380" i="28"/>
  <c r="BA380" i="28" s="1"/>
  <c r="AY379" i="28"/>
  <c r="BF379" i="28" s="1"/>
  <c r="AX379" i="28"/>
  <c r="BE379" i="28" s="1"/>
  <c r="AW379" i="28"/>
  <c r="BD379" i="28" s="1"/>
  <c r="AV379" i="28"/>
  <c r="BC379" i="28" s="1"/>
  <c r="AU379" i="28"/>
  <c r="BB379" i="28" s="1"/>
  <c r="AT379" i="28"/>
  <c r="BA379" i="28" s="1"/>
  <c r="AY378" i="28"/>
  <c r="BF378" i="28" s="1"/>
  <c r="AX378" i="28"/>
  <c r="BE378" i="28" s="1"/>
  <c r="AW378" i="28"/>
  <c r="BD378" i="28" s="1"/>
  <c r="AV378" i="28"/>
  <c r="BC378" i="28" s="1"/>
  <c r="AU378" i="28"/>
  <c r="BB378" i="28" s="1"/>
  <c r="AT378" i="28"/>
  <c r="BA378" i="28" s="1"/>
  <c r="AY377" i="28"/>
  <c r="BF377" i="28" s="1"/>
  <c r="AX377" i="28"/>
  <c r="BE377" i="28" s="1"/>
  <c r="AW377" i="28"/>
  <c r="BD377" i="28" s="1"/>
  <c r="AV377" i="28"/>
  <c r="BC377" i="28" s="1"/>
  <c r="AU377" i="28"/>
  <c r="BB377" i="28" s="1"/>
  <c r="AT377" i="28"/>
  <c r="BA377" i="28" s="1"/>
  <c r="AX376" i="28"/>
  <c r="BE376" i="28" s="1"/>
  <c r="AW376" i="28"/>
  <c r="BD376" i="28" s="1"/>
  <c r="AV376" i="28"/>
  <c r="BC376" i="28" s="1"/>
  <c r="AU376" i="28"/>
  <c r="BB376" i="28" s="1"/>
  <c r="AT376" i="28"/>
  <c r="BA376" i="28" s="1"/>
  <c r="AX375" i="28"/>
  <c r="BE375" i="28" s="1"/>
  <c r="AW375" i="28"/>
  <c r="BD375" i="28" s="1"/>
  <c r="AV375" i="28"/>
  <c r="BC375" i="28" s="1"/>
  <c r="AU375" i="28"/>
  <c r="BB375" i="28" s="1"/>
  <c r="AT375" i="28"/>
  <c r="BA375" i="28" s="1"/>
  <c r="AX374" i="28"/>
  <c r="BE374" i="28" s="1"/>
  <c r="AW374" i="28"/>
  <c r="BD374" i="28" s="1"/>
  <c r="AV374" i="28"/>
  <c r="BC374" i="28" s="1"/>
  <c r="AU374" i="28"/>
  <c r="BB374" i="28" s="1"/>
  <c r="AT374" i="28"/>
  <c r="BA374" i="28" s="1"/>
  <c r="AY373" i="28"/>
  <c r="BF373" i="28" s="1"/>
  <c r="AX373" i="28"/>
  <c r="BE373" i="28" s="1"/>
  <c r="AW373" i="28"/>
  <c r="BD373" i="28" s="1"/>
  <c r="AV373" i="28"/>
  <c r="BC373" i="28" s="1"/>
  <c r="AU373" i="28"/>
  <c r="BB373" i="28" s="1"/>
  <c r="AT373" i="28"/>
  <c r="BA373" i="28" s="1"/>
  <c r="AY372" i="28"/>
  <c r="BF372" i="28" s="1"/>
  <c r="AX372" i="28"/>
  <c r="BE372" i="28" s="1"/>
  <c r="AW372" i="28"/>
  <c r="BD372" i="28" s="1"/>
  <c r="AV372" i="28"/>
  <c r="BC372" i="28" s="1"/>
  <c r="AU372" i="28"/>
  <c r="BB372" i="28" s="1"/>
  <c r="AT372" i="28"/>
  <c r="BA372" i="28" s="1"/>
  <c r="AY371" i="28"/>
  <c r="BF371" i="28" s="1"/>
  <c r="AX371" i="28"/>
  <c r="BE371" i="28" s="1"/>
  <c r="AW371" i="28"/>
  <c r="BD371" i="28" s="1"/>
  <c r="AV371" i="28"/>
  <c r="BC371" i="28" s="1"/>
  <c r="AU371" i="28"/>
  <c r="BB371" i="28" s="1"/>
  <c r="AT371" i="28"/>
  <c r="BA371" i="28" s="1"/>
  <c r="AY370" i="28"/>
  <c r="BF370" i="28" s="1"/>
  <c r="AX370" i="28"/>
  <c r="BE370" i="28" s="1"/>
  <c r="AW370" i="28"/>
  <c r="BD370" i="28" s="1"/>
  <c r="AV370" i="28"/>
  <c r="BC370" i="28" s="1"/>
  <c r="AU370" i="28"/>
  <c r="BB370" i="28" s="1"/>
  <c r="AT370" i="28"/>
  <c r="BA370" i="28" s="1"/>
  <c r="AY369" i="28"/>
  <c r="BF369" i="28" s="1"/>
  <c r="AX369" i="28"/>
  <c r="BE369" i="28" s="1"/>
  <c r="AW369" i="28"/>
  <c r="BD369" i="28" s="1"/>
  <c r="AV369" i="28"/>
  <c r="BC369" i="28" s="1"/>
  <c r="AU369" i="28"/>
  <c r="BB369" i="28" s="1"/>
  <c r="AT369" i="28"/>
  <c r="BA369" i="28" s="1"/>
  <c r="AX368" i="28"/>
  <c r="BE368" i="28" s="1"/>
  <c r="AW368" i="28"/>
  <c r="BD368" i="28" s="1"/>
  <c r="AV368" i="28"/>
  <c r="BC368" i="28" s="1"/>
  <c r="AU368" i="28"/>
  <c r="BB368" i="28" s="1"/>
  <c r="AT368" i="28"/>
  <c r="BA368" i="28" s="1"/>
  <c r="AX367" i="28"/>
  <c r="BE367" i="28" s="1"/>
  <c r="AW367" i="28"/>
  <c r="BD367" i="28" s="1"/>
  <c r="AV367" i="28"/>
  <c r="BC367" i="28" s="1"/>
  <c r="AU367" i="28"/>
  <c r="BB367" i="28" s="1"/>
  <c r="AT367" i="28"/>
  <c r="BA367" i="28" s="1"/>
  <c r="AX366" i="28"/>
  <c r="BE366" i="28" s="1"/>
  <c r="AW366" i="28"/>
  <c r="BD366" i="28" s="1"/>
  <c r="AV366" i="28"/>
  <c r="BC366" i="28" s="1"/>
  <c r="AU366" i="28"/>
  <c r="BB366" i="28" s="1"/>
  <c r="AT366" i="28"/>
  <c r="BA366" i="28" s="1"/>
  <c r="AY365" i="28"/>
  <c r="BF365" i="28" s="1"/>
  <c r="AX365" i="28"/>
  <c r="BE365" i="28" s="1"/>
  <c r="AW365" i="28"/>
  <c r="BD365" i="28" s="1"/>
  <c r="AV365" i="28"/>
  <c r="BC365" i="28" s="1"/>
  <c r="AU365" i="28"/>
  <c r="BB365" i="28" s="1"/>
  <c r="AT365" i="28"/>
  <c r="BA365" i="28" s="1"/>
  <c r="AY364" i="28"/>
  <c r="BF364" i="28" s="1"/>
  <c r="AX364" i="28"/>
  <c r="BE364" i="28" s="1"/>
  <c r="AW364" i="28"/>
  <c r="BD364" i="28" s="1"/>
  <c r="AV364" i="28"/>
  <c r="BC364" i="28" s="1"/>
  <c r="AU364" i="28"/>
  <c r="BB364" i="28" s="1"/>
  <c r="AT364" i="28"/>
  <c r="BA364" i="28" s="1"/>
  <c r="AY363" i="28"/>
  <c r="BF363" i="28" s="1"/>
  <c r="AX363" i="28"/>
  <c r="BE363" i="28" s="1"/>
  <c r="AW363" i="28"/>
  <c r="BD363" i="28" s="1"/>
  <c r="AV363" i="28"/>
  <c r="BC363" i="28" s="1"/>
  <c r="AU363" i="28"/>
  <c r="BB363" i="28" s="1"/>
  <c r="AT363" i="28"/>
  <c r="BA363" i="28" s="1"/>
  <c r="AY362" i="28"/>
  <c r="BF362" i="28" s="1"/>
  <c r="AX362" i="28"/>
  <c r="BE362" i="28" s="1"/>
  <c r="AW362" i="28"/>
  <c r="BD362" i="28" s="1"/>
  <c r="AV362" i="28"/>
  <c r="BC362" i="28" s="1"/>
  <c r="AU362" i="28"/>
  <c r="BB362" i="28" s="1"/>
  <c r="AT362" i="28"/>
  <c r="BA362" i="28" s="1"/>
  <c r="AY361" i="28"/>
  <c r="BF361" i="28" s="1"/>
  <c r="AX361" i="28"/>
  <c r="BE361" i="28" s="1"/>
  <c r="AW361" i="28"/>
  <c r="BD361" i="28" s="1"/>
  <c r="AV361" i="28"/>
  <c r="BC361" i="28" s="1"/>
  <c r="AU361" i="28"/>
  <c r="BB361" i="28" s="1"/>
  <c r="AT361" i="28"/>
  <c r="BA361" i="28" s="1"/>
  <c r="AX360" i="28"/>
  <c r="BE360" i="28" s="1"/>
  <c r="AW360" i="28"/>
  <c r="BD360" i="28" s="1"/>
  <c r="AV360" i="28"/>
  <c r="BC360" i="28" s="1"/>
  <c r="AU360" i="28"/>
  <c r="BB360" i="28" s="1"/>
  <c r="AT360" i="28"/>
  <c r="BA360" i="28" s="1"/>
  <c r="AX359" i="28"/>
  <c r="BE359" i="28" s="1"/>
  <c r="AW359" i="28"/>
  <c r="BD359" i="28" s="1"/>
  <c r="AV359" i="28"/>
  <c r="BC359" i="28" s="1"/>
  <c r="AU359" i="28"/>
  <c r="BB359" i="28" s="1"/>
  <c r="AT359" i="28"/>
  <c r="BA359" i="28" s="1"/>
  <c r="AX358" i="28"/>
  <c r="BE358" i="28" s="1"/>
  <c r="AW358" i="28"/>
  <c r="BD358" i="28" s="1"/>
  <c r="AV358" i="28"/>
  <c r="BC358" i="28" s="1"/>
  <c r="AU358" i="28"/>
  <c r="BB358" i="28" s="1"/>
  <c r="AT358" i="28"/>
  <c r="BA358" i="28" s="1"/>
  <c r="AY357" i="28"/>
  <c r="BF357" i="28" s="1"/>
  <c r="AX357" i="28"/>
  <c r="BE357" i="28" s="1"/>
  <c r="AW357" i="28"/>
  <c r="BD357" i="28" s="1"/>
  <c r="AV357" i="28"/>
  <c r="BC357" i="28" s="1"/>
  <c r="AU357" i="28"/>
  <c r="BB357" i="28" s="1"/>
  <c r="AT357" i="28"/>
  <c r="BA357" i="28" s="1"/>
  <c r="AY356" i="28"/>
  <c r="BF356" i="28" s="1"/>
  <c r="AX356" i="28"/>
  <c r="BE356" i="28" s="1"/>
  <c r="AW356" i="28"/>
  <c r="BD356" i="28" s="1"/>
  <c r="AV356" i="28"/>
  <c r="BC356" i="28" s="1"/>
  <c r="AU356" i="28"/>
  <c r="BB356" i="28" s="1"/>
  <c r="AT356" i="28"/>
  <c r="BA356" i="28" s="1"/>
  <c r="AY355" i="28"/>
  <c r="BF355" i="28" s="1"/>
  <c r="AX355" i="28"/>
  <c r="BE355" i="28" s="1"/>
  <c r="AW355" i="28"/>
  <c r="BD355" i="28" s="1"/>
  <c r="AV355" i="28"/>
  <c r="BC355" i="28" s="1"/>
  <c r="AU355" i="28"/>
  <c r="BB355" i="28" s="1"/>
  <c r="AT355" i="28"/>
  <c r="BA355" i="28" s="1"/>
  <c r="AY354" i="28"/>
  <c r="BF354" i="28" s="1"/>
  <c r="AX354" i="28"/>
  <c r="BE354" i="28" s="1"/>
  <c r="AW354" i="28"/>
  <c r="BD354" i="28" s="1"/>
  <c r="AV354" i="28"/>
  <c r="BC354" i="28" s="1"/>
  <c r="AU354" i="28"/>
  <c r="BB354" i="28" s="1"/>
  <c r="AT354" i="28"/>
  <c r="BA354" i="28" s="1"/>
  <c r="AY353" i="28"/>
  <c r="BF353" i="28" s="1"/>
  <c r="AX353" i="28"/>
  <c r="BE353" i="28" s="1"/>
  <c r="AW353" i="28"/>
  <c r="BD353" i="28" s="1"/>
  <c r="AV353" i="28"/>
  <c r="BC353" i="28" s="1"/>
  <c r="AU353" i="28"/>
  <c r="BB353" i="28" s="1"/>
  <c r="AT353" i="28"/>
  <c r="BA353" i="28" s="1"/>
  <c r="AX352" i="28"/>
  <c r="BE352" i="28" s="1"/>
  <c r="AW352" i="28"/>
  <c r="BD352" i="28" s="1"/>
  <c r="AV352" i="28"/>
  <c r="BC352" i="28" s="1"/>
  <c r="AU352" i="28"/>
  <c r="BB352" i="28" s="1"/>
  <c r="AT352" i="28"/>
  <c r="BA352" i="28" s="1"/>
  <c r="AY351" i="28"/>
  <c r="BF351" i="28" s="1"/>
  <c r="AX351" i="28"/>
  <c r="BE351" i="28" s="1"/>
  <c r="AW351" i="28"/>
  <c r="BD351" i="28" s="1"/>
  <c r="AV351" i="28"/>
  <c r="BC351" i="28" s="1"/>
  <c r="AU351" i="28"/>
  <c r="BB351" i="28" s="1"/>
  <c r="AT351" i="28"/>
  <c r="BA351" i="28" s="1"/>
  <c r="BF350" i="28"/>
  <c r="AX350" i="28"/>
  <c r="BE350" i="28" s="1"/>
  <c r="AW350" i="28"/>
  <c r="BD350" i="28" s="1"/>
  <c r="AV350" i="28"/>
  <c r="BC350" i="28" s="1"/>
  <c r="AU350" i="28"/>
  <c r="BB350" i="28" s="1"/>
  <c r="AT350" i="28"/>
  <c r="BA350" i="28" s="1"/>
  <c r="AY349" i="28"/>
  <c r="BF349" i="28" s="1"/>
  <c r="AX349" i="28"/>
  <c r="BE349" i="28" s="1"/>
  <c r="AW349" i="28"/>
  <c r="BD349" i="28" s="1"/>
  <c r="AV349" i="28"/>
  <c r="BC349" i="28" s="1"/>
  <c r="AU349" i="28"/>
  <c r="BB349" i="28" s="1"/>
  <c r="AT349" i="28"/>
  <c r="BA349" i="28" s="1"/>
  <c r="AY348" i="28"/>
  <c r="BF348" i="28" s="1"/>
  <c r="AX348" i="28"/>
  <c r="BE348" i="28" s="1"/>
  <c r="AW348" i="28"/>
  <c r="BD348" i="28" s="1"/>
  <c r="AV348" i="28"/>
  <c r="BC348" i="28" s="1"/>
  <c r="AU348" i="28"/>
  <c r="BB348" i="28" s="1"/>
  <c r="AT348" i="28"/>
  <c r="BA348" i="28" s="1"/>
  <c r="AY347" i="28"/>
  <c r="BF347" i="28" s="1"/>
  <c r="AX347" i="28"/>
  <c r="BE347" i="28" s="1"/>
  <c r="AW347" i="28"/>
  <c r="BD347" i="28" s="1"/>
  <c r="AV347" i="28"/>
  <c r="BC347" i="28" s="1"/>
  <c r="AU347" i="28"/>
  <c r="BB347" i="28" s="1"/>
  <c r="AT347" i="28"/>
  <c r="BA347" i="28" s="1"/>
  <c r="AY346" i="28"/>
  <c r="BF346" i="28" s="1"/>
  <c r="AX346" i="28"/>
  <c r="BE346" i="28" s="1"/>
  <c r="AW346" i="28"/>
  <c r="BD346" i="28" s="1"/>
  <c r="AV346" i="28"/>
  <c r="BC346" i="28" s="1"/>
  <c r="AU346" i="28"/>
  <c r="BB346" i="28" s="1"/>
  <c r="AT346" i="28"/>
  <c r="BA346" i="28" s="1"/>
  <c r="AY345" i="28"/>
  <c r="BF345" i="28" s="1"/>
  <c r="AX345" i="28"/>
  <c r="BE345" i="28" s="1"/>
  <c r="AW345" i="28"/>
  <c r="BD345" i="28" s="1"/>
  <c r="AV345" i="28"/>
  <c r="BC345" i="28" s="1"/>
  <c r="AU345" i="28"/>
  <c r="BB345" i="28" s="1"/>
  <c r="AT345" i="28"/>
  <c r="BA345" i="28" s="1"/>
  <c r="AX344" i="28"/>
  <c r="BE344" i="28" s="1"/>
  <c r="AW344" i="28"/>
  <c r="BD344" i="28" s="1"/>
  <c r="AV344" i="28"/>
  <c r="BC344" i="28" s="1"/>
  <c r="AU344" i="28"/>
  <c r="BB344" i="28" s="1"/>
  <c r="AT344" i="28"/>
  <c r="BA344" i="28" s="1"/>
  <c r="AX343" i="28"/>
  <c r="BE343" i="28" s="1"/>
  <c r="AW343" i="28"/>
  <c r="BD343" i="28" s="1"/>
  <c r="AV343" i="28"/>
  <c r="BC343" i="28" s="1"/>
  <c r="AU343" i="28"/>
  <c r="BB343" i="28" s="1"/>
  <c r="AT343" i="28"/>
  <c r="BA343" i="28" s="1"/>
  <c r="AY342" i="28"/>
  <c r="BF342" i="28" s="1"/>
  <c r="AX342" i="28"/>
  <c r="BE342" i="28" s="1"/>
  <c r="AW342" i="28"/>
  <c r="BD342" i="28" s="1"/>
  <c r="AV342" i="28"/>
  <c r="BC342" i="28" s="1"/>
  <c r="AU342" i="28"/>
  <c r="BB342" i="28" s="1"/>
  <c r="AT342" i="28"/>
  <c r="BA342" i="28" s="1"/>
  <c r="AY341" i="28"/>
  <c r="BF341" i="28" s="1"/>
  <c r="AX341" i="28"/>
  <c r="BE341" i="28" s="1"/>
  <c r="AW341" i="28"/>
  <c r="BD341" i="28" s="1"/>
  <c r="AV341" i="28"/>
  <c r="BC341" i="28" s="1"/>
  <c r="AU341" i="28"/>
  <c r="BB341" i="28" s="1"/>
  <c r="AT341" i="28"/>
  <c r="BA341" i="28" s="1"/>
  <c r="AY340" i="28"/>
  <c r="BF340" i="28" s="1"/>
  <c r="AX340" i="28"/>
  <c r="BE340" i="28" s="1"/>
  <c r="AW340" i="28"/>
  <c r="BD340" i="28" s="1"/>
  <c r="AV340" i="28"/>
  <c r="BC340" i="28" s="1"/>
  <c r="AU340" i="28"/>
  <c r="BB340" i="28" s="1"/>
  <c r="AT340" i="28"/>
  <c r="BA340" i="28" s="1"/>
  <c r="AY339" i="28"/>
  <c r="BF339" i="28" s="1"/>
  <c r="AX339" i="28"/>
  <c r="BE339" i="28" s="1"/>
  <c r="AW339" i="28"/>
  <c r="BD339" i="28" s="1"/>
  <c r="AV339" i="28"/>
  <c r="BC339" i="28" s="1"/>
  <c r="AU339" i="28"/>
  <c r="BB339" i="28" s="1"/>
  <c r="AT339" i="28"/>
  <c r="BA339" i="28" s="1"/>
  <c r="AY338" i="28"/>
  <c r="BF338" i="28" s="1"/>
  <c r="AX338" i="28"/>
  <c r="BE338" i="28" s="1"/>
  <c r="AW338" i="28"/>
  <c r="BD338" i="28" s="1"/>
  <c r="AV338" i="28"/>
  <c r="BC338" i="28" s="1"/>
  <c r="AU338" i="28"/>
  <c r="BB338" i="28" s="1"/>
  <c r="AT338" i="28"/>
  <c r="BA338" i="28" s="1"/>
  <c r="AY337" i="28"/>
  <c r="BF337" i="28" s="1"/>
  <c r="AX337" i="28"/>
  <c r="BE337" i="28" s="1"/>
  <c r="AW337" i="28"/>
  <c r="BD337" i="28" s="1"/>
  <c r="AV337" i="28"/>
  <c r="BC337" i="28" s="1"/>
  <c r="AU337" i="28"/>
  <c r="BB337" i="28" s="1"/>
  <c r="AT337" i="28"/>
  <c r="BA337" i="28" s="1"/>
  <c r="AX336" i="28"/>
  <c r="BE336" i="28" s="1"/>
  <c r="AW336" i="28"/>
  <c r="BD336" i="28" s="1"/>
  <c r="AV336" i="28"/>
  <c r="BC336" i="28" s="1"/>
  <c r="AU336" i="28"/>
  <c r="BB336" i="28" s="1"/>
  <c r="AT336" i="28"/>
  <c r="BA336" i="28" s="1"/>
  <c r="AX335" i="28"/>
  <c r="BE335" i="28" s="1"/>
  <c r="AW335" i="28"/>
  <c r="BD335" i="28" s="1"/>
  <c r="AV335" i="28"/>
  <c r="BC335" i="28" s="1"/>
  <c r="AU335" i="28"/>
  <c r="BB335" i="28" s="1"/>
  <c r="AT335" i="28"/>
  <c r="BA335" i="28" s="1"/>
  <c r="AY334" i="28"/>
  <c r="BF334" i="28" s="1"/>
  <c r="AX334" i="28"/>
  <c r="BE334" i="28" s="1"/>
  <c r="AW334" i="28"/>
  <c r="BD334" i="28" s="1"/>
  <c r="AV334" i="28"/>
  <c r="BC334" i="28" s="1"/>
  <c r="AU334" i="28"/>
  <c r="BB334" i="28" s="1"/>
  <c r="AT334" i="28"/>
  <c r="BA334" i="28" s="1"/>
  <c r="AY333" i="28"/>
  <c r="BF333" i="28" s="1"/>
  <c r="AX333" i="28"/>
  <c r="BE333" i="28" s="1"/>
  <c r="AW333" i="28"/>
  <c r="BD333" i="28" s="1"/>
  <c r="AV333" i="28"/>
  <c r="BC333" i="28" s="1"/>
  <c r="AU333" i="28"/>
  <c r="BB333" i="28" s="1"/>
  <c r="AT333" i="28"/>
  <c r="BA333" i="28" s="1"/>
  <c r="AY332" i="28"/>
  <c r="BF332" i="28" s="1"/>
  <c r="AX332" i="28"/>
  <c r="BE332" i="28" s="1"/>
  <c r="AW332" i="28"/>
  <c r="BD332" i="28" s="1"/>
  <c r="AV332" i="28"/>
  <c r="BC332" i="28" s="1"/>
  <c r="AU332" i="28"/>
  <c r="BB332" i="28" s="1"/>
  <c r="AT332" i="28"/>
  <c r="BA332" i="28" s="1"/>
  <c r="AY331" i="28"/>
  <c r="BF331" i="28" s="1"/>
  <c r="AX331" i="28"/>
  <c r="BE331" i="28" s="1"/>
  <c r="AW331" i="28"/>
  <c r="BD331" i="28" s="1"/>
  <c r="AV331" i="28"/>
  <c r="BC331" i="28" s="1"/>
  <c r="AU331" i="28"/>
  <c r="BB331" i="28" s="1"/>
  <c r="AT331" i="28"/>
  <c r="BA331" i="28" s="1"/>
  <c r="AY330" i="28"/>
  <c r="BF330" i="28" s="1"/>
  <c r="AX330" i="28"/>
  <c r="BE330" i="28" s="1"/>
  <c r="AW330" i="28"/>
  <c r="BD330" i="28" s="1"/>
  <c r="AV330" i="28"/>
  <c r="BC330" i="28" s="1"/>
  <c r="AU330" i="28"/>
  <c r="BB330" i="28" s="1"/>
  <c r="AT330" i="28"/>
  <c r="BA330" i="28" s="1"/>
  <c r="AY329" i="28"/>
  <c r="BF329" i="28" s="1"/>
  <c r="AX329" i="28"/>
  <c r="BE329" i="28" s="1"/>
  <c r="AW329" i="28"/>
  <c r="BD329" i="28" s="1"/>
  <c r="AV329" i="28"/>
  <c r="BC329" i="28" s="1"/>
  <c r="AU329" i="28"/>
  <c r="BB329" i="28" s="1"/>
  <c r="AT329" i="28"/>
  <c r="BA329" i="28" s="1"/>
  <c r="AX328" i="28"/>
  <c r="BE328" i="28" s="1"/>
  <c r="AW328" i="28"/>
  <c r="BD328" i="28" s="1"/>
  <c r="AV328" i="28"/>
  <c r="BC328" i="28" s="1"/>
  <c r="AU328" i="28"/>
  <c r="BB328" i="28" s="1"/>
  <c r="AT328" i="28"/>
  <c r="BA328" i="28" s="1"/>
  <c r="AX327" i="28"/>
  <c r="BE327" i="28" s="1"/>
  <c r="AW327" i="28"/>
  <c r="BD327" i="28" s="1"/>
  <c r="AV327" i="28"/>
  <c r="BC327" i="28" s="1"/>
  <c r="AU327" i="28"/>
  <c r="BB327" i="28" s="1"/>
  <c r="AT327" i="28"/>
  <c r="BA327" i="28" s="1"/>
  <c r="AY326" i="28"/>
  <c r="BF326" i="28" s="1"/>
  <c r="AX326" i="28"/>
  <c r="BE326" i="28" s="1"/>
  <c r="AW326" i="28"/>
  <c r="BD326" i="28" s="1"/>
  <c r="AV326" i="28"/>
  <c r="BC326" i="28" s="1"/>
  <c r="AU326" i="28"/>
  <c r="BB326" i="28" s="1"/>
  <c r="AT326" i="28"/>
  <c r="BA326" i="28" s="1"/>
  <c r="AY325" i="28"/>
  <c r="BF325" i="28" s="1"/>
  <c r="AX325" i="28"/>
  <c r="BE325" i="28" s="1"/>
  <c r="AW325" i="28"/>
  <c r="BD325" i="28" s="1"/>
  <c r="AV325" i="28"/>
  <c r="BC325" i="28" s="1"/>
  <c r="AU325" i="28"/>
  <c r="BB325" i="28" s="1"/>
  <c r="AT325" i="28"/>
  <c r="BA325" i="28" s="1"/>
  <c r="AY324" i="28"/>
  <c r="BF324" i="28" s="1"/>
  <c r="AX324" i="28"/>
  <c r="BE324" i="28" s="1"/>
  <c r="AW324" i="28"/>
  <c r="BD324" i="28" s="1"/>
  <c r="AV324" i="28"/>
  <c r="BC324" i="28" s="1"/>
  <c r="AU324" i="28"/>
  <c r="BB324" i="28" s="1"/>
  <c r="AT324" i="28"/>
  <c r="BA324" i="28" s="1"/>
  <c r="AY323" i="28"/>
  <c r="BF323" i="28" s="1"/>
  <c r="AX323" i="28"/>
  <c r="BE323" i="28" s="1"/>
  <c r="AW323" i="28"/>
  <c r="BD323" i="28" s="1"/>
  <c r="AV323" i="28"/>
  <c r="BC323" i="28" s="1"/>
  <c r="AU323" i="28"/>
  <c r="BB323" i="28" s="1"/>
  <c r="AT323" i="28"/>
  <c r="BA323" i="28" s="1"/>
  <c r="AY322" i="28"/>
  <c r="BF322" i="28" s="1"/>
  <c r="AX322" i="28"/>
  <c r="BE322" i="28" s="1"/>
  <c r="AW322" i="28"/>
  <c r="BD322" i="28" s="1"/>
  <c r="AV322" i="28"/>
  <c r="BC322" i="28" s="1"/>
  <c r="AU322" i="28"/>
  <c r="BB322" i="28" s="1"/>
  <c r="AT322" i="28"/>
  <c r="BA322" i="28" s="1"/>
  <c r="AY321" i="28"/>
  <c r="BF321" i="28" s="1"/>
  <c r="AX321" i="28"/>
  <c r="BE321" i="28" s="1"/>
  <c r="AW321" i="28"/>
  <c r="BD321" i="28" s="1"/>
  <c r="AV321" i="28"/>
  <c r="BC321" i="28" s="1"/>
  <c r="AU321" i="28"/>
  <c r="BB321" i="28" s="1"/>
  <c r="AT321" i="28"/>
  <c r="BA321" i="28" s="1"/>
  <c r="AX320" i="28"/>
  <c r="BE320" i="28" s="1"/>
  <c r="AW320" i="28"/>
  <c r="BD320" i="28" s="1"/>
  <c r="AV320" i="28"/>
  <c r="BC320" i="28" s="1"/>
  <c r="AU320" i="28"/>
  <c r="BB320" i="28" s="1"/>
  <c r="AT320" i="28"/>
  <c r="BA320" i="28" s="1"/>
  <c r="AX319" i="28"/>
  <c r="BE319" i="28" s="1"/>
  <c r="AW319" i="28"/>
  <c r="BD319" i="28" s="1"/>
  <c r="AV319" i="28"/>
  <c r="BC319" i="28" s="1"/>
  <c r="AU319" i="28"/>
  <c r="BB319" i="28" s="1"/>
  <c r="AT319" i="28"/>
  <c r="BA319" i="28" s="1"/>
  <c r="AY318" i="28"/>
  <c r="BF318" i="28" s="1"/>
  <c r="AX318" i="28"/>
  <c r="BE318" i="28" s="1"/>
  <c r="AW318" i="28"/>
  <c r="BD318" i="28" s="1"/>
  <c r="AV318" i="28"/>
  <c r="BC318" i="28" s="1"/>
  <c r="AU318" i="28"/>
  <c r="BB318" i="28" s="1"/>
  <c r="AT318" i="28"/>
  <c r="BA318" i="28" s="1"/>
  <c r="AY317" i="28"/>
  <c r="BF317" i="28" s="1"/>
  <c r="AX317" i="28"/>
  <c r="BE317" i="28" s="1"/>
  <c r="AW317" i="28"/>
  <c r="BD317" i="28" s="1"/>
  <c r="AV317" i="28"/>
  <c r="BC317" i="28" s="1"/>
  <c r="AU317" i="28"/>
  <c r="BB317" i="28" s="1"/>
  <c r="AT317" i="28"/>
  <c r="BA317" i="28" s="1"/>
  <c r="AY316" i="28"/>
  <c r="BF316" i="28" s="1"/>
  <c r="AX316" i="28"/>
  <c r="BE316" i="28" s="1"/>
  <c r="AW316" i="28"/>
  <c r="BD316" i="28" s="1"/>
  <c r="AV316" i="28"/>
  <c r="BC316" i="28" s="1"/>
  <c r="AU316" i="28"/>
  <c r="BB316" i="28" s="1"/>
  <c r="AT316" i="28"/>
  <c r="BA316" i="28" s="1"/>
  <c r="AY315" i="28"/>
  <c r="BF315" i="28" s="1"/>
  <c r="AX315" i="28"/>
  <c r="BE315" i="28" s="1"/>
  <c r="AW315" i="28"/>
  <c r="BD315" i="28" s="1"/>
  <c r="AV315" i="28"/>
  <c r="BC315" i="28" s="1"/>
  <c r="AU315" i="28"/>
  <c r="BB315" i="28" s="1"/>
  <c r="AT315" i="28"/>
  <c r="BA315" i="28" s="1"/>
  <c r="AY314" i="28"/>
  <c r="BF314" i="28" s="1"/>
  <c r="AX314" i="28"/>
  <c r="BE314" i="28" s="1"/>
  <c r="AW314" i="28"/>
  <c r="BD314" i="28" s="1"/>
  <c r="AV314" i="28"/>
  <c r="BC314" i="28" s="1"/>
  <c r="AU314" i="28"/>
  <c r="BB314" i="28" s="1"/>
  <c r="AT314" i="28"/>
  <c r="BA314" i="28" s="1"/>
  <c r="AY313" i="28"/>
  <c r="BF313" i="28" s="1"/>
  <c r="AX313" i="28"/>
  <c r="BE313" i="28" s="1"/>
  <c r="AW313" i="28"/>
  <c r="BD313" i="28" s="1"/>
  <c r="AV313" i="28"/>
  <c r="BC313" i="28" s="1"/>
  <c r="AU313" i="28"/>
  <c r="BB313" i="28" s="1"/>
  <c r="AT313" i="28"/>
  <c r="BA313" i="28" s="1"/>
  <c r="AX312" i="28"/>
  <c r="BE312" i="28" s="1"/>
  <c r="AW312" i="28"/>
  <c r="BD312" i="28" s="1"/>
  <c r="AV312" i="28"/>
  <c r="BC312" i="28" s="1"/>
  <c r="AU312" i="28"/>
  <c r="BB312" i="28" s="1"/>
  <c r="AT312" i="28"/>
  <c r="BA312" i="28" s="1"/>
  <c r="AX311" i="28"/>
  <c r="BE311" i="28" s="1"/>
  <c r="AW311" i="28"/>
  <c r="BD311" i="28" s="1"/>
  <c r="AV311" i="28"/>
  <c r="BC311" i="28" s="1"/>
  <c r="AU311" i="28"/>
  <c r="BB311" i="28" s="1"/>
  <c r="AT311" i="28"/>
  <c r="BA311" i="28" s="1"/>
  <c r="AY310" i="28"/>
  <c r="BF310" i="28" s="1"/>
  <c r="AX310" i="28"/>
  <c r="BE310" i="28" s="1"/>
  <c r="AW310" i="28"/>
  <c r="BD310" i="28" s="1"/>
  <c r="AV310" i="28"/>
  <c r="BC310" i="28" s="1"/>
  <c r="AU310" i="28"/>
  <c r="BB310" i="28" s="1"/>
  <c r="AT310" i="28"/>
  <c r="BA310" i="28" s="1"/>
  <c r="AY309" i="28"/>
  <c r="BF309" i="28" s="1"/>
  <c r="AX309" i="28"/>
  <c r="BE309" i="28" s="1"/>
  <c r="AW309" i="28"/>
  <c r="BD309" i="28" s="1"/>
  <c r="AV309" i="28"/>
  <c r="BC309" i="28" s="1"/>
  <c r="AU309" i="28"/>
  <c r="BB309" i="28" s="1"/>
  <c r="AT309" i="28"/>
  <c r="BA309" i="28" s="1"/>
  <c r="AY308" i="28"/>
  <c r="BF308" i="28" s="1"/>
  <c r="AX308" i="28"/>
  <c r="BE308" i="28" s="1"/>
  <c r="AW308" i="28"/>
  <c r="BD308" i="28" s="1"/>
  <c r="AV308" i="28"/>
  <c r="BC308" i="28" s="1"/>
  <c r="AU308" i="28"/>
  <c r="BB308" i="28" s="1"/>
  <c r="AT308" i="28"/>
  <c r="BA308" i="28" s="1"/>
  <c r="AY307" i="28"/>
  <c r="BF307" i="28" s="1"/>
  <c r="AX307" i="28"/>
  <c r="BE307" i="28" s="1"/>
  <c r="AW307" i="28"/>
  <c r="BD307" i="28" s="1"/>
  <c r="AV307" i="28"/>
  <c r="BC307" i="28" s="1"/>
  <c r="AU307" i="28"/>
  <c r="BB307" i="28" s="1"/>
  <c r="AT307" i="28"/>
  <c r="BA307" i="28" s="1"/>
  <c r="AY306" i="28"/>
  <c r="BF306" i="28" s="1"/>
  <c r="AX306" i="28"/>
  <c r="BE306" i="28" s="1"/>
  <c r="AW306" i="28"/>
  <c r="BD306" i="28" s="1"/>
  <c r="AV306" i="28"/>
  <c r="BC306" i="28" s="1"/>
  <c r="AU306" i="28"/>
  <c r="BB306" i="28" s="1"/>
  <c r="AT306" i="28"/>
  <c r="BA306" i="28" s="1"/>
  <c r="AY305" i="28"/>
  <c r="BF305" i="28" s="1"/>
  <c r="AX305" i="28"/>
  <c r="BE305" i="28" s="1"/>
  <c r="AW305" i="28"/>
  <c r="BD305" i="28" s="1"/>
  <c r="AV305" i="28"/>
  <c r="BC305" i="28" s="1"/>
  <c r="AU305" i="28"/>
  <c r="BB305" i="28" s="1"/>
  <c r="AT305" i="28"/>
  <c r="BA305" i="28" s="1"/>
  <c r="AX304" i="28"/>
  <c r="BE304" i="28" s="1"/>
  <c r="AW304" i="28"/>
  <c r="BD304" i="28" s="1"/>
  <c r="AV304" i="28"/>
  <c r="BC304" i="28" s="1"/>
  <c r="AU304" i="28"/>
  <c r="BB304" i="28" s="1"/>
  <c r="AT304" i="28"/>
  <c r="BA304" i="28" s="1"/>
  <c r="AY303" i="28"/>
  <c r="BF303" i="28" s="1"/>
  <c r="AX303" i="28"/>
  <c r="BE303" i="28" s="1"/>
  <c r="AW303" i="28"/>
  <c r="BD303" i="28" s="1"/>
  <c r="AV303" i="28"/>
  <c r="BC303" i="28" s="1"/>
  <c r="AU303" i="28"/>
  <c r="BB303" i="28" s="1"/>
  <c r="AT303" i="28"/>
  <c r="BA303" i="28" s="1"/>
  <c r="AY302" i="28"/>
  <c r="BF302" i="28" s="1"/>
  <c r="AX302" i="28"/>
  <c r="BE302" i="28" s="1"/>
  <c r="AW302" i="28"/>
  <c r="BD302" i="28" s="1"/>
  <c r="AV302" i="28"/>
  <c r="BC302" i="28" s="1"/>
  <c r="AU302" i="28"/>
  <c r="BB302" i="28" s="1"/>
  <c r="AT302" i="28"/>
  <c r="BA302" i="28" s="1"/>
  <c r="AY301" i="28"/>
  <c r="BF301" i="28" s="1"/>
  <c r="AX301" i="28"/>
  <c r="BE301" i="28" s="1"/>
  <c r="AW301" i="28"/>
  <c r="BD301" i="28" s="1"/>
  <c r="AV301" i="28"/>
  <c r="BC301" i="28" s="1"/>
  <c r="AU301" i="28"/>
  <c r="BB301" i="28" s="1"/>
  <c r="AT301" i="28"/>
  <c r="BA301" i="28" s="1"/>
  <c r="AY300" i="28"/>
  <c r="BF300" i="28" s="1"/>
  <c r="AX300" i="28"/>
  <c r="BE300" i="28" s="1"/>
  <c r="AW300" i="28"/>
  <c r="BD300" i="28" s="1"/>
  <c r="AV300" i="28"/>
  <c r="BC300" i="28" s="1"/>
  <c r="AU300" i="28"/>
  <c r="BB300" i="28" s="1"/>
  <c r="AT300" i="28"/>
  <c r="BA300" i="28" s="1"/>
  <c r="AY299" i="28"/>
  <c r="BF299" i="28" s="1"/>
  <c r="AX299" i="28"/>
  <c r="BE299" i="28" s="1"/>
  <c r="AW299" i="28"/>
  <c r="BD299" i="28" s="1"/>
  <c r="AV299" i="28"/>
  <c r="BC299" i="28" s="1"/>
  <c r="AU299" i="28"/>
  <c r="BB299" i="28" s="1"/>
  <c r="AT299" i="28"/>
  <c r="BA299" i="28" s="1"/>
  <c r="AY298" i="28"/>
  <c r="BF298" i="28" s="1"/>
  <c r="AX298" i="28"/>
  <c r="BE298" i="28" s="1"/>
  <c r="AW298" i="28"/>
  <c r="BD298" i="28" s="1"/>
  <c r="AV298" i="28"/>
  <c r="BC298" i="28" s="1"/>
  <c r="AU298" i="28"/>
  <c r="BB298" i="28" s="1"/>
  <c r="AT298" i="28"/>
  <c r="BA298" i="28" s="1"/>
  <c r="AY297" i="28"/>
  <c r="BF297" i="28" s="1"/>
  <c r="AX297" i="28"/>
  <c r="BE297" i="28" s="1"/>
  <c r="AW297" i="28"/>
  <c r="BD297" i="28" s="1"/>
  <c r="AV297" i="28"/>
  <c r="BC297" i="28" s="1"/>
  <c r="AU297" i="28"/>
  <c r="BB297" i="28" s="1"/>
  <c r="AT297" i="28"/>
  <c r="BA297" i="28" s="1"/>
  <c r="AX296" i="28"/>
  <c r="BE296" i="28" s="1"/>
  <c r="AW296" i="28"/>
  <c r="BD296" i="28" s="1"/>
  <c r="AV296" i="28"/>
  <c r="BC296" i="28" s="1"/>
  <c r="AU296" i="28"/>
  <c r="BB296" i="28" s="1"/>
  <c r="AT296" i="28"/>
  <c r="BA296" i="28" s="1"/>
  <c r="AY295" i="28"/>
  <c r="BF295" i="28" s="1"/>
  <c r="AX295" i="28"/>
  <c r="BE295" i="28" s="1"/>
  <c r="AW295" i="28"/>
  <c r="BD295" i="28" s="1"/>
  <c r="AV295" i="28"/>
  <c r="BC295" i="28" s="1"/>
  <c r="AU295" i="28"/>
  <c r="BB295" i="28" s="1"/>
  <c r="AT295" i="28"/>
  <c r="BA295" i="28" s="1"/>
  <c r="AY294" i="28"/>
  <c r="BF294" i="28" s="1"/>
  <c r="AX294" i="28"/>
  <c r="BE294" i="28" s="1"/>
  <c r="AW294" i="28"/>
  <c r="BD294" i="28" s="1"/>
  <c r="AV294" i="28"/>
  <c r="BC294" i="28" s="1"/>
  <c r="AU294" i="28"/>
  <c r="BB294" i="28" s="1"/>
  <c r="AT294" i="28"/>
  <c r="BA294" i="28" s="1"/>
  <c r="AY293" i="28"/>
  <c r="BF293" i="28" s="1"/>
  <c r="AX293" i="28"/>
  <c r="BE293" i="28" s="1"/>
  <c r="AW293" i="28"/>
  <c r="BD293" i="28" s="1"/>
  <c r="AV293" i="28"/>
  <c r="BC293" i="28" s="1"/>
  <c r="AU293" i="28"/>
  <c r="BB293" i="28" s="1"/>
  <c r="AT293" i="28"/>
  <c r="BA293" i="28" s="1"/>
  <c r="AY292" i="28"/>
  <c r="BF292" i="28" s="1"/>
  <c r="AX292" i="28"/>
  <c r="BE292" i="28" s="1"/>
  <c r="AW292" i="28"/>
  <c r="BD292" i="28" s="1"/>
  <c r="AV292" i="28"/>
  <c r="BC292" i="28" s="1"/>
  <c r="AU292" i="28"/>
  <c r="BB292" i="28" s="1"/>
  <c r="AT292" i="28"/>
  <c r="BA292" i="28" s="1"/>
  <c r="AY291" i="28"/>
  <c r="BF291" i="28" s="1"/>
  <c r="AX291" i="28"/>
  <c r="BE291" i="28" s="1"/>
  <c r="AW291" i="28"/>
  <c r="BD291" i="28" s="1"/>
  <c r="AV291" i="28"/>
  <c r="BC291" i="28" s="1"/>
  <c r="AU291" i="28"/>
  <c r="BB291" i="28" s="1"/>
  <c r="AT291" i="28"/>
  <c r="BA291" i="28" s="1"/>
  <c r="AY290" i="28"/>
  <c r="BF290" i="28" s="1"/>
  <c r="AX290" i="28"/>
  <c r="BE290" i="28" s="1"/>
  <c r="AW290" i="28"/>
  <c r="BD290" i="28" s="1"/>
  <c r="AV290" i="28"/>
  <c r="BC290" i="28" s="1"/>
  <c r="AU290" i="28"/>
  <c r="BB290" i="28" s="1"/>
  <c r="AT290" i="28"/>
  <c r="BA290" i="28" s="1"/>
  <c r="AY289" i="28"/>
  <c r="BF289" i="28" s="1"/>
  <c r="AX289" i="28"/>
  <c r="BE289" i="28" s="1"/>
  <c r="AW289" i="28"/>
  <c r="BD289" i="28" s="1"/>
  <c r="AV289" i="28"/>
  <c r="BC289" i="28" s="1"/>
  <c r="AU289" i="28"/>
  <c r="BB289" i="28" s="1"/>
  <c r="AT289" i="28"/>
  <c r="BA289" i="28" s="1"/>
  <c r="AX288" i="28"/>
  <c r="BE288" i="28" s="1"/>
  <c r="AW288" i="28"/>
  <c r="BD288" i="28" s="1"/>
  <c r="AV288" i="28"/>
  <c r="BC288" i="28" s="1"/>
  <c r="AU288" i="28"/>
  <c r="BB288" i="28" s="1"/>
  <c r="AT288" i="28"/>
  <c r="BA288" i="28" s="1"/>
  <c r="AX287" i="28"/>
  <c r="BE287" i="28" s="1"/>
  <c r="AW287" i="28"/>
  <c r="BD287" i="28" s="1"/>
  <c r="AV287" i="28"/>
  <c r="BC287" i="28" s="1"/>
  <c r="AU287" i="28"/>
  <c r="BB287" i="28" s="1"/>
  <c r="AT287" i="28"/>
  <c r="BA287" i="28" s="1"/>
  <c r="AY286" i="28"/>
  <c r="BF286" i="28" s="1"/>
  <c r="AX286" i="28"/>
  <c r="BE286" i="28" s="1"/>
  <c r="AW286" i="28"/>
  <c r="BD286" i="28" s="1"/>
  <c r="AV286" i="28"/>
  <c r="BC286" i="28" s="1"/>
  <c r="AU286" i="28"/>
  <c r="BB286" i="28" s="1"/>
  <c r="AT286" i="28"/>
  <c r="BA286" i="28" s="1"/>
  <c r="AY285" i="28"/>
  <c r="BF285" i="28" s="1"/>
  <c r="AX285" i="28"/>
  <c r="BE285" i="28" s="1"/>
  <c r="AW285" i="28"/>
  <c r="BD285" i="28" s="1"/>
  <c r="AV285" i="28"/>
  <c r="BC285" i="28" s="1"/>
  <c r="AU285" i="28"/>
  <c r="BB285" i="28" s="1"/>
  <c r="AT285" i="28"/>
  <c r="BA285" i="28" s="1"/>
  <c r="AY284" i="28"/>
  <c r="BF284" i="28" s="1"/>
  <c r="AX284" i="28"/>
  <c r="BE284" i="28" s="1"/>
  <c r="AW284" i="28"/>
  <c r="BD284" i="28" s="1"/>
  <c r="AV284" i="28"/>
  <c r="BC284" i="28" s="1"/>
  <c r="AU284" i="28"/>
  <c r="BB284" i="28" s="1"/>
  <c r="AT284" i="28"/>
  <c r="BA284" i="28" s="1"/>
  <c r="AY283" i="28"/>
  <c r="BF283" i="28" s="1"/>
  <c r="AX283" i="28"/>
  <c r="BE283" i="28" s="1"/>
  <c r="AW283" i="28"/>
  <c r="BD283" i="28" s="1"/>
  <c r="AV283" i="28"/>
  <c r="BC283" i="28" s="1"/>
  <c r="AU283" i="28"/>
  <c r="BB283" i="28" s="1"/>
  <c r="AT283" i="28"/>
  <c r="BA283" i="28" s="1"/>
  <c r="AY282" i="28"/>
  <c r="BF282" i="28" s="1"/>
  <c r="AX282" i="28"/>
  <c r="BE282" i="28" s="1"/>
  <c r="AW282" i="28"/>
  <c r="BD282" i="28" s="1"/>
  <c r="AV282" i="28"/>
  <c r="BC282" i="28" s="1"/>
  <c r="AU282" i="28"/>
  <c r="BB282" i="28" s="1"/>
  <c r="AT282" i="28"/>
  <c r="BA282" i="28" s="1"/>
  <c r="AY281" i="28"/>
  <c r="BF281" i="28" s="1"/>
  <c r="AX281" i="28"/>
  <c r="BE281" i="28" s="1"/>
  <c r="AW281" i="28"/>
  <c r="BD281" i="28" s="1"/>
  <c r="AV281" i="28"/>
  <c r="BC281" i="28" s="1"/>
  <c r="AU281" i="28"/>
  <c r="BB281" i="28" s="1"/>
  <c r="AT281" i="28"/>
  <c r="BA281" i="28" s="1"/>
  <c r="AX280" i="28"/>
  <c r="BE280" i="28" s="1"/>
  <c r="AW280" i="28"/>
  <c r="BD280" i="28" s="1"/>
  <c r="AV280" i="28"/>
  <c r="BC280" i="28" s="1"/>
  <c r="AU280" i="28"/>
  <c r="BB280" i="28" s="1"/>
  <c r="AT280" i="28"/>
  <c r="BA280" i="28" s="1"/>
  <c r="AX279" i="28"/>
  <c r="BE279" i="28" s="1"/>
  <c r="AW279" i="28"/>
  <c r="BD279" i="28" s="1"/>
  <c r="AV279" i="28"/>
  <c r="BC279" i="28" s="1"/>
  <c r="AU279" i="28"/>
  <c r="BB279" i="28" s="1"/>
  <c r="AT279" i="28"/>
  <c r="BA279" i="28" s="1"/>
  <c r="AY278" i="28"/>
  <c r="BF278" i="28" s="1"/>
  <c r="AX278" i="28"/>
  <c r="BE278" i="28" s="1"/>
  <c r="AW278" i="28"/>
  <c r="BD278" i="28" s="1"/>
  <c r="AV278" i="28"/>
  <c r="BC278" i="28" s="1"/>
  <c r="AU278" i="28"/>
  <c r="BB278" i="28" s="1"/>
  <c r="AT278" i="28"/>
  <c r="BA278" i="28" s="1"/>
  <c r="AY277" i="28"/>
  <c r="BF277" i="28" s="1"/>
  <c r="AX277" i="28"/>
  <c r="BE277" i="28" s="1"/>
  <c r="AW277" i="28"/>
  <c r="BD277" i="28" s="1"/>
  <c r="AV277" i="28"/>
  <c r="BC277" i="28" s="1"/>
  <c r="AU277" i="28"/>
  <c r="BB277" i="28" s="1"/>
  <c r="AT277" i="28"/>
  <c r="BA277" i="28" s="1"/>
  <c r="AY276" i="28"/>
  <c r="BF276" i="28" s="1"/>
  <c r="AX276" i="28"/>
  <c r="BE276" i="28" s="1"/>
  <c r="AW276" i="28"/>
  <c r="BD276" i="28" s="1"/>
  <c r="AV276" i="28"/>
  <c r="BC276" i="28" s="1"/>
  <c r="AU276" i="28"/>
  <c r="BB276" i="28" s="1"/>
  <c r="AT276" i="28"/>
  <c r="BA276" i="28" s="1"/>
  <c r="AY275" i="28"/>
  <c r="BF275" i="28" s="1"/>
  <c r="AX275" i="28"/>
  <c r="BE275" i="28" s="1"/>
  <c r="AW275" i="28"/>
  <c r="BD275" i="28" s="1"/>
  <c r="AV275" i="28"/>
  <c r="BC275" i="28" s="1"/>
  <c r="AU275" i="28"/>
  <c r="BB275" i="28" s="1"/>
  <c r="AT275" i="28"/>
  <c r="BA275" i="28" s="1"/>
  <c r="AY274" i="28"/>
  <c r="BF274" i="28" s="1"/>
  <c r="AX274" i="28"/>
  <c r="BE274" i="28" s="1"/>
  <c r="AW274" i="28"/>
  <c r="BD274" i="28" s="1"/>
  <c r="AV274" i="28"/>
  <c r="BC274" i="28" s="1"/>
  <c r="AU274" i="28"/>
  <c r="BB274" i="28" s="1"/>
  <c r="AT274" i="28"/>
  <c r="BA274" i="28" s="1"/>
  <c r="AY273" i="28"/>
  <c r="BF273" i="28" s="1"/>
  <c r="AX273" i="28"/>
  <c r="BE273" i="28" s="1"/>
  <c r="AW273" i="28"/>
  <c r="BD273" i="28" s="1"/>
  <c r="AV273" i="28"/>
  <c r="BC273" i="28" s="1"/>
  <c r="AU273" i="28"/>
  <c r="BB273" i="28" s="1"/>
  <c r="AT273" i="28"/>
  <c r="BA273" i="28" s="1"/>
  <c r="AX272" i="28"/>
  <c r="BE272" i="28" s="1"/>
  <c r="AW272" i="28"/>
  <c r="BD272" i="28" s="1"/>
  <c r="AV272" i="28"/>
  <c r="BC272" i="28" s="1"/>
  <c r="AU272" i="28"/>
  <c r="BB272" i="28" s="1"/>
  <c r="AT272" i="28"/>
  <c r="BA272" i="28" s="1"/>
  <c r="AX271" i="28"/>
  <c r="BE271" i="28" s="1"/>
  <c r="AW271" i="28"/>
  <c r="BD271" i="28" s="1"/>
  <c r="AV271" i="28"/>
  <c r="BC271" i="28" s="1"/>
  <c r="AU271" i="28"/>
  <c r="BB271" i="28" s="1"/>
  <c r="AT271" i="28"/>
  <c r="BA271" i="28" s="1"/>
  <c r="AY270" i="28"/>
  <c r="BF270" i="28" s="1"/>
  <c r="AX270" i="28"/>
  <c r="BE270" i="28" s="1"/>
  <c r="AW270" i="28"/>
  <c r="BD270" i="28" s="1"/>
  <c r="AV270" i="28"/>
  <c r="BC270" i="28" s="1"/>
  <c r="AU270" i="28"/>
  <c r="BB270" i="28" s="1"/>
  <c r="AT270" i="28"/>
  <c r="BA270" i="28" s="1"/>
  <c r="AY269" i="28"/>
  <c r="BF269" i="28" s="1"/>
  <c r="AX269" i="28"/>
  <c r="BE269" i="28" s="1"/>
  <c r="AW269" i="28"/>
  <c r="BD269" i="28" s="1"/>
  <c r="AV269" i="28"/>
  <c r="BC269" i="28" s="1"/>
  <c r="AU269" i="28"/>
  <c r="BB269" i="28" s="1"/>
  <c r="AT269" i="28"/>
  <c r="BA269" i="28" s="1"/>
  <c r="AY268" i="28"/>
  <c r="BF268" i="28" s="1"/>
  <c r="AX268" i="28"/>
  <c r="BE268" i="28" s="1"/>
  <c r="AW268" i="28"/>
  <c r="BD268" i="28" s="1"/>
  <c r="AV268" i="28"/>
  <c r="BC268" i="28" s="1"/>
  <c r="AU268" i="28"/>
  <c r="BB268" i="28" s="1"/>
  <c r="AT268" i="28"/>
  <c r="BA268" i="28" s="1"/>
  <c r="AY267" i="28"/>
  <c r="BF267" i="28" s="1"/>
  <c r="AX267" i="28"/>
  <c r="BE267" i="28" s="1"/>
  <c r="AW267" i="28"/>
  <c r="BD267" i="28" s="1"/>
  <c r="AV267" i="28"/>
  <c r="BC267" i="28" s="1"/>
  <c r="AU267" i="28"/>
  <c r="BB267" i="28" s="1"/>
  <c r="AT267" i="28"/>
  <c r="BA267" i="28" s="1"/>
  <c r="AY266" i="28"/>
  <c r="BF266" i="28" s="1"/>
  <c r="AX266" i="28"/>
  <c r="BE266" i="28" s="1"/>
  <c r="AW266" i="28"/>
  <c r="BD266" i="28" s="1"/>
  <c r="AV266" i="28"/>
  <c r="BC266" i="28" s="1"/>
  <c r="AU266" i="28"/>
  <c r="BB266" i="28" s="1"/>
  <c r="AT266" i="28"/>
  <c r="BA266" i="28" s="1"/>
  <c r="AY265" i="28"/>
  <c r="BF265" i="28" s="1"/>
  <c r="AX265" i="28"/>
  <c r="BE265" i="28" s="1"/>
  <c r="AW265" i="28"/>
  <c r="BD265" i="28" s="1"/>
  <c r="AV265" i="28"/>
  <c r="BC265" i="28" s="1"/>
  <c r="AU265" i="28"/>
  <c r="BB265" i="28" s="1"/>
  <c r="AT265" i="28"/>
  <c r="BA265" i="28" s="1"/>
  <c r="AX264" i="28"/>
  <c r="BE264" i="28" s="1"/>
  <c r="AW264" i="28"/>
  <c r="BD264" i="28" s="1"/>
  <c r="AV264" i="28"/>
  <c r="BC264" i="28" s="1"/>
  <c r="AU264" i="28"/>
  <c r="BB264" i="28" s="1"/>
  <c r="AT264" i="28"/>
  <c r="BA264" i="28" s="1"/>
  <c r="AY263" i="28"/>
  <c r="BF263" i="28" s="1"/>
  <c r="AX263" i="28"/>
  <c r="BE263" i="28" s="1"/>
  <c r="AW263" i="28"/>
  <c r="BD263" i="28" s="1"/>
  <c r="AV263" i="28"/>
  <c r="BC263" i="28" s="1"/>
  <c r="AU263" i="28"/>
  <c r="BB263" i="28" s="1"/>
  <c r="AT263" i="28"/>
  <c r="BA263" i="28" s="1"/>
  <c r="AY262" i="28"/>
  <c r="BF262" i="28" s="1"/>
  <c r="AX262" i="28"/>
  <c r="BE262" i="28" s="1"/>
  <c r="AW262" i="28"/>
  <c r="BD262" i="28" s="1"/>
  <c r="AV262" i="28"/>
  <c r="BC262" i="28" s="1"/>
  <c r="AU262" i="28"/>
  <c r="BB262" i="28" s="1"/>
  <c r="AT262" i="28"/>
  <c r="BA262" i="28" s="1"/>
  <c r="AY261" i="28"/>
  <c r="BF261" i="28" s="1"/>
  <c r="AX261" i="28"/>
  <c r="BE261" i="28" s="1"/>
  <c r="AW261" i="28"/>
  <c r="BD261" i="28" s="1"/>
  <c r="AV261" i="28"/>
  <c r="BC261" i="28" s="1"/>
  <c r="AU261" i="28"/>
  <c r="BB261" i="28" s="1"/>
  <c r="AT261" i="28"/>
  <c r="BA261" i="28" s="1"/>
  <c r="AY260" i="28"/>
  <c r="BF260" i="28" s="1"/>
  <c r="AX260" i="28"/>
  <c r="BE260" i="28" s="1"/>
  <c r="AW260" i="28"/>
  <c r="BD260" i="28" s="1"/>
  <c r="AV260" i="28"/>
  <c r="BC260" i="28" s="1"/>
  <c r="AU260" i="28"/>
  <c r="BB260" i="28" s="1"/>
  <c r="AT260" i="28"/>
  <c r="BA260" i="28" s="1"/>
  <c r="AY259" i="28"/>
  <c r="BF259" i="28" s="1"/>
  <c r="AX259" i="28"/>
  <c r="BE259" i="28" s="1"/>
  <c r="AW259" i="28"/>
  <c r="BD259" i="28" s="1"/>
  <c r="AV259" i="28"/>
  <c r="BC259" i="28" s="1"/>
  <c r="AU259" i="28"/>
  <c r="BB259" i="28" s="1"/>
  <c r="AT259" i="28"/>
  <c r="BA259" i="28" s="1"/>
  <c r="AY258" i="28"/>
  <c r="BF258" i="28" s="1"/>
  <c r="AX258" i="28"/>
  <c r="BE258" i="28" s="1"/>
  <c r="AW258" i="28"/>
  <c r="BD258" i="28" s="1"/>
  <c r="AV258" i="28"/>
  <c r="BC258" i="28" s="1"/>
  <c r="AU258" i="28"/>
  <c r="BB258" i="28" s="1"/>
  <c r="AT258" i="28"/>
  <c r="BA258" i="28" s="1"/>
  <c r="AY257" i="28"/>
  <c r="BF257" i="28" s="1"/>
  <c r="AX257" i="28"/>
  <c r="BE257" i="28" s="1"/>
  <c r="AW257" i="28"/>
  <c r="BD257" i="28" s="1"/>
  <c r="AV257" i="28"/>
  <c r="BC257" i="28" s="1"/>
  <c r="AU257" i="28"/>
  <c r="BB257" i="28" s="1"/>
  <c r="AT257" i="28"/>
  <c r="BA257" i="28" s="1"/>
  <c r="AX256" i="28"/>
  <c r="BE256" i="28" s="1"/>
  <c r="AW256" i="28"/>
  <c r="BD256" i="28" s="1"/>
  <c r="AV256" i="28"/>
  <c r="BC256" i="28" s="1"/>
  <c r="AU256" i="28"/>
  <c r="BB256" i="28" s="1"/>
  <c r="AT256" i="28"/>
  <c r="BA256" i="28" s="1"/>
  <c r="AX255" i="28"/>
  <c r="BE255" i="28" s="1"/>
  <c r="AW255" i="28"/>
  <c r="BD255" i="28" s="1"/>
  <c r="AV255" i="28"/>
  <c r="BC255" i="28" s="1"/>
  <c r="AU255" i="28"/>
  <c r="BB255" i="28" s="1"/>
  <c r="AT255" i="28"/>
  <c r="BA255" i="28" s="1"/>
  <c r="AY254" i="28"/>
  <c r="BF254" i="28" s="1"/>
  <c r="AX254" i="28"/>
  <c r="BE254" i="28" s="1"/>
  <c r="AW254" i="28"/>
  <c r="BD254" i="28" s="1"/>
  <c r="AV254" i="28"/>
  <c r="BC254" i="28" s="1"/>
  <c r="AU254" i="28"/>
  <c r="BB254" i="28" s="1"/>
  <c r="AT254" i="28"/>
  <c r="BA254" i="28" s="1"/>
  <c r="AY253" i="28"/>
  <c r="BF253" i="28" s="1"/>
  <c r="AX253" i="28"/>
  <c r="BE253" i="28" s="1"/>
  <c r="AW253" i="28"/>
  <c r="BD253" i="28" s="1"/>
  <c r="AV253" i="28"/>
  <c r="BC253" i="28" s="1"/>
  <c r="AU253" i="28"/>
  <c r="BB253" i="28" s="1"/>
  <c r="AT253" i="28"/>
  <c r="BA253" i="28" s="1"/>
  <c r="AY252" i="28"/>
  <c r="BF252" i="28" s="1"/>
  <c r="AX252" i="28"/>
  <c r="BE252" i="28" s="1"/>
  <c r="AW252" i="28"/>
  <c r="BD252" i="28" s="1"/>
  <c r="AV252" i="28"/>
  <c r="BC252" i="28" s="1"/>
  <c r="AU252" i="28"/>
  <c r="BB252" i="28" s="1"/>
  <c r="AT252" i="28"/>
  <c r="BA252" i="28" s="1"/>
  <c r="AY251" i="28"/>
  <c r="BF251" i="28" s="1"/>
  <c r="AX251" i="28"/>
  <c r="BE251" i="28" s="1"/>
  <c r="AW251" i="28"/>
  <c r="BD251" i="28" s="1"/>
  <c r="AV251" i="28"/>
  <c r="BC251" i="28" s="1"/>
  <c r="AU251" i="28"/>
  <c r="BB251" i="28" s="1"/>
  <c r="AT251" i="28"/>
  <c r="BA251" i="28" s="1"/>
  <c r="AY250" i="28"/>
  <c r="BF250" i="28" s="1"/>
  <c r="AX250" i="28"/>
  <c r="BE250" i="28" s="1"/>
  <c r="AW250" i="28"/>
  <c r="BD250" i="28" s="1"/>
  <c r="AV250" i="28"/>
  <c r="BC250" i="28" s="1"/>
  <c r="AU250" i="28"/>
  <c r="BB250" i="28" s="1"/>
  <c r="AT250" i="28"/>
  <c r="BA250" i="28" s="1"/>
  <c r="AY249" i="28"/>
  <c r="BF249" i="28" s="1"/>
  <c r="AX249" i="28"/>
  <c r="BE249" i="28" s="1"/>
  <c r="AW249" i="28"/>
  <c r="BD249" i="28" s="1"/>
  <c r="AV249" i="28"/>
  <c r="BC249" i="28" s="1"/>
  <c r="AU249" i="28"/>
  <c r="BB249" i="28" s="1"/>
  <c r="AT249" i="28"/>
  <c r="BA249" i="28" s="1"/>
  <c r="AX248" i="28"/>
  <c r="BE248" i="28" s="1"/>
  <c r="AW248" i="28"/>
  <c r="BD248" i="28" s="1"/>
  <c r="AV248" i="28"/>
  <c r="BC248" i="28" s="1"/>
  <c r="AU248" i="28"/>
  <c r="BB248" i="28" s="1"/>
  <c r="AT248" i="28"/>
  <c r="BA248" i="28" s="1"/>
  <c r="AY247" i="28"/>
  <c r="BF247" i="28" s="1"/>
  <c r="AX247" i="28"/>
  <c r="BE247" i="28" s="1"/>
  <c r="AW247" i="28"/>
  <c r="BD247" i="28" s="1"/>
  <c r="AV247" i="28"/>
  <c r="BC247" i="28" s="1"/>
  <c r="AU247" i="28"/>
  <c r="BB247" i="28" s="1"/>
  <c r="AT247" i="28"/>
  <c r="BA247" i="28" s="1"/>
  <c r="AY246" i="28"/>
  <c r="BF246" i="28" s="1"/>
  <c r="AX246" i="28"/>
  <c r="BE246" i="28" s="1"/>
  <c r="AW246" i="28"/>
  <c r="BD246" i="28" s="1"/>
  <c r="AV246" i="28"/>
  <c r="BC246" i="28" s="1"/>
  <c r="AU246" i="28"/>
  <c r="BB246" i="28" s="1"/>
  <c r="AT246" i="28"/>
  <c r="BA246" i="28" s="1"/>
  <c r="AY245" i="28"/>
  <c r="BF245" i="28" s="1"/>
  <c r="AX245" i="28"/>
  <c r="BE245" i="28" s="1"/>
  <c r="AW245" i="28"/>
  <c r="BD245" i="28" s="1"/>
  <c r="AV245" i="28"/>
  <c r="BC245" i="28" s="1"/>
  <c r="AU245" i="28"/>
  <c r="BB245" i="28" s="1"/>
  <c r="AT245" i="28"/>
  <c r="BA245" i="28" s="1"/>
  <c r="AY244" i="28"/>
  <c r="BF244" i="28" s="1"/>
  <c r="AX244" i="28"/>
  <c r="BE244" i="28" s="1"/>
  <c r="AW244" i="28"/>
  <c r="BD244" i="28" s="1"/>
  <c r="AV244" i="28"/>
  <c r="BC244" i="28" s="1"/>
  <c r="AU244" i="28"/>
  <c r="BB244" i="28" s="1"/>
  <c r="AT244" i="28"/>
  <c r="BA244" i="28" s="1"/>
  <c r="AY243" i="28"/>
  <c r="BF243" i="28" s="1"/>
  <c r="AX243" i="28"/>
  <c r="BE243" i="28" s="1"/>
  <c r="AW243" i="28"/>
  <c r="BD243" i="28" s="1"/>
  <c r="AV243" i="28"/>
  <c r="BC243" i="28" s="1"/>
  <c r="AU243" i="28"/>
  <c r="BB243" i="28" s="1"/>
  <c r="AT243" i="28"/>
  <c r="BA243" i="28" s="1"/>
  <c r="AY242" i="28"/>
  <c r="BF242" i="28" s="1"/>
  <c r="AX242" i="28"/>
  <c r="BE242" i="28" s="1"/>
  <c r="AW242" i="28"/>
  <c r="BD242" i="28" s="1"/>
  <c r="AV242" i="28"/>
  <c r="BC242" i="28" s="1"/>
  <c r="AU242" i="28"/>
  <c r="BB242" i="28" s="1"/>
  <c r="AT242" i="28"/>
  <c r="BA242" i="28" s="1"/>
  <c r="AY241" i="28"/>
  <c r="BF241" i="28" s="1"/>
  <c r="AX241" i="28"/>
  <c r="BE241" i="28" s="1"/>
  <c r="AW241" i="28"/>
  <c r="BD241" i="28" s="1"/>
  <c r="AV241" i="28"/>
  <c r="BC241" i="28" s="1"/>
  <c r="AU241" i="28"/>
  <c r="BB241" i="28" s="1"/>
  <c r="AT241" i="28"/>
  <c r="BA241" i="28" s="1"/>
  <c r="AX240" i="28"/>
  <c r="BE240" i="28" s="1"/>
  <c r="AW240" i="28"/>
  <c r="BD240" i="28" s="1"/>
  <c r="AV240" i="28"/>
  <c r="BC240" i="28" s="1"/>
  <c r="AU240" i="28"/>
  <c r="BB240" i="28" s="1"/>
  <c r="AT240" i="28"/>
  <c r="BA240" i="28" s="1"/>
  <c r="AX239" i="28"/>
  <c r="BE239" i="28" s="1"/>
  <c r="AW239" i="28"/>
  <c r="BD239" i="28" s="1"/>
  <c r="AV239" i="28"/>
  <c r="BC239" i="28" s="1"/>
  <c r="AU239" i="28"/>
  <c r="BB239" i="28" s="1"/>
  <c r="AT239" i="28"/>
  <c r="BA239" i="28" s="1"/>
  <c r="AY238" i="28"/>
  <c r="BF238" i="28" s="1"/>
  <c r="AX238" i="28"/>
  <c r="BE238" i="28" s="1"/>
  <c r="AW238" i="28"/>
  <c r="BD238" i="28" s="1"/>
  <c r="AV238" i="28"/>
  <c r="BC238" i="28" s="1"/>
  <c r="AU238" i="28"/>
  <c r="BB238" i="28" s="1"/>
  <c r="AT238" i="28"/>
  <c r="BA238" i="28" s="1"/>
  <c r="AY237" i="28"/>
  <c r="BF237" i="28" s="1"/>
  <c r="AX237" i="28"/>
  <c r="BE237" i="28" s="1"/>
  <c r="AW237" i="28"/>
  <c r="BD237" i="28" s="1"/>
  <c r="AV237" i="28"/>
  <c r="BC237" i="28" s="1"/>
  <c r="AU237" i="28"/>
  <c r="BB237" i="28" s="1"/>
  <c r="AT237" i="28"/>
  <c r="BA237" i="28" s="1"/>
  <c r="AY236" i="28"/>
  <c r="BF236" i="28" s="1"/>
  <c r="AX236" i="28"/>
  <c r="BE236" i="28" s="1"/>
  <c r="AW236" i="28"/>
  <c r="BD236" i="28" s="1"/>
  <c r="AV236" i="28"/>
  <c r="BC236" i="28" s="1"/>
  <c r="AU236" i="28"/>
  <c r="BB236" i="28" s="1"/>
  <c r="AT236" i="28"/>
  <c r="BA236" i="28" s="1"/>
  <c r="AY235" i="28"/>
  <c r="BF235" i="28" s="1"/>
  <c r="AX235" i="28"/>
  <c r="BE235" i="28" s="1"/>
  <c r="AW235" i="28"/>
  <c r="BD235" i="28" s="1"/>
  <c r="AV235" i="28"/>
  <c r="BC235" i="28" s="1"/>
  <c r="AU235" i="28"/>
  <c r="BB235" i="28" s="1"/>
  <c r="AT235" i="28"/>
  <c r="BA235" i="28" s="1"/>
  <c r="AY234" i="28"/>
  <c r="BF234" i="28" s="1"/>
  <c r="AX234" i="28"/>
  <c r="BE234" i="28" s="1"/>
  <c r="AW234" i="28"/>
  <c r="BD234" i="28" s="1"/>
  <c r="AV234" i="28"/>
  <c r="BC234" i="28" s="1"/>
  <c r="AU234" i="28"/>
  <c r="BB234" i="28" s="1"/>
  <c r="AT234" i="28"/>
  <c r="BA234" i="28" s="1"/>
  <c r="AY233" i="28"/>
  <c r="BF233" i="28" s="1"/>
  <c r="AX233" i="28"/>
  <c r="BE233" i="28" s="1"/>
  <c r="AW233" i="28"/>
  <c r="BD233" i="28" s="1"/>
  <c r="AV233" i="28"/>
  <c r="BC233" i="28" s="1"/>
  <c r="AU233" i="28"/>
  <c r="BB233" i="28" s="1"/>
  <c r="AT233" i="28"/>
  <c r="BA233" i="28" s="1"/>
  <c r="AX232" i="28"/>
  <c r="BE232" i="28" s="1"/>
  <c r="AW232" i="28"/>
  <c r="BD232" i="28" s="1"/>
  <c r="AV232" i="28"/>
  <c r="BC232" i="28" s="1"/>
  <c r="AU232" i="28"/>
  <c r="BB232" i="28" s="1"/>
  <c r="AT232" i="28"/>
  <c r="BA232" i="28" s="1"/>
  <c r="AX231" i="28"/>
  <c r="BE231" i="28" s="1"/>
  <c r="AW231" i="28"/>
  <c r="BD231" i="28" s="1"/>
  <c r="AV231" i="28"/>
  <c r="BC231" i="28" s="1"/>
  <c r="AU231" i="28"/>
  <c r="BB231" i="28" s="1"/>
  <c r="AT231" i="28"/>
  <c r="BA231" i="28" s="1"/>
  <c r="AY230" i="28"/>
  <c r="BF230" i="28" s="1"/>
  <c r="AX230" i="28"/>
  <c r="BE230" i="28" s="1"/>
  <c r="AW230" i="28"/>
  <c r="BD230" i="28" s="1"/>
  <c r="AV230" i="28"/>
  <c r="BC230" i="28" s="1"/>
  <c r="AU230" i="28"/>
  <c r="BB230" i="28" s="1"/>
  <c r="AT230" i="28"/>
  <c r="BA230" i="28" s="1"/>
  <c r="AY229" i="28"/>
  <c r="BF229" i="28" s="1"/>
  <c r="AX229" i="28"/>
  <c r="BE229" i="28" s="1"/>
  <c r="AW229" i="28"/>
  <c r="BD229" i="28" s="1"/>
  <c r="AV229" i="28"/>
  <c r="BC229" i="28" s="1"/>
  <c r="AU229" i="28"/>
  <c r="BB229" i="28" s="1"/>
  <c r="AT229" i="28"/>
  <c r="BA229" i="28" s="1"/>
  <c r="AY228" i="28"/>
  <c r="BF228" i="28" s="1"/>
  <c r="AX228" i="28"/>
  <c r="BE228" i="28" s="1"/>
  <c r="AW228" i="28"/>
  <c r="BD228" i="28" s="1"/>
  <c r="AV228" i="28"/>
  <c r="BC228" i="28" s="1"/>
  <c r="AU228" i="28"/>
  <c r="BB228" i="28" s="1"/>
  <c r="AT228" i="28"/>
  <c r="BA228" i="28" s="1"/>
  <c r="AY227" i="28"/>
  <c r="BF227" i="28" s="1"/>
  <c r="AX227" i="28"/>
  <c r="BE227" i="28" s="1"/>
  <c r="AW227" i="28"/>
  <c r="BD227" i="28" s="1"/>
  <c r="AV227" i="28"/>
  <c r="BC227" i="28" s="1"/>
  <c r="AU227" i="28"/>
  <c r="BB227" i="28" s="1"/>
  <c r="AT227" i="28"/>
  <c r="BA227" i="28" s="1"/>
  <c r="AY226" i="28"/>
  <c r="BF226" i="28" s="1"/>
  <c r="AX226" i="28"/>
  <c r="BE226" i="28" s="1"/>
  <c r="AW226" i="28"/>
  <c r="BD226" i="28" s="1"/>
  <c r="AV226" i="28"/>
  <c r="BC226" i="28" s="1"/>
  <c r="AU226" i="28"/>
  <c r="BB226" i="28" s="1"/>
  <c r="AT226" i="28"/>
  <c r="BA226" i="28" s="1"/>
  <c r="AY225" i="28"/>
  <c r="BF225" i="28" s="1"/>
  <c r="AX225" i="28"/>
  <c r="BE225" i="28" s="1"/>
  <c r="AW225" i="28"/>
  <c r="BD225" i="28" s="1"/>
  <c r="AV225" i="28"/>
  <c r="BC225" i="28" s="1"/>
  <c r="AU225" i="28"/>
  <c r="BB225" i="28" s="1"/>
  <c r="AT225" i="28"/>
  <c r="BA225" i="28" s="1"/>
  <c r="AX224" i="28"/>
  <c r="BE224" i="28" s="1"/>
  <c r="AW224" i="28"/>
  <c r="BD224" i="28" s="1"/>
  <c r="AV224" i="28"/>
  <c r="BC224" i="28" s="1"/>
  <c r="AU224" i="28"/>
  <c r="BB224" i="28" s="1"/>
  <c r="AT224" i="28"/>
  <c r="BA224" i="28" s="1"/>
  <c r="AX223" i="28"/>
  <c r="BE223" i="28" s="1"/>
  <c r="AW223" i="28"/>
  <c r="BD223" i="28" s="1"/>
  <c r="AV223" i="28"/>
  <c r="BC223" i="28" s="1"/>
  <c r="AU223" i="28"/>
  <c r="BB223" i="28" s="1"/>
  <c r="AT223" i="28"/>
  <c r="BA223" i="28" s="1"/>
  <c r="AY222" i="28"/>
  <c r="BF222" i="28" s="1"/>
  <c r="AX222" i="28"/>
  <c r="BE222" i="28" s="1"/>
  <c r="AW222" i="28"/>
  <c r="BD222" i="28" s="1"/>
  <c r="AV222" i="28"/>
  <c r="BC222" i="28" s="1"/>
  <c r="AU222" i="28"/>
  <c r="BB222" i="28" s="1"/>
  <c r="AT222" i="28"/>
  <c r="BA222" i="28" s="1"/>
  <c r="AY221" i="28"/>
  <c r="BF221" i="28" s="1"/>
  <c r="AX221" i="28"/>
  <c r="BE221" i="28" s="1"/>
  <c r="AW221" i="28"/>
  <c r="BD221" i="28" s="1"/>
  <c r="AV221" i="28"/>
  <c r="BC221" i="28" s="1"/>
  <c r="AU221" i="28"/>
  <c r="BB221" i="28" s="1"/>
  <c r="AT221" i="28"/>
  <c r="BA221" i="28" s="1"/>
  <c r="AY220" i="28"/>
  <c r="BF220" i="28" s="1"/>
  <c r="AX220" i="28"/>
  <c r="BE220" i="28" s="1"/>
  <c r="AW220" i="28"/>
  <c r="BD220" i="28" s="1"/>
  <c r="AV220" i="28"/>
  <c r="BC220" i="28" s="1"/>
  <c r="AU220" i="28"/>
  <c r="BB220" i="28" s="1"/>
  <c r="AT220" i="28"/>
  <c r="BA220" i="28" s="1"/>
  <c r="AY219" i="28"/>
  <c r="BF219" i="28" s="1"/>
  <c r="AX219" i="28"/>
  <c r="BE219" i="28" s="1"/>
  <c r="AW219" i="28"/>
  <c r="BD219" i="28" s="1"/>
  <c r="AV219" i="28"/>
  <c r="BC219" i="28" s="1"/>
  <c r="AU219" i="28"/>
  <c r="BB219" i="28" s="1"/>
  <c r="AT219" i="28"/>
  <c r="BA219" i="28" s="1"/>
  <c r="AY218" i="28"/>
  <c r="BF218" i="28" s="1"/>
  <c r="AX218" i="28"/>
  <c r="BE218" i="28" s="1"/>
  <c r="AW218" i="28"/>
  <c r="BD218" i="28" s="1"/>
  <c r="AV218" i="28"/>
  <c r="BC218" i="28" s="1"/>
  <c r="AU218" i="28"/>
  <c r="BB218" i="28" s="1"/>
  <c r="AT218" i="28"/>
  <c r="BA218" i="28" s="1"/>
  <c r="AY217" i="28"/>
  <c r="BF217" i="28" s="1"/>
  <c r="AX217" i="28"/>
  <c r="BE217" i="28" s="1"/>
  <c r="AW217" i="28"/>
  <c r="BD217" i="28" s="1"/>
  <c r="AV217" i="28"/>
  <c r="BC217" i="28" s="1"/>
  <c r="AU217" i="28"/>
  <c r="BB217" i="28" s="1"/>
  <c r="AT217" i="28"/>
  <c r="BA217" i="28" s="1"/>
  <c r="AX216" i="28"/>
  <c r="BE216" i="28" s="1"/>
  <c r="AW216" i="28"/>
  <c r="BD216" i="28" s="1"/>
  <c r="AV216" i="28"/>
  <c r="BC216" i="28" s="1"/>
  <c r="AU216" i="28"/>
  <c r="BB216" i="28" s="1"/>
  <c r="AT216" i="28"/>
  <c r="BA216" i="28" s="1"/>
  <c r="AX215" i="28"/>
  <c r="BE215" i="28" s="1"/>
  <c r="AW215" i="28"/>
  <c r="BD215" i="28" s="1"/>
  <c r="AV215" i="28"/>
  <c r="BC215" i="28" s="1"/>
  <c r="AU215" i="28"/>
  <c r="BB215" i="28" s="1"/>
  <c r="AT215" i="28"/>
  <c r="BA215" i="28" s="1"/>
  <c r="AY214" i="28"/>
  <c r="BF214" i="28" s="1"/>
  <c r="AX214" i="28"/>
  <c r="BE214" i="28" s="1"/>
  <c r="AW214" i="28"/>
  <c r="BD214" i="28" s="1"/>
  <c r="AV214" i="28"/>
  <c r="BC214" i="28" s="1"/>
  <c r="AU214" i="28"/>
  <c r="BB214" i="28" s="1"/>
  <c r="AT214" i="28"/>
  <c r="BA214" i="28" s="1"/>
  <c r="AY213" i="28"/>
  <c r="BF213" i="28" s="1"/>
  <c r="AX213" i="28"/>
  <c r="BE213" i="28" s="1"/>
  <c r="AW213" i="28"/>
  <c r="BD213" i="28" s="1"/>
  <c r="AV213" i="28"/>
  <c r="BC213" i="28" s="1"/>
  <c r="AU213" i="28"/>
  <c r="BB213" i="28" s="1"/>
  <c r="AT213" i="28"/>
  <c r="BA213" i="28" s="1"/>
  <c r="AY212" i="28"/>
  <c r="BF212" i="28" s="1"/>
  <c r="AX212" i="28"/>
  <c r="BE212" i="28" s="1"/>
  <c r="AW212" i="28"/>
  <c r="BD212" i="28" s="1"/>
  <c r="AV212" i="28"/>
  <c r="BC212" i="28" s="1"/>
  <c r="AU212" i="28"/>
  <c r="BB212" i="28" s="1"/>
  <c r="AT212" i="28"/>
  <c r="BA212" i="28" s="1"/>
  <c r="AY211" i="28"/>
  <c r="BF211" i="28" s="1"/>
  <c r="AX211" i="28"/>
  <c r="BE211" i="28" s="1"/>
  <c r="AW211" i="28"/>
  <c r="BD211" i="28" s="1"/>
  <c r="AV211" i="28"/>
  <c r="BC211" i="28" s="1"/>
  <c r="AU211" i="28"/>
  <c r="BB211" i="28" s="1"/>
  <c r="AT211" i="28"/>
  <c r="BA211" i="28" s="1"/>
  <c r="AY210" i="28"/>
  <c r="BF210" i="28" s="1"/>
  <c r="AX210" i="28"/>
  <c r="BE210" i="28" s="1"/>
  <c r="AW210" i="28"/>
  <c r="BD210" i="28" s="1"/>
  <c r="AV210" i="28"/>
  <c r="BC210" i="28" s="1"/>
  <c r="AU210" i="28"/>
  <c r="BB210" i="28" s="1"/>
  <c r="AT210" i="28"/>
  <c r="BA210" i="28" s="1"/>
  <c r="AY209" i="28"/>
  <c r="BF209" i="28" s="1"/>
  <c r="AX209" i="28"/>
  <c r="BE209" i="28" s="1"/>
  <c r="AW209" i="28"/>
  <c r="BD209" i="28" s="1"/>
  <c r="AV209" i="28"/>
  <c r="BC209" i="28" s="1"/>
  <c r="AU209" i="28"/>
  <c r="BB209" i="28" s="1"/>
  <c r="AT209" i="28"/>
  <c r="BA209" i="28" s="1"/>
  <c r="AX208" i="28"/>
  <c r="BE208" i="28" s="1"/>
  <c r="AW208" i="28"/>
  <c r="BD208" i="28" s="1"/>
  <c r="AV208" i="28"/>
  <c r="BC208" i="28" s="1"/>
  <c r="AU208" i="28"/>
  <c r="BB208" i="28" s="1"/>
  <c r="AT208" i="28"/>
  <c r="BA208" i="28" s="1"/>
  <c r="AX207" i="28"/>
  <c r="BE207" i="28" s="1"/>
  <c r="AW207" i="28"/>
  <c r="BD207" i="28" s="1"/>
  <c r="AV207" i="28"/>
  <c r="BC207" i="28" s="1"/>
  <c r="AU207" i="28"/>
  <c r="BB207" i="28" s="1"/>
  <c r="AT207" i="28"/>
  <c r="BA207" i="28" s="1"/>
  <c r="AY206" i="28"/>
  <c r="BF206" i="28" s="1"/>
  <c r="AX206" i="28"/>
  <c r="BE206" i="28" s="1"/>
  <c r="AW206" i="28"/>
  <c r="BD206" i="28" s="1"/>
  <c r="AV206" i="28"/>
  <c r="BC206" i="28" s="1"/>
  <c r="AU206" i="28"/>
  <c r="BB206" i="28" s="1"/>
  <c r="AT206" i="28"/>
  <c r="BA206" i="28" s="1"/>
  <c r="AY205" i="28"/>
  <c r="BF205" i="28" s="1"/>
  <c r="AX205" i="28"/>
  <c r="BE205" i="28" s="1"/>
  <c r="AW205" i="28"/>
  <c r="BD205" i="28" s="1"/>
  <c r="AV205" i="28"/>
  <c r="BC205" i="28" s="1"/>
  <c r="AU205" i="28"/>
  <c r="BB205" i="28" s="1"/>
  <c r="AT205" i="28"/>
  <c r="BA205" i="28" s="1"/>
  <c r="AY204" i="28"/>
  <c r="BF204" i="28" s="1"/>
  <c r="AX204" i="28"/>
  <c r="BE204" i="28" s="1"/>
  <c r="AW204" i="28"/>
  <c r="BD204" i="28" s="1"/>
  <c r="AV204" i="28"/>
  <c r="BC204" i="28" s="1"/>
  <c r="AU204" i="28"/>
  <c r="BB204" i="28" s="1"/>
  <c r="AT204" i="28"/>
  <c r="BA204" i="28" s="1"/>
  <c r="AY203" i="28"/>
  <c r="BF203" i="28" s="1"/>
  <c r="AX203" i="28"/>
  <c r="BE203" i="28" s="1"/>
  <c r="AW203" i="28"/>
  <c r="BD203" i="28" s="1"/>
  <c r="AV203" i="28"/>
  <c r="BC203" i="28" s="1"/>
  <c r="AU203" i="28"/>
  <c r="BB203" i="28" s="1"/>
  <c r="AT203" i="28"/>
  <c r="BA203" i="28" s="1"/>
  <c r="AY202" i="28"/>
  <c r="BF202" i="28" s="1"/>
  <c r="AX202" i="28"/>
  <c r="BE202" i="28" s="1"/>
  <c r="AW202" i="28"/>
  <c r="BD202" i="28" s="1"/>
  <c r="AV202" i="28"/>
  <c r="BC202" i="28" s="1"/>
  <c r="AU202" i="28"/>
  <c r="BB202" i="28" s="1"/>
  <c r="AT202" i="28"/>
  <c r="BA202" i="28" s="1"/>
  <c r="AY201" i="28"/>
  <c r="BF201" i="28" s="1"/>
  <c r="AX201" i="28"/>
  <c r="BE201" i="28" s="1"/>
  <c r="AW201" i="28"/>
  <c r="BD201" i="28" s="1"/>
  <c r="AV201" i="28"/>
  <c r="BC201" i="28" s="1"/>
  <c r="AU201" i="28"/>
  <c r="BB201" i="28" s="1"/>
  <c r="AT201" i="28"/>
  <c r="BA201" i="28" s="1"/>
  <c r="AX200" i="28"/>
  <c r="BE200" i="28" s="1"/>
  <c r="AW200" i="28"/>
  <c r="BD200" i="28" s="1"/>
  <c r="AV200" i="28"/>
  <c r="BC200" i="28" s="1"/>
  <c r="AU200" i="28"/>
  <c r="BB200" i="28" s="1"/>
  <c r="AT200" i="28"/>
  <c r="BA200" i="28" s="1"/>
  <c r="AX199" i="28"/>
  <c r="BE199" i="28" s="1"/>
  <c r="AW199" i="28"/>
  <c r="BD199" i="28" s="1"/>
  <c r="AV199" i="28"/>
  <c r="BC199" i="28" s="1"/>
  <c r="AU199" i="28"/>
  <c r="BB199" i="28" s="1"/>
  <c r="AT199" i="28"/>
  <c r="BA199" i="28" s="1"/>
  <c r="AY198" i="28"/>
  <c r="BF198" i="28" s="1"/>
  <c r="AX198" i="28"/>
  <c r="BE198" i="28" s="1"/>
  <c r="AW198" i="28"/>
  <c r="BD198" i="28" s="1"/>
  <c r="AV198" i="28"/>
  <c r="BC198" i="28" s="1"/>
  <c r="AU198" i="28"/>
  <c r="BB198" i="28" s="1"/>
  <c r="AT198" i="28"/>
  <c r="BA198" i="28" s="1"/>
  <c r="AY197" i="28"/>
  <c r="BF197" i="28" s="1"/>
  <c r="AX197" i="28"/>
  <c r="BE197" i="28" s="1"/>
  <c r="AW197" i="28"/>
  <c r="BD197" i="28" s="1"/>
  <c r="AV197" i="28"/>
  <c r="BC197" i="28" s="1"/>
  <c r="AU197" i="28"/>
  <c r="BB197" i="28" s="1"/>
  <c r="AT197" i="28"/>
  <c r="BA197" i="28" s="1"/>
  <c r="AY196" i="28"/>
  <c r="BF196" i="28" s="1"/>
  <c r="AX196" i="28"/>
  <c r="BE196" i="28" s="1"/>
  <c r="AW196" i="28"/>
  <c r="BD196" i="28" s="1"/>
  <c r="AV196" i="28"/>
  <c r="BC196" i="28" s="1"/>
  <c r="AU196" i="28"/>
  <c r="BB196" i="28" s="1"/>
  <c r="AT196" i="28"/>
  <c r="BA196" i="28" s="1"/>
  <c r="AY195" i="28"/>
  <c r="BF195" i="28" s="1"/>
  <c r="AX195" i="28"/>
  <c r="BE195" i="28" s="1"/>
  <c r="AW195" i="28"/>
  <c r="BD195" i="28" s="1"/>
  <c r="AV195" i="28"/>
  <c r="BC195" i="28" s="1"/>
  <c r="AU195" i="28"/>
  <c r="BB195" i="28" s="1"/>
  <c r="AT195" i="28"/>
  <c r="BA195" i="28" s="1"/>
  <c r="AY194" i="28"/>
  <c r="BF194" i="28" s="1"/>
  <c r="AX194" i="28"/>
  <c r="BE194" i="28" s="1"/>
  <c r="AW194" i="28"/>
  <c r="BD194" i="28" s="1"/>
  <c r="AV194" i="28"/>
  <c r="BC194" i="28" s="1"/>
  <c r="AU194" i="28"/>
  <c r="BB194" i="28" s="1"/>
  <c r="AT194" i="28"/>
  <c r="BA194" i="28" s="1"/>
  <c r="AY193" i="28"/>
  <c r="BF193" i="28" s="1"/>
  <c r="AX193" i="28"/>
  <c r="BE193" i="28" s="1"/>
  <c r="AW193" i="28"/>
  <c r="BD193" i="28" s="1"/>
  <c r="AV193" i="28"/>
  <c r="BC193" i="28" s="1"/>
  <c r="AU193" i="28"/>
  <c r="BB193" i="28" s="1"/>
  <c r="AT193" i="28"/>
  <c r="BA193" i="28" s="1"/>
  <c r="AX192" i="28"/>
  <c r="BE192" i="28" s="1"/>
  <c r="AW192" i="28"/>
  <c r="BD192" i="28" s="1"/>
  <c r="AV192" i="28"/>
  <c r="BC192" i="28" s="1"/>
  <c r="AU192" i="28"/>
  <c r="BB192" i="28" s="1"/>
  <c r="AT192" i="28"/>
  <c r="BA192" i="28" s="1"/>
  <c r="AY191" i="28"/>
  <c r="BF191" i="28" s="1"/>
  <c r="AX191" i="28"/>
  <c r="BE191" i="28" s="1"/>
  <c r="AW191" i="28"/>
  <c r="BD191" i="28" s="1"/>
  <c r="AV191" i="28"/>
  <c r="BC191" i="28" s="1"/>
  <c r="AU191" i="28"/>
  <c r="BB191" i="28" s="1"/>
  <c r="AT191" i="28"/>
  <c r="BA191" i="28" s="1"/>
  <c r="AY190" i="28"/>
  <c r="BF190" i="28" s="1"/>
  <c r="AX190" i="28"/>
  <c r="BE190" i="28" s="1"/>
  <c r="AW190" i="28"/>
  <c r="BD190" i="28" s="1"/>
  <c r="AV190" i="28"/>
  <c r="BC190" i="28" s="1"/>
  <c r="AU190" i="28"/>
  <c r="BB190" i="28" s="1"/>
  <c r="AT190" i="28"/>
  <c r="BA190" i="28" s="1"/>
  <c r="AY189" i="28"/>
  <c r="BF189" i="28" s="1"/>
  <c r="AX189" i="28"/>
  <c r="BE189" i="28" s="1"/>
  <c r="AW189" i="28"/>
  <c r="BD189" i="28" s="1"/>
  <c r="AV189" i="28"/>
  <c r="BC189" i="28" s="1"/>
  <c r="AU189" i="28"/>
  <c r="BB189" i="28" s="1"/>
  <c r="AT189" i="28"/>
  <c r="BA189" i="28" s="1"/>
  <c r="AY188" i="28"/>
  <c r="BF188" i="28" s="1"/>
  <c r="AX188" i="28"/>
  <c r="BE188" i="28" s="1"/>
  <c r="AW188" i="28"/>
  <c r="BD188" i="28" s="1"/>
  <c r="AV188" i="28"/>
  <c r="BC188" i="28" s="1"/>
  <c r="AU188" i="28"/>
  <c r="BB188" i="28" s="1"/>
  <c r="AT188" i="28"/>
  <c r="BA188" i="28" s="1"/>
  <c r="AY187" i="28"/>
  <c r="BF187" i="28" s="1"/>
  <c r="AX187" i="28"/>
  <c r="BE187" i="28" s="1"/>
  <c r="AW187" i="28"/>
  <c r="BD187" i="28" s="1"/>
  <c r="AV187" i="28"/>
  <c r="BC187" i="28" s="1"/>
  <c r="AU187" i="28"/>
  <c r="BB187" i="28" s="1"/>
  <c r="AT187" i="28"/>
  <c r="BA187" i="28" s="1"/>
  <c r="AY186" i="28"/>
  <c r="BF186" i="28" s="1"/>
  <c r="AX186" i="28"/>
  <c r="BE186" i="28" s="1"/>
  <c r="AW186" i="28"/>
  <c r="BD186" i="28" s="1"/>
  <c r="AV186" i="28"/>
  <c r="BC186" i="28" s="1"/>
  <c r="AU186" i="28"/>
  <c r="BB186" i="28" s="1"/>
  <c r="AT186" i="28"/>
  <c r="BA186" i="28" s="1"/>
  <c r="AY185" i="28"/>
  <c r="BF185" i="28" s="1"/>
  <c r="AX185" i="28"/>
  <c r="BE185" i="28" s="1"/>
  <c r="AW185" i="28"/>
  <c r="BD185" i="28" s="1"/>
  <c r="AV185" i="28"/>
  <c r="BC185" i="28" s="1"/>
  <c r="AU185" i="28"/>
  <c r="BB185" i="28" s="1"/>
  <c r="AT185" i="28"/>
  <c r="BA185" i="28" s="1"/>
  <c r="AX184" i="28"/>
  <c r="BE184" i="28" s="1"/>
  <c r="AW184" i="28"/>
  <c r="BD184" i="28" s="1"/>
  <c r="AV184" i="28"/>
  <c r="BC184" i="28" s="1"/>
  <c r="AU184" i="28"/>
  <c r="BB184" i="28" s="1"/>
  <c r="AT184" i="28"/>
  <c r="BA184" i="28" s="1"/>
  <c r="AX183" i="28"/>
  <c r="BE183" i="28" s="1"/>
  <c r="AW183" i="28"/>
  <c r="BD183" i="28" s="1"/>
  <c r="AV183" i="28"/>
  <c r="BC183" i="28" s="1"/>
  <c r="AU183" i="28"/>
  <c r="BB183" i="28" s="1"/>
  <c r="AT183" i="28"/>
  <c r="BA183" i="28" s="1"/>
  <c r="AY182" i="28"/>
  <c r="BF182" i="28" s="1"/>
  <c r="AX182" i="28"/>
  <c r="BE182" i="28" s="1"/>
  <c r="AW182" i="28"/>
  <c r="BD182" i="28" s="1"/>
  <c r="AV182" i="28"/>
  <c r="BC182" i="28" s="1"/>
  <c r="AU182" i="28"/>
  <c r="BB182" i="28" s="1"/>
  <c r="AT182" i="28"/>
  <c r="BA182" i="28" s="1"/>
  <c r="AY181" i="28"/>
  <c r="BF181" i="28" s="1"/>
  <c r="AX181" i="28"/>
  <c r="BE181" i="28" s="1"/>
  <c r="AW181" i="28"/>
  <c r="BD181" i="28" s="1"/>
  <c r="AV181" i="28"/>
  <c r="BC181" i="28" s="1"/>
  <c r="AU181" i="28"/>
  <c r="BB181" i="28" s="1"/>
  <c r="AT181" i="28"/>
  <c r="BA181" i="28" s="1"/>
  <c r="AY180" i="28"/>
  <c r="BF180" i="28" s="1"/>
  <c r="AX180" i="28"/>
  <c r="BE180" i="28" s="1"/>
  <c r="AW180" i="28"/>
  <c r="BD180" i="28" s="1"/>
  <c r="AV180" i="28"/>
  <c r="BC180" i="28" s="1"/>
  <c r="AU180" i="28"/>
  <c r="BB180" i="28" s="1"/>
  <c r="AT180" i="28"/>
  <c r="BA180" i="28" s="1"/>
  <c r="AY179" i="28"/>
  <c r="BF179" i="28" s="1"/>
  <c r="AX179" i="28"/>
  <c r="BE179" i="28" s="1"/>
  <c r="AW179" i="28"/>
  <c r="BD179" i="28" s="1"/>
  <c r="AV179" i="28"/>
  <c r="BC179" i="28" s="1"/>
  <c r="AU179" i="28"/>
  <c r="BB179" i="28" s="1"/>
  <c r="AT179" i="28"/>
  <c r="BA179" i="28" s="1"/>
  <c r="AY178" i="28"/>
  <c r="BF178" i="28" s="1"/>
  <c r="AX178" i="28"/>
  <c r="BE178" i="28" s="1"/>
  <c r="AW178" i="28"/>
  <c r="BD178" i="28" s="1"/>
  <c r="AV178" i="28"/>
  <c r="BC178" i="28" s="1"/>
  <c r="AU178" i="28"/>
  <c r="BB178" i="28" s="1"/>
  <c r="AT178" i="28"/>
  <c r="BA178" i="28" s="1"/>
  <c r="AY177" i="28"/>
  <c r="BF177" i="28" s="1"/>
  <c r="AX177" i="28"/>
  <c r="BE177" i="28" s="1"/>
  <c r="AW177" i="28"/>
  <c r="BD177" i="28" s="1"/>
  <c r="AV177" i="28"/>
  <c r="BC177" i="28" s="1"/>
  <c r="AU177" i="28"/>
  <c r="BB177" i="28" s="1"/>
  <c r="AT177" i="28"/>
  <c r="BA177" i="28" s="1"/>
  <c r="AX176" i="28"/>
  <c r="BE176" i="28" s="1"/>
  <c r="AW176" i="28"/>
  <c r="BD176" i="28" s="1"/>
  <c r="AV176" i="28"/>
  <c r="BC176" i="28" s="1"/>
  <c r="AU176" i="28"/>
  <c r="BB176" i="28" s="1"/>
  <c r="AT176" i="28"/>
  <c r="BA176" i="28" s="1"/>
  <c r="AX175" i="28"/>
  <c r="BE175" i="28" s="1"/>
  <c r="AW175" i="28"/>
  <c r="BD175" i="28" s="1"/>
  <c r="AV175" i="28"/>
  <c r="BC175" i="28" s="1"/>
  <c r="AU175" i="28"/>
  <c r="BB175" i="28" s="1"/>
  <c r="AT175" i="28"/>
  <c r="BA175" i="28" s="1"/>
  <c r="AY174" i="28"/>
  <c r="BF174" i="28" s="1"/>
  <c r="AX174" i="28"/>
  <c r="BE174" i="28" s="1"/>
  <c r="AW174" i="28"/>
  <c r="BD174" i="28" s="1"/>
  <c r="AV174" i="28"/>
  <c r="BC174" i="28" s="1"/>
  <c r="AU174" i="28"/>
  <c r="BB174" i="28" s="1"/>
  <c r="AT174" i="28"/>
  <c r="BA174" i="28" s="1"/>
  <c r="AY173" i="28"/>
  <c r="BF173" i="28" s="1"/>
  <c r="AX173" i="28"/>
  <c r="BE173" i="28" s="1"/>
  <c r="AW173" i="28"/>
  <c r="BD173" i="28" s="1"/>
  <c r="AV173" i="28"/>
  <c r="BC173" i="28" s="1"/>
  <c r="AU173" i="28"/>
  <c r="BB173" i="28" s="1"/>
  <c r="AT173" i="28"/>
  <c r="BA173" i="28" s="1"/>
  <c r="AY172" i="28"/>
  <c r="BF172" i="28" s="1"/>
  <c r="AX172" i="28"/>
  <c r="BE172" i="28" s="1"/>
  <c r="AW172" i="28"/>
  <c r="BD172" i="28" s="1"/>
  <c r="AV172" i="28"/>
  <c r="BC172" i="28" s="1"/>
  <c r="AU172" i="28"/>
  <c r="BB172" i="28" s="1"/>
  <c r="AT172" i="28"/>
  <c r="BA172" i="28" s="1"/>
  <c r="AY171" i="28"/>
  <c r="BF171" i="28" s="1"/>
  <c r="AX171" i="28"/>
  <c r="BE171" i="28" s="1"/>
  <c r="AW171" i="28"/>
  <c r="BD171" i="28" s="1"/>
  <c r="AV171" i="28"/>
  <c r="BC171" i="28" s="1"/>
  <c r="AU171" i="28"/>
  <c r="BB171" i="28" s="1"/>
  <c r="AT171" i="28"/>
  <c r="BA171" i="28" s="1"/>
  <c r="AY170" i="28"/>
  <c r="BF170" i="28" s="1"/>
  <c r="AX170" i="28"/>
  <c r="BE170" i="28" s="1"/>
  <c r="AW170" i="28"/>
  <c r="BD170" i="28" s="1"/>
  <c r="AV170" i="28"/>
  <c r="BC170" i="28" s="1"/>
  <c r="AU170" i="28"/>
  <c r="BB170" i="28" s="1"/>
  <c r="AT170" i="28"/>
  <c r="BA170" i="28" s="1"/>
  <c r="AY169" i="28"/>
  <c r="BF169" i="28" s="1"/>
  <c r="AX169" i="28"/>
  <c r="BE169" i="28" s="1"/>
  <c r="AW169" i="28"/>
  <c r="BD169" i="28" s="1"/>
  <c r="AV169" i="28"/>
  <c r="BC169" i="28" s="1"/>
  <c r="AU169" i="28"/>
  <c r="BB169" i="28" s="1"/>
  <c r="AT169" i="28"/>
  <c r="BA169" i="28" s="1"/>
  <c r="AX168" i="28"/>
  <c r="BE168" i="28" s="1"/>
  <c r="AW168" i="28"/>
  <c r="BD168" i="28" s="1"/>
  <c r="AV168" i="28"/>
  <c r="BC168" i="28" s="1"/>
  <c r="AU168" i="28"/>
  <c r="BB168" i="28" s="1"/>
  <c r="AT168" i="28"/>
  <c r="BA168" i="28" s="1"/>
  <c r="AX167" i="28"/>
  <c r="BE167" i="28" s="1"/>
  <c r="AW167" i="28"/>
  <c r="BD167" i="28" s="1"/>
  <c r="AV167" i="28"/>
  <c r="BC167" i="28" s="1"/>
  <c r="AU167" i="28"/>
  <c r="BB167" i="28" s="1"/>
  <c r="AT167" i="28"/>
  <c r="BA167" i="28" s="1"/>
  <c r="AY166" i="28"/>
  <c r="BF166" i="28" s="1"/>
  <c r="AX166" i="28"/>
  <c r="BE166" i="28" s="1"/>
  <c r="AW166" i="28"/>
  <c r="BD166" i="28" s="1"/>
  <c r="AV166" i="28"/>
  <c r="BC166" i="28" s="1"/>
  <c r="AU166" i="28"/>
  <c r="BB166" i="28" s="1"/>
  <c r="AT166" i="28"/>
  <c r="BA166" i="28" s="1"/>
  <c r="AY165" i="28"/>
  <c r="BF165" i="28" s="1"/>
  <c r="AX165" i="28"/>
  <c r="BE165" i="28" s="1"/>
  <c r="AW165" i="28"/>
  <c r="BD165" i="28" s="1"/>
  <c r="AV165" i="28"/>
  <c r="BC165" i="28" s="1"/>
  <c r="AU165" i="28"/>
  <c r="BB165" i="28" s="1"/>
  <c r="AT165" i="28"/>
  <c r="BA165" i="28" s="1"/>
  <c r="AY164" i="28"/>
  <c r="BF164" i="28" s="1"/>
  <c r="AX164" i="28"/>
  <c r="BE164" i="28" s="1"/>
  <c r="AW164" i="28"/>
  <c r="BD164" i="28" s="1"/>
  <c r="AV164" i="28"/>
  <c r="BC164" i="28" s="1"/>
  <c r="AU164" i="28"/>
  <c r="BB164" i="28" s="1"/>
  <c r="AT164" i="28"/>
  <c r="BA164" i="28" s="1"/>
  <c r="AY163" i="28"/>
  <c r="BF163" i="28" s="1"/>
  <c r="AX163" i="28"/>
  <c r="BE163" i="28" s="1"/>
  <c r="AW163" i="28"/>
  <c r="BD163" i="28" s="1"/>
  <c r="AV163" i="28"/>
  <c r="BC163" i="28" s="1"/>
  <c r="AU163" i="28"/>
  <c r="BB163" i="28" s="1"/>
  <c r="AT163" i="28"/>
  <c r="BA163" i="28" s="1"/>
  <c r="AY162" i="28"/>
  <c r="BF162" i="28" s="1"/>
  <c r="AX162" i="28"/>
  <c r="BE162" i="28" s="1"/>
  <c r="AW162" i="28"/>
  <c r="BD162" i="28" s="1"/>
  <c r="AV162" i="28"/>
  <c r="BC162" i="28" s="1"/>
  <c r="AU162" i="28"/>
  <c r="BB162" i="28" s="1"/>
  <c r="AT162" i="28"/>
  <c r="BA162" i="28" s="1"/>
  <c r="AY161" i="28"/>
  <c r="BF161" i="28" s="1"/>
  <c r="AX161" i="28"/>
  <c r="BE161" i="28" s="1"/>
  <c r="AW161" i="28"/>
  <c r="BD161" i="28" s="1"/>
  <c r="AV161" i="28"/>
  <c r="BC161" i="28" s="1"/>
  <c r="AU161" i="28"/>
  <c r="BB161" i="28" s="1"/>
  <c r="AT161" i="28"/>
  <c r="BA161" i="28" s="1"/>
  <c r="AX160" i="28"/>
  <c r="BE160" i="28" s="1"/>
  <c r="AW160" i="28"/>
  <c r="BD160" i="28" s="1"/>
  <c r="AV160" i="28"/>
  <c r="BC160" i="28" s="1"/>
  <c r="AU160" i="28"/>
  <c r="BB160" i="28" s="1"/>
  <c r="AT160" i="28"/>
  <c r="BA160" i="28" s="1"/>
  <c r="AY159" i="28"/>
  <c r="BF159" i="28" s="1"/>
  <c r="AX159" i="28"/>
  <c r="BE159" i="28" s="1"/>
  <c r="AW159" i="28"/>
  <c r="BD159" i="28" s="1"/>
  <c r="AV159" i="28"/>
  <c r="BC159" i="28" s="1"/>
  <c r="AU159" i="28"/>
  <c r="BB159" i="28" s="1"/>
  <c r="AT159" i="28"/>
  <c r="BA159" i="28" s="1"/>
  <c r="AY158" i="28"/>
  <c r="BF158" i="28" s="1"/>
  <c r="AX158" i="28"/>
  <c r="BE158" i="28" s="1"/>
  <c r="AW158" i="28"/>
  <c r="BD158" i="28" s="1"/>
  <c r="AV158" i="28"/>
  <c r="BC158" i="28" s="1"/>
  <c r="AU158" i="28"/>
  <c r="BB158" i="28" s="1"/>
  <c r="AT158" i="28"/>
  <c r="BA158" i="28" s="1"/>
  <c r="AY157" i="28"/>
  <c r="BF157" i="28" s="1"/>
  <c r="AX157" i="28"/>
  <c r="BE157" i="28" s="1"/>
  <c r="AW157" i="28"/>
  <c r="BD157" i="28" s="1"/>
  <c r="AV157" i="28"/>
  <c r="BC157" i="28" s="1"/>
  <c r="AU157" i="28"/>
  <c r="BB157" i="28" s="1"/>
  <c r="AT157" i="28"/>
  <c r="BA157" i="28" s="1"/>
  <c r="AY156" i="28"/>
  <c r="BF156" i="28" s="1"/>
  <c r="AX156" i="28"/>
  <c r="BE156" i="28" s="1"/>
  <c r="AW156" i="28"/>
  <c r="BD156" i="28" s="1"/>
  <c r="AV156" i="28"/>
  <c r="BC156" i="28" s="1"/>
  <c r="AU156" i="28"/>
  <c r="BB156" i="28" s="1"/>
  <c r="AT156" i="28"/>
  <c r="BA156" i="28" s="1"/>
  <c r="AY155" i="28"/>
  <c r="BF155" i="28" s="1"/>
  <c r="AX155" i="28"/>
  <c r="BE155" i="28" s="1"/>
  <c r="AW155" i="28"/>
  <c r="BD155" i="28" s="1"/>
  <c r="AV155" i="28"/>
  <c r="BC155" i="28" s="1"/>
  <c r="AU155" i="28"/>
  <c r="BB155" i="28" s="1"/>
  <c r="AT155" i="28"/>
  <c r="BA155" i="28" s="1"/>
  <c r="AY154" i="28"/>
  <c r="BF154" i="28" s="1"/>
  <c r="AX154" i="28"/>
  <c r="BE154" i="28" s="1"/>
  <c r="AW154" i="28"/>
  <c r="BD154" i="28" s="1"/>
  <c r="AV154" i="28"/>
  <c r="BC154" i="28" s="1"/>
  <c r="AU154" i="28"/>
  <c r="BB154" i="28" s="1"/>
  <c r="AT154" i="28"/>
  <c r="BA154" i="28" s="1"/>
  <c r="AY153" i="28"/>
  <c r="BF153" i="28" s="1"/>
  <c r="AX153" i="28"/>
  <c r="BE153" i="28" s="1"/>
  <c r="AW153" i="28"/>
  <c r="BD153" i="28" s="1"/>
  <c r="AV153" i="28"/>
  <c r="BC153" i="28" s="1"/>
  <c r="AU153" i="28"/>
  <c r="BB153" i="28" s="1"/>
  <c r="AT153" i="28"/>
  <c r="BA153" i="28" s="1"/>
  <c r="AX152" i="28"/>
  <c r="BE152" i="28" s="1"/>
  <c r="AW152" i="28"/>
  <c r="BD152" i="28" s="1"/>
  <c r="AV152" i="28"/>
  <c r="BC152" i="28" s="1"/>
  <c r="AU152" i="28"/>
  <c r="BB152" i="28" s="1"/>
  <c r="AT152" i="28"/>
  <c r="BA152" i="28" s="1"/>
  <c r="AX151" i="28"/>
  <c r="BE151" i="28" s="1"/>
  <c r="AW151" i="28"/>
  <c r="BD151" i="28" s="1"/>
  <c r="AV151" i="28"/>
  <c r="BC151" i="28" s="1"/>
  <c r="AU151" i="28"/>
  <c r="BB151" i="28" s="1"/>
  <c r="AT151" i="28"/>
  <c r="BA151" i="28" s="1"/>
  <c r="AY150" i="28"/>
  <c r="BF150" i="28" s="1"/>
  <c r="AX150" i="28"/>
  <c r="BE150" i="28" s="1"/>
  <c r="AW150" i="28"/>
  <c r="BD150" i="28" s="1"/>
  <c r="AV150" i="28"/>
  <c r="BC150" i="28" s="1"/>
  <c r="AU150" i="28"/>
  <c r="BB150" i="28" s="1"/>
  <c r="AT150" i="28"/>
  <c r="BA150" i="28" s="1"/>
  <c r="AY149" i="28"/>
  <c r="BF149" i="28" s="1"/>
  <c r="AX149" i="28"/>
  <c r="BE149" i="28" s="1"/>
  <c r="AW149" i="28"/>
  <c r="BD149" i="28" s="1"/>
  <c r="AV149" i="28"/>
  <c r="BC149" i="28" s="1"/>
  <c r="AU149" i="28"/>
  <c r="BB149" i="28" s="1"/>
  <c r="AT149" i="28"/>
  <c r="BA149" i="28" s="1"/>
  <c r="AY148" i="28"/>
  <c r="BF148" i="28" s="1"/>
  <c r="AX148" i="28"/>
  <c r="BE148" i="28" s="1"/>
  <c r="AW148" i="28"/>
  <c r="BD148" i="28" s="1"/>
  <c r="AV148" i="28"/>
  <c r="BC148" i="28" s="1"/>
  <c r="AU148" i="28"/>
  <c r="BB148" i="28" s="1"/>
  <c r="AT148" i="28"/>
  <c r="BA148" i="28" s="1"/>
  <c r="AY147" i="28"/>
  <c r="BF147" i="28" s="1"/>
  <c r="AX147" i="28"/>
  <c r="BE147" i="28" s="1"/>
  <c r="AW147" i="28"/>
  <c r="BD147" i="28" s="1"/>
  <c r="AV147" i="28"/>
  <c r="BC147" i="28" s="1"/>
  <c r="AU147" i="28"/>
  <c r="BB147" i="28" s="1"/>
  <c r="AT147" i="28"/>
  <c r="BA147" i="28" s="1"/>
  <c r="AY146" i="28"/>
  <c r="BF146" i="28" s="1"/>
  <c r="AX146" i="28"/>
  <c r="BE146" i="28" s="1"/>
  <c r="AW146" i="28"/>
  <c r="BD146" i="28" s="1"/>
  <c r="AV146" i="28"/>
  <c r="BC146" i="28" s="1"/>
  <c r="AU146" i="28"/>
  <c r="BB146" i="28" s="1"/>
  <c r="AT146" i="28"/>
  <c r="BA146" i="28" s="1"/>
  <c r="AY145" i="28"/>
  <c r="BF145" i="28" s="1"/>
  <c r="AX145" i="28"/>
  <c r="BE145" i="28" s="1"/>
  <c r="AW145" i="28"/>
  <c r="BD145" i="28" s="1"/>
  <c r="AV145" i="28"/>
  <c r="BC145" i="28" s="1"/>
  <c r="AU145" i="28"/>
  <c r="BB145" i="28" s="1"/>
  <c r="AT145" i="28"/>
  <c r="BA145" i="28" s="1"/>
  <c r="AX144" i="28"/>
  <c r="BE144" i="28" s="1"/>
  <c r="AW144" i="28"/>
  <c r="BD144" i="28" s="1"/>
  <c r="AV144" i="28"/>
  <c r="BC144" i="28" s="1"/>
  <c r="AU144" i="28"/>
  <c r="BB144" i="28" s="1"/>
  <c r="AT144" i="28"/>
  <c r="BA144" i="28" s="1"/>
  <c r="AX143" i="28"/>
  <c r="BE143" i="28" s="1"/>
  <c r="AW143" i="28"/>
  <c r="BD143" i="28" s="1"/>
  <c r="AV143" i="28"/>
  <c r="BC143" i="28" s="1"/>
  <c r="AU143" i="28"/>
  <c r="BB143" i="28" s="1"/>
  <c r="AT143" i="28"/>
  <c r="BA143" i="28" s="1"/>
  <c r="AY142" i="28"/>
  <c r="BF142" i="28" s="1"/>
  <c r="AX142" i="28"/>
  <c r="BE142" i="28" s="1"/>
  <c r="AW142" i="28"/>
  <c r="BD142" i="28" s="1"/>
  <c r="AV142" i="28"/>
  <c r="BC142" i="28" s="1"/>
  <c r="AU142" i="28"/>
  <c r="BB142" i="28" s="1"/>
  <c r="AT142" i="28"/>
  <c r="BA142" i="28" s="1"/>
  <c r="AY141" i="28"/>
  <c r="BF141" i="28" s="1"/>
  <c r="AX141" i="28"/>
  <c r="BE141" i="28" s="1"/>
  <c r="AW141" i="28"/>
  <c r="BD141" i="28" s="1"/>
  <c r="AV141" i="28"/>
  <c r="BC141" i="28" s="1"/>
  <c r="AU141" i="28"/>
  <c r="BB141" i="28" s="1"/>
  <c r="AT141" i="28"/>
  <c r="BA141" i="28" s="1"/>
  <c r="AY140" i="28"/>
  <c r="BF140" i="28" s="1"/>
  <c r="AX140" i="28"/>
  <c r="BE140" i="28" s="1"/>
  <c r="AW140" i="28"/>
  <c r="BD140" i="28" s="1"/>
  <c r="AV140" i="28"/>
  <c r="BC140" i="28" s="1"/>
  <c r="AU140" i="28"/>
  <c r="BB140" i="28" s="1"/>
  <c r="AT140" i="28"/>
  <c r="BA140" i="28" s="1"/>
  <c r="AY139" i="28"/>
  <c r="BF139" i="28" s="1"/>
  <c r="AX139" i="28"/>
  <c r="BE139" i="28" s="1"/>
  <c r="AW139" i="28"/>
  <c r="BD139" i="28" s="1"/>
  <c r="AV139" i="28"/>
  <c r="BC139" i="28" s="1"/>
  <c r="AU139" i="28"/>
  <c r="BB139" i="28" s="1"/>
  <c r="AT139" i="28"/>
  <c r="BA139" i="28" s="1"/>
  <c r="AY138" i="28"/>
  <c r="BF138" i="28" s="1"/>
  <c r="AX138" i="28"/>
  <c r="BE138" i="28" s="1"/>
  <c r="AW138" i="28"/>
  <c r="BD138" i="28" s="1"/>
  <c r="AV138" i="28"/>
  <c r="BC138" i="28" s="1"/>
  <c r="AU138" i="28"/>
  <c r="BB138" i="28" s="1"/>
  <c r="AT138" i="28"/>
  <c r="BA138" i="28" s="1"/>
  <c r="AY137" i="28"/>
  <c r="BF137" i="28" s="1"/>
  <c r="AX137" i="28"/>
  <c r="BE137" i="28" s="1"/>
  <c r="AW137" i="28"/>
  <c r="BD137" i="28" s="1"/>
  <c r="AV137" i="28"/>
  <c r="BC137" i="28" s="1"/>
  <c r="AU137" i="28"/>
  <c r="BB137" i="28" s="1"/>
  <c r="AT137" i="28"/>
  <c r="BA137" i="28" s="1"/>
  <c r="AX136" i="28"/>
  <c r="BE136" i="28" s="1"/>
  <c r="AW136" i="28"/>
  <c r="BD136" i="28" s="1"/>
  <c r="AV136" i="28"/>
  <c r="BC136" i="28" s="1"/>
  <c r="AU136" i="28"/>
  <c r="BB136" i="28" s="1"/>
  <c r="AT136" i="28"/>
  <c r="BA136" i="28" s="1"/>
  <c r="AX135" i="28"/>
  <c r="BE135" i="28" s="1"/>
  <c r="AW135" i="28"/>
  <c r="BD135" i="28" s="1"/>
  <c r="AV135" i="28"/>
  <c r="BC135" i="28" s="1"/>
  <c r="AU135" i="28"/>
  <c r="BB135" i="28" s="1"/>
  <c r="AT135" i="28"/>
  <c r="BA135" i="28" s="1"/>
  <c r="AY134" i="28"/>
  <c r="BF134" i="28" s="1"/>
  <c r="AX134" i="28"/>
  <c r="BE134" i="28" s="1"/>
  <c r="AW134" i="28"/>
  <c r="BD134" i="28" s="1"/>
  <c r="AV134" i="28"/>
  <c r="BC134" i="28" s="1"/>
  <c r="AU134" i="28"/>
  <c r="BB134" i="28" s="1"/>
  <c r="AT134" i="28"/>
  <c r="BA134" i="28" s="1"/>
  <c r="AY133" i="28"/>
  <c r="BF133" i="28" s="1"/>
  <c r="AX133" i="28"/>
  <c r="BE133" i="28" s="1"/>
  <c r="AW133" i="28"/>
  <c r="BD133" i="28" s="1"/>
  <c r="AV133" i="28"/>
  <c r="BC133" i="28" s="1"/>
  <c r="AU133" i="28"/>
  <c r="BB133" i="28" s="1"/>
  <c r="AT133" i="28"/>
  <c r="BA133" i="28" s="1"/>
  <c r="AY132" i="28"/>
  <c r="BF132" i="28" s="1"/>
  <c r="AX132" i="28"/>
  <c r="BE132" i="28" s="1"/>
  <c r="AW132" i="28"/>
  <c r="BD132" i="28" s="1"/>
  <c r="AV132" i="28"/>
  <c r="BC132" i="28" s="1"/>
  <c r="AU132" i="28"/>
  <c r="BB132" i="28" s="1"/>
  <c r="AT132" i="28"/>
  <c r="BA132" i="28" s="1"/>
  <c r="AY131" i="28"/>
  <c r="BF131" i="28" s="1"/>
  <c r="AX131" i="28"/>
  <c r="BE131" i="28" s="1"/>
  <c r="AW131" i="28"/>
  <c r="BD131" i="28" s="1"/>
  <c r="AV131" i="28"/>
  <c r="BC131" i="28" s="1"/>
  <c r="AU131" i="28"/>
  <c r="BB131" i="28" s="1"/>
  <c r="AT131" i="28"/>
  <c r="BA131" i="28" s="1"/>
  <c r="AY130" i="28"/>
  <c r="BF130" i="28" s="1"/>
  <c r="AX130" i="28"/>
  <c r="BE130" i="28" s="1"/>
  <c r="AW130" i="28"/>
  <c r="BD130" i="28" s="1"/>
  <c r="AV130" i="28"/>
  <c r="BC130" i="28" s="1"/>
  <c r="AU130" i="28"/>
  <c r="BB130" i="28" s="1"/>
  <c r="AT130" i="28"/>
  <c r="BA130" i="28" s="1"/>
  <c r="AY129" i="28"/>
  <c r="BF129" i="28" s="1"/>
  <c r="AX129" i="28"/>
  <c r="BE129" i="28" s="1"/>
  <c r="AW129" i="28"/>
  <c r="BD129" i="28" s="1"/>
  <c r="AV129" i="28"/>
  <c r="BC129" i="28" s="1"/>
  <c r="AU129" i="28"/>
  <c r="BB129" i="28" s="1"/>
  <c r="AT129" i="28"/>
  <c r="BA129" i="28" s="1"/>
  <c r="AX128" i="28"/>
  <c r="BE128" i="28" s="1"/>
  <c r="AW128" i="28"/>
  <c r="BD128" i="28" s="1"/>
  <c r="AV128" i="28"/>
  <c r="BC128" i="28" s="1"/>
  <c r="AU128" i="28"/>
  <c r="BB128" i="28" s="1"/>
  <c r="AT128" i="28"/>
  <c r="BA128" i="28" s="1"/>
  <c r="AX127" i="28"/>
  <c r="BE127" i="28" s="1"/>
  <c r="AW127" i="28"/>
  <c r="BD127" i="28" s="1"/>
  <c r="AV127" i="28"/>
  <c r="BC127" i="28" s="1"/>
  <c r="AU127" i="28"/>
  <c r="BB127" i="28" s="1"/>
  <c r="AT127" i="28"/>
  <c r="BA127" i="28" s="1"/>
  <c r="AY126" i="28"/>
  <c r="BF126" i="28" s="1"/>
  <c r="AX126" i="28"/>
  <c r="BE126" i="28" s="1"/>
  <c r="AW126" i="28"/>
  <c r="BD126" i="28" s="1"/>
  <c r="AV126" i="28"/>
  <c r="BC126" i="28" s="1"/>
  <c r="AU126" i="28"/>
  <c r="BB126" i="28" s="1"/>
  <c r="AT126" i="28"/>
  <c r="BA126" i="28" s="1"/>
  <c r="AY125" i="28"/>
  <c r="BF125" i="28" s="1"/>
  <c r="AX125" i="28"/>
  <c r="BE125" i="28" s="1"/>
  <c r="AW125" i="28"/>
  <c r="BD125" i="28" s="1"/>
  <c r="AV125" i="28"/>
  <c r="BC125" i="28" s="1"/>
  <c r="AU125" i="28"/>
  <c r="BB125" i="28" s="1"/>
  <c r="AT125" i="28"/>
  <c r="BA125" i="28" s="1"/>
  <c r="AY124" i="28"/>
  <c r="BF124" i="28" s="1"/>
  <c r="AX124" i="28"/>
  <c r="BE124" i="28" s="1"/>
  <c r="AW124" i="28"/>
  <c r="BD124" i="28" s="1"/>
  <c r="AV124" i="28"/>
  <c r="BC124" i="28" s="1"/>
  <c r="AU124" i="28"/>
  <c r="BB124" i="28" s="1"/>
  <c r="AT124" i="28"/>
  <c r="BA124" i="28" s="1"/>
  <c r="AY123" i="28"/>
  <c r="BF123" i="28" s="1"/>
  <c r="AX123" i="28"/>
  <c r="BE123" i="28" s="1"/>
  <c r="AW123" i="28"/>
  <c r="BD123" i="28" s="1"/>
  <c r="AV123" i="28"/>
  <c r="BC123" i="28" s="1"/>
  <c r="AU123" i="28"/>
  <c r="BB123" i="28" s="1"/>
  <c r="AT123" i="28"/>
  <c r="BA123" i="28" s="1"/>
  <c r="AY122" i="28"/>
  <c r="BF122" i="28" s="1"/>
  <c r="AX122" i="28"/>
  <c r="BE122" i="28" s="1"/>
  <c r="AW122" i="28"/>
  <c r="BD122" i="28" s="1"/>
  <c r="AV122" i="28"/>
  <c r="BC122" i="28" s="1"/>
  <c r="AU122" i="28"/>
  <c r="BB122" i="28" s="1"/>
  <c r="AT122" i="28"/>
  <c r="BA122" i="28" s="1"/>
  <c r="AY121" i="28"/>
  <c r="BF121" i="28" s="1"/>
  <c r="AX121" i="28"/>
  <c r="BE121" i="28" s="1"/>
  <c r="AW121" i="28"/>
  <c r="BD121" i="28" s="1"/>
  <c r="AV121" i="28"/>
  <c r="BC121" i="28" s="1"/>
  <c r="AU121" i="28"/>
  <c r="BB121" i="28" s="1"/>
  <c r="AT121" i="28"/>
  <c r="BA121" i="28" s="1"/>
  <c r="AX120" i="28"/>
  <c r="BE120" i="28" s="1"/>
  <c r="AW120" i="28"/>
  <c r="BD120" i="28" s="1"/>
  <c r="AV120" i="28"/>
  <c r="BC120" i="28" s="1"/>
  <c r="AU120" i="28"/>
  <c r="BB120" i="28" s="1"/>
  <c r="AT120" i="28"/>
  <c r="BA120" i="28" s="1"/>
  <c r="AX119" i="28"/>
  <c r="BE119" i="28" s="1"/>
  <c r="AW119" i="28"/>
  <c r="BD119" i="28" s="1"/>
  <c r="AV119" i="28"/>
  <c r="BC119" i="28" s="1"/>
  <c r="AU119" i="28"/>
  <c r="BB119" i="28" s="1"/>
  <c r="AT119" i="28"/>
  <c r="BA119" i="28" s="1"/>
  <c r="AY118" i="28"/>
  <c r="BF118" i="28" s="1"/>
  <c r="AX118" i="28"/>
  <c r="BE118" i="28" s="1"/>
  <c r="AW118" i="28"/>
  <c r="BD118" i="28" s="1"/>
  <c r="AV118" i="28"/>
  <c r="BC118" i="28" s="1"/>
  <c r="AU118" i="28"/>
  <c r="BB118" i="28" s="1"/>
  <c r="AT118" i="28"/>
  <c r="BA118" i="28" s="1"/>
  <c r="AY117" i="28"/>
  <c r="BF117" i="28" s="1"/>
  <c r="AX117" i="28"/>
  <c r="BE117" i="28" s="1"/>
  <c r="AW117" i="28"/>
  <c r="BD117" i="28" s="1"/>
  <c r="AV117" i="28"/>
  <c r="BC117" i="28" s="1"/>
  <c r="AU117" i="28"/>
  <c r="BB117" i="28" s="1"/>
  <c r="AT117" i="28"/>
  <c r="BA117" i="28" s="1"/>
  <c r="AY116" i="28"/>
  <c r="BF116" i="28" s="1"/>
  <c r="AX116" i="28"/>
  <c r="BE116" i="28" s="1"/>
  <c r="AW116" i="28"/>
  <c r="BD116" i="28" s="1"/>
  <c r="AV116" i="28"/>
  <c r="BC116" i="28" s="1"/>
  <c r="AU116" i="28"/>
  <c r="BB116" i="28" s="1"/>
  <c r="AT116" i="28"/>
  <c r="BA116" i="28" s="1"/>
  <c r="AY115" i="28"/>
  <c r="BF115" i="28" s="1"/>
  <c r="AX115" i="28"/>
  <c r="BE115" i="28" s="1"/>
  <c r="AW115" i="28"/>
  <c r="BD115" i="28" s="1"/>
  <c r="AV115" i="28"/>
  <c r="BC115" i="28" s="1"/>
  <c r="AU115" i="28"/>
  <c r="BB115" i="28" s="1"/>
  <c r="AT115" i="28"/>
  <c r="BA115" i="28" s="1"/>
  <c r="AY114" i="28"/>
  <c r="BF114" i="28" s="1"/>
  <c r="AX114" i="28"/>
  <c r="BE114" i="28" s="1"/>
  <c r="AW114" i="28"/>
  <c r="BD114" i="28" s="1"/>
  <c r="AV114" i="28"/>
  <c r="BC114" i="28" s="1"/>
  <c r="AU114" i="28"/>
  <c r="BB114" i="28" s="1"/>
  <c r="AT114" i="28"/>
  <c r="BA114" i="28" s="1"/>
  <c r="AY113" i="28"/>
  <c r="BF113" i="28" s="1"/>
  <c r="AX113" i="28"/>
  <c r="BE113" i="28" s="1"/>
  <c r="AW113" i="28"/>
  <c r="BD113" i="28" s="1"/>
  <c r="AV113" i="28"/>
  <c r="BC113" i="28" s="1"/>
  <c r="AU113" i="28"/>
  <c r="BB113" i="28" s="1"/>
  <c r="AT113" i="28"/>
  <c r="BA113" i="28" s="1"/>
  <c r="AX112" i="28"/>
  <c r="BE112" i="28" s="1"/>
  <c r="AW112" i="28"/>
  <c r="BD112" i="28" s="1"/>
  <c r="AV112" i="28"/>
  <c r="BC112" i="28" s="1"/>
  <c r="AU112" i="28"/>
  <c r="BB112" i="28" s="1"/>
  <c r="AT112" i="28"/>
  <c r="BA112" i="28" s="1"/>
  <c r="AX111" i="28"/>
  <c r="BE111" i="28" s="1"/>
  <c r="AW111" i="28"/>
  <c r="BD111" i="28" s="1"/>
  <c r="AV111" i="28"/>
  <c r="BC111" i="28" s="1"/>
  <c r="AU111" i="28"/>
  <c r="BB111" i="28" s="1"/>
  <c r="AT111" i="28"/>
  <c r="BA111" i="28" s="1"/>
  <c r="AY110" i="28"/>
  <c r="BF110" i="28" s="1"/>
  <c r="AX110" i="28"/>
  <c r="BE110" i="28" s="1"/>
  <c r="AW110" i="28"/>
  <c r="BD110" i="28" s="1"/>
  <c r="AV110" i="28"/>
  <c r="BC110" i="28" s="1"/>
  <c r="AU110" i="28"/>
  <c r="BB110" i="28" s="1"/>
  <c r="AT110" i="28"/>
  <c r="BA110" i="28" s="1"/>
  <c r="AY109" i="28"/>
  <c r="BF109" i="28" s="1"/>
  <c r="AX109" i="28"/>
  <c r="BE109" i="28" s="1"/>
  <c r="AW109" i="28"/>
  <c r="BD109" i="28" s="1"/>
  <c r="AV109" i="28"/>
  <c r="BC109" i="28" s="1"/>
  <c r="AU109" i="28"/>
  <c r="BB109" i="28" s="1"/>
  <c r="AT109" i="28"/>
  <c r="BA109" i="28" s="1"/>
  <c r="AY108" i="28"/>
  <c r="BF108" i="28" s="1"/>
  <c r="AX108" i="28"/>
  <c r="BE108" i="28" s="1"/>
  <c r="AW108" i="28"/>
  <c r="BD108" i="28" s="1"/>
  <c r="AV108" i="28"/>
  <c r="BC108" i="28" s="1"/>
  <c r="AU108" i="28"/>
  <c r="BB108" i="28" s="1"/>
  <c r="AT108" i="28"/>
  <c r="BA108" i="28" s="1"/>
  <c r="AY107" i="28"/>
  <c r="BF107" i="28" s="1"/>
  <c r="AX107" i="28"/>
  <c r="BE107" i="28" s="1"/>
  <c r="AW107" i="28"/>
  <c r="BD107" i="28" s="1"/>
  <c r="AV107" i="28"/>
  <c r="BC107" i="28" s="1"/>
  <c r="AU107" i="28"/>
  <c r="BB107" i="28" s="1"/>
  <c r="AT107" i="28"/>
  <c r="BA107" i="28" s="1"/>
  <c r="AY106" i="28"/>
  <c r="BF106" i="28" s="1"/>
  <c r="AX106" i="28"/>
  <c r="BE106" i="28" s="1"/>
  <c r="AW106" i="28"/>
  <c r="BD106" i="28" s="1"/>
  <c r="AV106" i="28"/>
  <c r="BC106" i="28" s="1"/>
  <c r="AU106" i="28"/>
  <c r="BB106" i="28" s="1"/>
  <c r="AT106" i="28"/>
  <c r="BA106" i="28" s="1"/>
  <c r="AY105" i="28"/>
  <c r="BF105" i="28" s="1"/>
  <c r="AX105" i="28"/>
  <c r="BE105" i="28" s="1"/>
  <c r="AW105" i="28"/>
  <c r="BD105" i="28" s="1"/>
  <c r="AV105" i="28"/>
  <c r="BC105" i="28" s="1"/>
  <c r="AU105" i="28"/>
  <c r="BB105" i="28" s="1"/>
  <c r="AT105" i="28"/>
  <c r="BA105" i="28" s="1"/>
  <c r="AX104" i="28"/>
  <c r="BE104" i="28" s="1"/>
  <c r="AW104" i="28"/>
  <c r="BD104" i="28" s="1"/>
  <c r="AV104" i="28"/>
  <c r="BC104" i="28" s="1"/>
  <c r="AU104" i="28"/>
  <c r="BB104" i="28" s="1"/>
  <c r="AT104" i="28"/>
  <c r="BA104" i="28" s="1"/>
  <c r="AX103" i="28"/>
  <c r="BE103" i="28" s="1"/>
  <c r="AW103" i="28"/>
  <c r="BD103" i="28" s="1"/>
  <c r="AV103" i="28"/>
  <c r="BC103" i="28" s="1"/>
  <c r="AU103" i="28"/>
  <c r="BB103" i="28" s="1"/>
  <c r="AT103" i="28"/>
  <c r="BA103" i="28" s="1"/>
  <c r="AY102" i="28"/>
  <c r="BF102" i="28" s="1"/>
  <c r="AX102" i="28"/>
  <c r="BE102" i="28" s="1"/>
  <c r="AW102" i="28"/>
  <c r="BD102" i="28" s="1"/>
  <c r="AV102" i="28"/>
  <c r="BC102" i="28" s="1"/>
  <c r="AU102" i="28"/>
  <c r="BB102" i="28" s="1"/>
  <c r="AT102" i="28"/>
  <c r="BA102" i="28" s="1"/>
  <c r="AY101" i="28"/>
  <c r="BF101" i="28" s="1"/>
  <c r="AX101" i="28"/>
  <c r="BE101" i="28" s="1"/>
  <c r="AW101" i="28"/>
  <c r="BD101" i="28" s="1"/>
  <c r="AV101" i="28"/>
  <c r="BC101" i="28" s="1"/>
  <c r="AU101" i="28"/>
  <c r="BB101" i="28" s="1"/>
  <c r="AT101" i="28"/>
  <c r="BA101" i="28" s="1"/>
  <c r="AY100" i="28"/>
  <c r="BF100" i="28" s="1"/>
  <c r="AX100" i="28"/>
  <c r="BE100" i="28" s="1"/>
  <c r="AW100" i="28"/>
  <c r="BD100" i="28" s="1"/>
  <c r="AV100" i="28"/>
  <c r="BC100" i="28" s="1"/>
  <c r="AU100" i="28"/>
  <c r="BB100" i="28" s="1"/>
  <c r="AT100" i="28"/>
  <c r="BA100" i="28" s="1"/>
  <c r="AY99" i="28"/>
  <c r="BF99" i="28" s="1"/>
  <c r="AX99" i="28"/>
  <c r="BE99" i="28" s="1"/>
  <c r="AW99" i="28"/>
  <c r="BD99" i="28" s="1"/>
  <c r="AV99" i="28"/>
  <c r="BC99" i="28" s="1"/>
  <c r="AU99" i="28"/>
  <c r="BB99" i="28" s="1"/>
  <c r="AT99" i="28"/>
  <c r="BA99" i="28" s="1"/>
  <c r="AY98" i="28"/>
  <c r="BF98" i="28" s="1"/>
  <c r="AX98" i="28"/>
  <c r="BE98" i="28" s="1"/>
  <c r="AW98" i="28"/>
  <c r="BD98" i="28" s="1"/>
  <c r="AV98" i="28"/>
  <c r="BC98" i="28" s="1"/>
  <c r="AU98" i="28"/>
  <c r="BB98" i="28" s="1"/>
  <c r="AT98" i="28"/>
  <c r="BA98" i="28" s="1"/>
  <c r="AY97" i="28"/>
  <c r="BF97" i="28" s="1"/>
  <c r="AX97" i="28"/>
  <c r="BE97" i="28" s="1"/>
  <c r="AW97" i="28"/>
  <c r="BD97" i="28" s="1"/>
  <c r="AV97" i="28"/>
  <c r="BC97" i="28" s="1"/>
  <c r="AU97" i="28"/>
  <c r="BB97" i="28" s="1"/>
  <c r="AT97" i="28"/>
  <c r="BA97" i="28" s="1"/>
  <c r="AX96" i="28"/>
  <c r="BE96" i="28" s="1"/>
  <c r="AW96" i="28"/>
  <c r="BD96" i="28" s="1"/>
  <c r="AV96" i="28"/>
  <c r="BC96" i="28" s="1"/>
  <c r="AU96" i="28"/>
  <c r="BB96" i="28" s="1"/>
  <c r="AT96" i="28"/>
  <c r="BA96" i="28" s="1"/>
  <c r="AX95" i="28"/>
  <c r="BE95" i="28" s="1"/>
  <c r="AW95" i="28"/>
  <c r="BD95" i="28" s="1"/>
  <c r="AV95" i="28"/>
  <c r="BC95" i="28" s="1"/>
  <c r="AU95" i="28"/>
  <c r="BB95" i="28" s="1"/>
  <c r="AT95" i="28"/>
  <c r="BA95" i="28" s="1"/>
  <c r="AY94" i="28"/>
  <c r="BF94" i="28" s="1"/>
  <c r="AX94" i="28"/>
  <c r="BE94" i="28" s="1"/>
  <c r="AW94" i="28"/>
  <c r="BD94" i="28" s="1"/>
  <c r="AV94" i="28"/>
  <c r="BC94" i="28" s="1"/>
  <c r="AU94" i="28"/>
  <c r="BB94" i="28" s="1"/>
  <c r="AT94" i="28"/>
  <c r="BA94" i="28" s="1"/>
  <c r="AY93" i="28"/>
  <c r="BF93" i="28" s="1"/>
  <c r="AX93" i="28"/>
  <c r="BE93" i="28" s="1"/>
  <c r="AW93" i="28"/>
  <c r="BD93" i="28" s="1"/>
  <c r="AV93" i="28"/>
  <c r="BC93" i="28" s="1"/>
  <c r="AU93" i="28"/>
  <c r="BB93" i="28" s="1"/>
  <c r="AT93" i="28"/>
  <c r="BA93" i="28" s="1"/>
  <c r="AY92" i="28"/>
  <c r="BF92" i="28" s="1"/>
  <c r="AX92" i="28"/>
  <c r="BE92" i="28" s="1"/>
  <c r="AW92" i="28"/>
  <c r="BD92" i="28" s="1"/>
  <c r="AV92" i="28"/>
  <c r="BC92" i="28" s="1"/>
  <c r="AU92" i="28"/>
  <c r="BB92" i="28" s="1"/>
  <c r="AT92" i="28"/>
  <c r="BA92" i="28" s="1"/>
  <c r="AY91" i="28"/>
  <c r="BF91" i="28" s="1"/>
  <c r="AX91" i="28"/>
  <c r="BE91" i="28" s="1"/>
  <c r="AW91" i="28"/>
  <c r="BD91" i="28" s="1"/>
  <c r="AV91" i="28"/>
  <c r="BC91" i="28" s="1"/>
  <c r="AU91" i="28"/>
  <c r="BB91" i="28" s="1"/>
  <c r="AT91" i="28"/>
  <c r="BA91" i="28" s="1"/>
  <c r="AY90" i="28"/>
  <c r="BF90" i="28" s="1"/>
  <c r="AX90" i="28"/>
  <c r="BE90" i="28" s="1"/>
  <c r="AW90" i="28"/>
  <c r="BD90" i="28" s="1"/>
  <c r="AV90" i="28"/>
  <c r="BC90" i="28" s="1"/>
  <c r="AU90" i="28"/>
  <c r="BB90" i="28" s="1"/>
  <c r="AT90" i="28"/>
  <c r="BA90" i="28" s="1"/>
  <c r="AY89" i="28"/>
  <c r="BF89" i="28" s="1"/>
  <c r="AX89" i="28"/>
  <c r="BE89" i="28" s="1"/>
  <c r="AW89" i="28"/>
  <c r="BD89" i="28" s="1"/>
  <c r="AV89" i="28"/>
  <c r="BC89" i="28" s="1"/>
  <c r="AU89" i="28"/>
  <c r="BB89" i="28" s="1"/>
  <c r="AT89" i="28"/>
  <c r="BA89" i="28" s="1"/>
  <c r="AX88" i="28"/>
  <c r="BE88" i="28" s="1"/>
  <c r="AW88" i="28"/>
  <c r="BD88" i="28" s="1"/>
  <c r="AV88" i="28"/>
  <c r="BC88" i="28" s="1"/>
  <c r="AU88" i="28"/>
  <c r="BB88" i="28" s="1"/>
  <c r="AT88" i="28"/>
  <c r="BA88" i="28" s="1"/>
  <c r="AY87" i="28"/>
  <c r="BF87" i="28" s="1"/>
  <c r="AX87" i="28"/>
  <c r="BE87" i="28" s="1"/>
  <c r="AW87" i="28"/>
  <c r="BD87" i="28" s="1"/>
  <c r="AV87" i="28"/>
  <c r="BC87" i="28" s="1"/>
  <c r="AU87" i="28"/>
  <c r="BB87" i="28" s="1"/>
  <c r="AT87" i="28"/>
  <c r="BA87" i="28" s="1"/>
  <c r="AY86" i="28"/>
  <c r="BF86" i="28" s="1"/>
  <c r="AX86" i="28"/>
  <c r="BE86" i="28" s="1"/>
  <c r="AW86" i="28"/>
  <c r="BD86" i="28" s="1"/>
  <c r="AV86" i="28"/>
  <c r="BC86" i="28" s="1"/>
  <c r="AU86" i="28"/>
  <c r="BB86" i="28" s="1"/>
  <c r="AT86" i="28"/>
  <c r="BA86" i="28" s="1"/>
  <c r="AY85" i="28"/>
  <c r="BF85" i="28" s="1"/>
  <c r="AX85" i="28"/>
  <c r="BE85" i="28" s="1"/>
  <c r="AW85" i="28"/>
  <c r="BD85" i="28" s="1"/>
  <c r="AV85" i="28"/>
  <c r="BC85" i="28" s="1"/>
  <c r="AU85" i="28"/>
  <c r="BB85" i="28" s="1"/>
  <c r="AT85" i="28"/>
  <c r="BA85" i="28" s="1"/>
  <c r="AY84" i="28"/>
  <c r="BF84" i="28" s="1"/>
  <c r="AX84" i="28"/>
  <c r="BE84" i="28" s="1"/>
  <c r="AW84" i="28"/>
  <c r="BD84" i="28" s="1"/>
  <c r="AV84" i="28"/>
  <c r="BC84" i="28" s="1"/>
  <c r="AU84" i="28"/>
  <c r="BB84" i="28" s="1"/>
  <c r="AT84" i="28"/>
  <c r="BA84" i="28" s="1"/>
  <c r="AY83" i="28"/>
  <c r="BF83" i="28" s="1"/>
  <c r="AX83" i="28"/>
  <c r="BE83" i="28" s="1"/>
  <c r="AW83" i="28"/>
  <c r="BD83" i="28" s="1"/>
  <c r="AV83" i="28"/>
  <c r="BC83" i="28" s="1"/>
  <c r="AU83" i="28"/>
  <c r="BB83" i="28" s="1"/>
  <c r="AT83" i="28"/>
  <c r="BA83" i="28" s="1"/>
  <c r="AY82" i="28"/>
  <c r="BF82" i="28" s="1"/>
  <c r="AX82" i="28"/>
  <c r="BE82" i="28" s="1"/>
  <c r="AW82" i="28"/>
  <c r="BD82" i="28" s="1"/>
  <c r="AV82" i="28"/>
  <c r="BC82" i="28" s="1"/>
  <c r="AU82" i="28"/>
  <c r="BB82" i="28" s="1"/>
  <c r="AT82" i="28"/>
  <c r="BA82" i="28" s="1"/>
  <c r="AY81" i="28"/>
  <c r="BF81" i="28" s="1"/>
  <c r="AX81" i="28"/>
  <c r="BE81" i="28" s="1"/>
  <c r="AW81" i="28"/>
  <c r="BD81" i="28" s="1"/>
  <c r="AV81" i="28"/>
  <c r="BC81" i="28" s="1"/>
  <c r="AU81" i="28"/>
  <c r="BB81" i="28" s="1"/>
  <c r="AT81" i="28"/>
  <c r="BA81" i="28" s="1"/>
  <c r="AX80" i="28"/>
  <c r="BE80" i="28" s="1"/>
  <c r="AW80" i="28"/>
  <c r="BD80" i="28" s="1"/>
  <c r="AV80" i="28"/>
  <c r="BC80" i="28" s="1"/>
  <c r="AU80" i="28"/>
  <c r="BB80" i="28" s="1"/>
  <c r="AT80" i="28"/>
  <c r="BA80" i="28" s="1"/>
  <c r="AX79" i="28"/>
  <c r="BE79" i="28" s="1"/>
  <c r="AW79" i="28"/>
  <c r="BD79" i="28" s="1"/>
  <c r="AV79" i="28"/>
  <c r="BC79" i="28" s="1"/>
  <c r="AU79" i="28"/>
  <c r="BB79" i="28" s="1"/>
  <c r="AT79" i="28"/>
  <c r="BA79" i="28" s="1"/>
  <c r="AY78" i="28"/>
  <c r="BF78" i="28" s="1"/>
  <c r="AX78" i="28"/>
  <c r="BE78" i="28" s="1"/>
  <c r="AW78" i="28"/>
  <c r="BD78" i="28" s="1"/>
  <c r="AV78" i="28"/>
  <c r="BC78" i="28" s="1"/>
  <c r="AU78" i="28"/>
  <c r="BB78" i="28" s="1"/>
  <c r="AT78" i="28"/>
  <c r="BA78" i="28" s="1"/>
  <c r="AY77" i="28"/>
  <c r="BF77" i="28" s="1"/>
  <c r="AX77" i="28"/>
  <c r="BE77" i="28" s="1"/>
  <c r="AW77" i="28"/>
  <c r="BD77" i="28" s="1"/>
  <c r="AV77" i="28"/>
  <c r="BC77" i="28" s="1"/>
  <c r="AU77" i="28"/>
  <c r="BB77" i="28" s="1"/>
  <c r="AT77" i="28"/>
  <c r="BA77" i="28" s="1"/>
  <c r="AY76" i="28"/>
  <c r="BF76" i="28" s="1"/>
  <c r="AX76" i="28"/>
  <c r="BE76" i="28" s="1"/>
  <c r="AW76" i="28"/>
  <c r="BD76" i="28" s="1"/>
  <c r="AV76" i="28"/>
  <c r="BC76" i="28" s="1"/>
  <c r="AU76" i="28"/>
  <c r="BB76" i="28" s="1"/>
  <c r="AT76" i="28"/>
  <c r="BA76" i="28" s="1"/>
  <c r="AY75" i="28"/>
  <c r="BF75" i="28" s="1"/>
  <c r="AX75" i="28"/>
  <c r="BE75" i="28" s="1"/>
  <c r="AW75" i="28"/>
  <c r="BD75" i="28" s="1"/>
  <c r="AV75" i="28"/>
  <c r="BC75" i="28" s="1"/>
  <c r="AU75" i="28"/>
  <c r="BB75" i="28" s="1"/>
  <c r="AT75" i="28"/>
  <c r="BA75" i="28" s="1"/>
  <c r="AY74" i="28"/>
  <c r="BF74" i="28" s="1"/>
  <c r="AX74" i="28"/>
  <c r="BE74" i="28" s="1"/>
  <c r="AW74" i="28"/>
  <c r="BD74" i="28" s="1"/>
  <c r="AV74" i="28"/>
  <c r="BC74" i="28" s="1"/>
  <c r="AU74" i="28"/>
  <c r="BB74" i="28" s="1"/>
  <c r="AT74" i="28"/>
  <c r="BA74" i="28" s="1"/>
  <c r="AY73" i="28"/>
  <c r="BF73" i="28" s="1"/>
  <c r="AX73" i="28"/>
  <c r="BE73" i="28" s="1"/>
  <c r="AW73" i="28"/>
  <c r="BD73" i="28" s="1"/>
  <c r="AV73" i="28"/>
  <c r="BC73" i="28" s="1"/>
  <c r="AU73" i="28"/>
  <c r="BB73" i="28" s="1"/>
  <c r="AT73" i="28"/>
  <c r="BA73" i="28" s="1"/>
  <c r="AX72" i="28"/>
  <c r="BE72" i="28" s="1"/>
  <c r="AW72" i="28"/>
  <c r="BD72" i="28" s="1"/>
  <c r="AV72" i="28"/>
  <c r="BC72" i="28" s="1"/>
  <c r="AU72" i="28"/>
  <c r="BB72" i="28" s="1"/>
  <c r="AT72" i="28"/>
  <c r="BA72" i="28" s="1"/>
  <c r="AX71" i="28"/>
  <c r="BE71" i="28" s="1"/>
  <c r="AW71" i="28"/>
  <c r="BD71" i="28" s="1"/>
  <c r="AV71" i="28"/>
  <c r="BC71" i="28" s="1"/>
  <c r="AU71" i="28"/>
  <c r="BB71" i="28" s="1"/>
  <c r="AT71" i="28"/>
  <c r="BA71" i="28" s="1"/>
  <c r="AY70" i="28"/>
  <c r="BF70" i="28" s="1"/>
  <c r="AX70" i="28"/>
  <c r="BE70" i="28" s="1"/>
  <c r="AW70" i="28"/>
  <c r="BD70" i="28" s="1"/>
  <c r="AV70" i="28"/>
  <c r="BC70" i="28" s="1"/>
  <c r="AU70" i="28"/>
  <c r="BB70" i="28" s="1"/>
  <c r="AT70" i="28"/>
  <c r="BA70" i="28" s="1"/>
  <c r="AY69" i="28"/>
  <c r="BF69" i="28" s="1"/>
  <c r="AX69" i="28"/>
  <c r="BE69" i="28" s="1"/>
  <c r="AW69" i="28"/>
  <c r="BD69" i="28" s="1"/>
  <c r="AV69" i="28"/>
  <c r="BC69" i="28" s="1"/>
  <c r="AU69" i="28"/>
  <c r="BB69" i="28" s="1"/>
  <c r="AT69" i="28"/>
  <c r="BA69" i="28" s="1"/>
  <c r="AY68" i="28"/>
  <c r="BF68" i="28" s="1"/>
  <c r="AX68" i="28"/>
  <c r="BE68" i="28" s="1"/>
  <c r="AW68" i="28"/>
  <c r="BD68" i="28" s="1"/>
  <c r="AV68" i="28"/>
  <c r="BC68" i="28" s="1"/>
  <c r="AU68" i="28"/>
  <c r="BB68" i="28" s="1"/>
  <c r="AT68" i="28"/>
  <c r="BA68" i="28" s="1"/>
  <c r="AY67" i="28"/>
  <c r="BF67" i="28" s="1"/>
  <c r="AX67" i="28"/>
  <c r="BE67" i="28" s="1"/>
  <c r="AW67" i="28"/>
  <c r="BD67" i="28" s="1"/>
  <c r="AV67" i="28"/>
  <c r="BC67" i="28" s="1"/>
  <c r="AU67" i="28"/>
  <c r="BB67" i="28" s="1"/>
  <c r="AT67" i="28"/>
  <c r="BA67" i="28" s="1"/>
  <c r="AY66" i="28"/>
  <c r="BF66" i="28" s="1"/>
  <c r="AX66" i="28"/>
  <c r="BE66" i="28" s="1"/>
  <c r="AW66" i="28"/>
  <c r="BD66" i="28" s="1"/>
  <c r="AV66" i="28"/>
  <c r="BC66" i="28" s="1"/>
  <c r="AU66" i="28"/>
  <c r="BB66" i="28" s="1"/>
  <c r="AT66" i="28"/>
  <c r="BA66" i="28" s="1"/>
  <c r="AY65" i="28"/>
  <c r="BF65" i="28" s="1"/>
  <c r="AX65" i="28"/>
  <c r="BE65" i="28" s="1"/>
  <c r="AW65" i="28"/>
  <c r="BD65" i="28" s="1"/>
  <c r="AV65" i="28"/>
  <c r="BC65" i="28" s="1"/>
  <c r="AU65" i="28"/>
  <c r="BB65" i="28" s="1"/>
  <c r="AT65" i="28"/>
  <c r="BA65" i="28" s="1"/>
  <c r="AX64" i="28"/>
  <c r="BE64" i="28" s="1"/>
  <c r="AW64" i="28"/>
  <c r="BD64" i="28" s="1"/>
  <c r="AV64" i="28"/>
  <c r="BC64" i="28" s="1"/>
  <c r="AU64" i="28"/>
  <c r="BB64" i="28" s="1"/>
  <c r="AT64" i="28"/>
  <c r="BA64" i="28" s="1"/>
  <c r="AX63" i="28"/>
  <c r="BE63" i="28" s="1"/>
  <c r="AW63" i="28"/>
  <c r="BD63" i="28" s="1"/>
  <c r="AV63" i="28"/>
  <c r="BC63" i="28" s="1"/>
  <c r="AU63" i="28"/>
  <c r="BB63" i="28" s="1"/>
  <c r="AT63" i="28"/>
  <c r="BA63" i="28" s="1"/>
  <c r="AY62" i="28"/>
  <c r="BF62" i="28" s="1"/>
  <c r="AX62" i="28"/>
  <c r="BE62" i="28" s="1"/>
  <c r="AW62" i="28"/>
  <c r="BD62" i="28" s="1"/>
  <c r="AV62" i="28"/>
  <c r="BC62" i="28" s="1"/>
  <c r="AU62" i="28"/>
  <c r="BB62" i="28" s="1"/>
  <c r="AT62" i="28"/>
  <c r="BA62" i="28" s="1"/>
  <c r="AY61" i="28"/>
  <c r="BF61" i="28" s="1"/>
  <c r="AX61" i="28"/>
  <c r="BE61" i="28" s="1"/>
  <c r="AW61" i="28"/>
  <c r="BD61" i="28" s="1"/>
  <c r="AV61" i="28"/>
  <c r="BC61" i="28" s="1"/>
  <c r="AU61" i="28"/>
  <c r="BB61" i="28" s="1"/>
  <c r="AT61" i="28"/>
  <c r="BA61" i="28" s="1"/>
  <c r="AY60" i="28"/>
  <c r="BF60" i="28" s="1"/>
  <c r="AX60" i="28"/>
  <c r="BE60" i="28" s="1"/>
  <c r="AW60" i="28"/>
  <c r="BD60" i="28" s="1"/>
  <c r="AV60" i="28"/>
  <c r="BC60" i="28" s="1"/>
  <c r="AU60" i="28"/>
  <c r="BB60" i="28" s="1"/>
  <c r="AT60" i="28"/>
  <c r="BA60" i="28" s="1"/>
  <c r="AY59" i="28"/>
  <c r="BF59" i="28" s="1"/>
  <c r="AX59" i="28"/>
  <c r="BE59" i="28" s="1"/>
  <c r="AW59" i="28"/>
  <c r="BD59" i="28" s="1"/>
  <c r="AV59" i="28"/>
  <c r="BC59" i="28" s="1"/>
  <c r="AU59" i="28"/>
  <c r="BB59" i="28" s="1"/>
  <c r="AT59" i="28"/>
  <c r="BA59" i="28" s="1"/>
  <c r="AY58" i="28"/>
  <c r="BF58" i="28" s="1"/>
  <c r="AX58" i="28"/>
  <c r="BE58" i="28" s="1"/>
  <c r="AW58" i="28"/>
  <c r="BD58" i="28" s="1"/>
  <c r="AV58" i="28"/>
  <c r="BC58" i="28" s="1"/>
  <c r="AU58" i="28"/>
  <c r="BB58" i="28" s="1"/>
  <c r="AT58" i="28"/>
  <c r="BA58" i="28" s="1"/>
  <c r="AY57" i="28"/>
  <c r="BF57" i="28" s="1"/>
  <c r="AX57" i="28"/>
  <c r="BE57" i="28" s="1"/>
  <c r="AW57" i="28"/>
  <c r="BD57" i="28" s="1"/>
  <c r="AV57" i="28"/>
  <c r="BC57" i="28" s="1"/>
  <c r="AU57" i="28"/>
  <c r="BB57" i="28" s="1"/>
  <c r="AT57" i="28"/>
  <c r="BA57" i="28" s="1"/>
  <c r="AX56" i="28"/>
  <c r="BE56" i="28" s="1"/>
  <c r="AW56" i="28"/>
  <c r="BD56" i="28" s="1"/>
  <c r="AV56" i="28"/>
  <c r="BC56" i="28" s="1"/>
  <c r="AU56" i="28"/>
  <c r="BB56" i="28" s="1"/>
  <c r="AT56" i="28"/>
  <c r="BA56" i="28" s="1"/>
  <c r="AY55" i="28"/>
  <c r="BF55" i="28" s="1"/>
  <c r="AX55" i="28"/>
  <c r="BE55" i="28" s="1"/>
  <c r="AW55" i="28"/>
  <c r="BD55" i="28" s="1"/>
  <c r="AV55" i="28"/>
  <c r="BC55" i="28" s="1"/>
  <c r="AU55" i="28"/>
  <c r="BB55" i="28" s="1"/>
  <c r="AT55" i="28"/>
  <c r="BA55" i="28" s="1"/>
  <c r="AY54" i="28"/>
  <c r="BF54" i="28" s="1"/>
  <c r="AX54" i="28"/>
  <c r="BE54" i="28" s="1"/>
  <c r="AW54" i="28"/>
  <c r="BD54" i="28" s="1"/>
  <c r="AV54" i="28"/>
  <c r="BC54" i="28" s="1"/>
  <c r="AU54" i="28"/>
  <c r="BB54" i="28" s="1"/>
  <c r="AT54" i="28"/>
  <c r="BA54" i="28" s="1"/>
  <c r="AY53" i="28"/>
  <c r="BF53" i="28" s="1"/>
  <c r="AX53" i="28"/>
  <c r="BE53" i="28" s="1"/>
  <c r="AW53" i="28"/>
  <c r="BD53" i="28" s="1"/>
  <c r="AV53" i="28"/>
  <c r="BC53" i="28" s="1"/>
  <c r="AU53" i="28"/>
  <c r="BB53" i="28" s="1"/>
  <c r="AT53" i="28"/>
  <c r="BA53" i="28" s="1"/>
  <c r="AY52" i="28"/>
  <c r="BF52" i="28" s="1"/>
  <c r="AX52" i="28"/>
  <c r="BE52" i="28" s="1"/>
  <c r="AW52" i="28"/>
  <c r="BD52" i="28" s="1"/>
  <c r="AV52" i="28"/>
  <c r="BC52" i="28" s="1"/>
  <c r="AU52" i="28"/>
  <c r="BB52" i="28" s="1"/>
  <c r="AT52" i="28"/>
  <c r="BA52" i="28" s="1"/>
  <c r="AY51" i="28"/>
  <c r="BF51" i="28" s="1"/>
  <c r="AX51" i="28"/>
  <c r="BE51" i="28" s="1"/>
  <c r="AW51" i="28"/>
  <c r="BD51" i="28" s="1"/>
  <c r="AV51" i="28"/>
  <c r="BC51" i="28" s="1"/>
  <c r="AU51" i="28"/>
  <c r="BB51" i="28" s="1"/>
  <c r="AT51" i="28"/>
  <c r="BA51" i="28" s="1"/>
  <c r="AY50" i="28"/>
  <c r="BF50" i="28" s="1"/>
  <c r="AX50" i="28"/>
  <c r="BE50" i="28" s="1"/>
  <c r="AW50" i="28"/>
  <c r="BD50" i="28" s="1"/>
  <c r="AV50" i="28"/>
  <c r="BC50" i="28" s="1"/>
  <c r="AU50" i="28"/>
  <c r="BB50" i="28" s="1"/>
  <c r="AT50" i="28"/>
  <c r="BA50" i="28" s="1"/>
  <c r="AY49" i="28"/>
  <c r="BF49" i="28" s="1"/>
  <c r="AX49" i="28"/>
  <c r="BE49" i="28" s="1"/>
  <c r="AW49" i="28"/>
  <c r="BD49" i="28" s="1"/>
  <c r="AV49" i="28"/>
  <c r="BC49" i="28" s="1"/>
  <c r="AU49" i="28"/>
  <c r="BB49" i="28" s="1"/>
  <c r="AT49" i="28"/>
  <c r="BA49" i="28" s="1"/>
  <c r="AX48" i="28"/>
  <c r="BE48" i="28" s="1"/>
  <c r="AW48" i="28"/>
  <c r="BD48" i="28" s="1"/>
  <c r="AV48" i="28"/>
  <c r="BC48" i="28" s="1"/>
  <c r="AU48" i="28"/>
  <c r="BB48" i="28" s="1"/>
  <c r="AT48" i="28"/>
  <c r="BA48" i="28" s="1"/>
  <c r="AX47" i="28"/>
  <c r="BE47" i="28" s="1"/>
  <c r="AW47" i="28"/>
  <c r="BD47" i="28" s="1"/>
  <c r="AV47" i="28"/>
  <c r="BC47" i="28" s="1"/>
  <c r="AU47" i="28"/>
  <c r="BB47" i="28" s="1"/>
  <c r="AT47" i="28"/>
  <c r="BA47" i="28" s="1"/>
  <c r="AY46" i="28"/>
  <c r="BF46" i="28" s="1"/>
  <c r="AX46" i="28"/>
  <c r="BE46" i="28" s="1"/>
  <c r="AW46" i="28"/>
  <c r="BD46" i="28" s="1"/>
  <c r="AV46" i="28"/>
  <c r="BC46" i="28" s="1"/>
  <c r="AU46" i="28"/>
  <c r="BB46" i="28" s="1"/>
  <c r="AT46" i="28"/>
  <c r="BA46" i="28" s="1"/>
  <c r="AY45" i="28"/>
  <c r="BF45" i="28" s="1"/>
  <c r="AX45" i="28"/>
  <c r="BE45" i="28" s="1"/>
  <c r="AW45" i="28"/>
  <c r="BD45" i="28" s="1"/>
  <c r="AV45" i="28"/>
  <c r="BC45" i="28" s="1"/>
  <c r="AU45" i="28"/>
  <c r="AT45" i="28"/>
  <c r="BA45" i="28" s="1"/>
  <c r="AY44" i="28"/>
  <c r="BF44" i="28" s="1"/>
  <c r="AX44" i="28"/>
  <c r="BE44" i="28" s="1"/>
  <c r="AW44" i="28"/>
  <c r="BD44" i="28" s="1"/>
  <c r="AV44" i="28"/>
  <c r="BC44" i="28" s="1"/>
  <c r="AU44" i="28"/>
  <c r="BB44" i="28" s="1"/>
  <c r="AT44" i="28"/>
  <c r="BA44" i="28" s="1"/>
  <c r="AY43" i="28"/>
  <c r="BF43" i="28" s="1"/>
  <c r="AX43" i="28"/>
  <c r="BE43" i="28" s="1"/>
  <c r="AW43" i="28"/>
  <c r="BD43" i="28" s="1"/>
  <c r="AV43" i="28"/>
  <c r="BC43" i="28" s="1"/>
  <c r="AU43" i="28"/>
  <c r="BB43" i="28" s="1"/>
  <c r="AT43" i="28"/>
  <c r="BA43" i="28" s="1"/>
  <c r="AY42" i="28"/>
  <c r="BF42" i="28" s="1"/>
  <c r="AX42" i="28"/>
  <c r="BE42" i="28" s="1"/>
  <c r="AW42" i="28"/>
  <c r="BD42" i="28" s="1"/>
  <c r="AV42" i="28"/>
  <c r="BC42" i="28" s="1"/>
  <c r="AU42" i="28"/>
  <c r="BB42" i="28" s="1"/>
  <c r="AT42" i="28"/>
  <c r="BA42" i="28" s="1"/>
  <c r="AY41" i="28"/>
  <c r="BF41" i="28" s="1"/>
  <c r="AX41" i="28"/>
  <c r="BE41" i="28" s="1"/>
  <c r="AW41" i="28"/>
  <c r="BD41" i="28" s="1"/>
  <c r="AV41" i="28"/>
  <c r="BC41" i="28" s="1"/>
  <c r="AU41" i="28"/>
  <c r="BB41" i="28" s="1"/>
  <c r="AT41" i="28"/>
  <c r="BA41" i="28" s="1"/>
  <c r="AX40" i="28"/>
  <c r="BE40" i="28" s="1"/>
  <c r="AW40" i="28"/>
  <c r="BD40" i="28" s="1"/>
  <c r="AV40" i="28"/>
  <c r="BC40" i="28" s="1"/>
  <c r="AU40" i="28"/>
  <c r="BB40" i="28" s="1"/>
  <c r="AT40" i="28"/>
  <c r="BA40" i="28" s="1"/>
  <c r="AX39" i="28"/>
  <c r="BE39" i="28" s="1"/>
  <c r="AW39" i="28"/>
  <c r="BD39" i="28" s="1"/>
  <c r="AV39" i="28"/>
  <c r="BC39" i="28" s="1"/>
  <c r="AU39" i="28"/>
  <c r="BB39" i="28" s="1"/>
  <c r="AT39" i="28"/>
  <c r="BA39" i="28" s="1"/>
  <c r="AY38" i="28"/>
  <c r="BF38" i="28" s="1"/>
  <c r="AX38" i="28"/>
  <c r="BE38" i="28" s="1"/>
  <c r="AW38" i="28"/>
  <c r="BD38" i="28" s="1"/>
  <c r="AV38" i="28"/>
  <c r="BC38" i="28" s="1"/>
  <c r="AU38" i="28"/>
  <c r="BB38" i="28" s="1"/>
  <c r="AT38" i="28"/>
  <c r="BA38" i="28" s="1"/>
  <c r="AY37" i="28"/>
  <c r="BF37" i="28" s="1"/>
  <c r="AX37" i="28"/>
  <c r="BE37" i="28" s="1"/>
  <c r="AW37" i="28"/>
  <c r="BD37" i="28" s="1"/>
  <c r="AV37" i="28"/>
  <c r="BC37" i="28" s="1"/>
  <c r="AU37" i="28"/>
  <c r="BB37" i="28" s="1"/>
  <c r="AT37" i="28"/>
  <c r="BA37" i="28" s="1"/>
  <c r="AY36" i="28"/>
  <c r="BF36" i="28" s="1"/>
  <c r="AX36" i="28"/>
  <c r="BE36" i="28" s="1"/>
  <c r="AW36" i="28"/>
  <c r="BD36" i="28" s="1"/>
  <c r="AV36" i="28"/>
  <c r="BC36" i="28" s="1"/>
  <c r="AU36" i="28"/>
  <c r="BB36" i="28" s="1"/>
  <c r="AT36" i="28"/>
  <c r="BA36" i="28" s="1"/>
  <c r="AY35" i="28"/>
  <c r="BF35" i="28" s="1"/>
  <c r="AX35" i="28"/>
  <c r="BE35" i="28" s="1"/>
  <c r="AW35" i="28"/>
  <c r="BD35" i="28" s="1"/>
  <c r="AV35" i="28"/>
  <c r="BC35" i="28" s="1"/>
  <c r="AU35" i="28"/>
  <c r="BB35" i="28" s="1"/>
  <c r="AT35" i="28"/>
  <c r="BA35" i="28" s="1"/>
  <c r="AY34" i="28"/>
  <c r="BF34" i="28" s="1"/>
  <c r="AX34" i="28"/>
  <c r="BE34" i="28" s="1"/>
  <c r="AW34" i="28"/>
  <c r="BD34" i="28" s="1"/>
  <c r="AV34" i="28"/>
  <c r="BC34" i="28" s="1"/>
  <c r="AU34" i="28"/>
  <c r="BB34" i="28" s="1"/>
  <c r="AT34" i="28"/>
  <c r="BA34" i="28" s="1"/>
  <c r="AY33" i="28"/>
  <c r="BF33" i="28" s="1"/>
  <c r="AX33" i="28"/>
  <c r="BE33" i="28" s="1"/>
  <c r="AW33" i="28"/>
  <c r="BD33" i="28" s="1"/>
  <c r="AV33" i="28"/>
  <c r="BC33" i="28" s="1"/>
  <c r="AU33" i="28"/>
  <c r="BB33" i="28" s="1"/>
  <c r="AT33" i="28"/>
  <c r="BA33" i="28" s="1"/>
  <c r="AX32" i="28"/>
  <c r="BE32" i="28" s="1"/>
  <c r="AW32" i="28"/>
  <c r="BD32" i="28" s="1"/>
  <c r="AV32" i="28"/>
  <c r="BC32" i="28" s="1"/>
  <c r="AU32" i="28"/>
  <c r="BB32" i="28" s="1"/>
  <c r="AT32" i="28"/>
  <c r="BA32" i="28" s="1"/>
  <c r="AY31" i="28"/>
  <c r="BF31" i="28" s="1"/>
  <c r="AX31" i="28"/>
  <c r="BE31" i="28" s="1"/>
  <c r="AW31" i="28"/>
  <c r="BD31" i="28" s="1"/>
  <c r="AV31" i="28"/>
  <c r="BC31" i="28" s="1"/>
  <c r="AU31" i="28"/>
  <c r="BB31" i="28" s="1"/>
  <c r="AT31" i="28"/>
  <c r="BA31" i="28" s="1"/>
  <c r="AY30" i="28"/>
  <c r="BF30" i="28" s="1"/>
  <c r="AX30" i="28"/>
  <c r="BE30" i="28" s="1"/>
  <c r="AW30" i="28"/>
  <c r="BD30" i="28" s="1"/>
  <c r="AV30" i="28"/>
  <c r="BC30" i="28" s="1"/>
  <c r="AU30" i="28"/>
  <c r="BB30" i="28" s="1"/>
  <c r="AT30" i="28"/>
  <c r="BA30" i="28" s="1"/>
  <c r="AY29" i="28"/>
  <c r="BF29" i="28" s="1"/>
  <c r="AX29" i="28"/>
  <c r="BE29" i="28" s="1"/>
  <c r="AW29" i="28"/>
  <c r="BD29" i="28" s="1"/>
  <c r="AV29" i="28"/>
  <c r="BC29" i="28" s="1"/>
  <c r="AU29" i="28"/>
  <c r="BB29" i="28" s="1"/>
  <c r="AT29" i="28"/>
  <c r="BA29" i="28" s="1"/>
  <c r="AY28" i="28"/>
  <c r="BF28" i="28" s="1"/>
  <c r="AX28" i="28"/>
  <c r="BE28" i="28" s="1"/>
  <c r="AW28" i="28"/>
  <c r="BD28" i="28" s="1"/>
  <c r="AV28" i="28"/>
  <c r="BC28" i="28" s="1"/>
  <c r="AU28" i="28"/>
  <c r="BB28" i="28" s="1"/>
  <c r="AT28" i="28"/>
  <c r="BA28" i="28" s="1"/>
  <c r="AY27" i="28"/>
  <c r="BF27" i="28" s="1"/>
  <c r="AX27" i="28"/>
  <c r="BE27" i="28" s="1"/>
  <c r="AW27" i="28"/>
  <c r="BD27" i="28" s="1"/>
  <c r="AV27" i="28"/>
  <c r="BC27" i="28" s="1"/>
  <c r="AU27" i="28"/>
  <c r="BB27" i="28" s="1"/>
  <c r="AT27" i="28"/>
  <c r="BA27" i="28" s="1"/>
  <c r="AY26" i="28"/>
  <c r="BF26" i="28" s="1"/>
  <c r="AX26" i="28"/>
  <c r="BE26" i="28" s="1"/>
  <c r="AW26" i="28"/>
  <c r="BD26" i="28" s="1"/>
  <c r="AV26" i="28"/>
  <c r="BC26" i="28" s="1"/>
  <c r="AU26" i="28"/>
  <c r="BB26" i="28" s="1"/>
  <c r="AT26" i="28"/>
  <c r="BA26" i="28" s="1"/>
  <c r="AY25" i="28"/>
  <c r="BF25" i="28" s="1"/>
  <c r="AX25" i="28"/>
  <c r="BE25" i="28" s="1"/>
  <c r="AW25" i="28"/>
  <c r="BD25" i="28" s="1"/>
  <c r="AV25" i="28"/>
  <c r="BC25" i="28" s="1"/>
  <c r="AU25" i="28"/>
  <c r="BB25" i="28" s="1"/>
  <c r="AT25" i="28"/>
  <c r="BA25" i="28" s="1"/>
  <c r="AX24" i="28"/>
  <c r="BE24" i="28" s="1"/>
  <c r="AW24" i="28"/>
  <c r="BD24" i="28" s="1"/>
  <c r="AV24" i="28"/>
  <c r="BC24" i="28" s="1"/>
  <c r="AU24" i="28"/>
  <c r="BB24" i="28" s="1"/>
  <c r="AT24" i="28"/>
  <c r="BA24" i="28" s="1"/>
  <c r="AY23" i="28"/>
  <c r="BF23" i="28" s="1"/>
  <c r="AX23" i="28"/>
  <c r="BE23" i="28" s="1"/>
  <c r="AW23" i="28"/>
  <c r="BD23" i="28" s="1"/>
  <c r="AV23" i="28"/>
  <c r="BC23" i="28" s="1"/>
  <c r="AU23" i="28"/>
  <c r="BB23" i="28" s="1"/>
  <c r="AT23" i="28"/>
  <c r="BA23" i="28" s="1"/>
  <c r="AY22" i="28"/>
  <c r="BF22" i="28" s="1"/>
  <c r="AX22" i="28"/>
  <c r="BE22" i="28" s="1"/>
  <c r="AW22" i="28"/>
  <c r="BD22" i="28" s="1"/>
  <c r="AV22" i="28"/>
  <c r="BC22" i="28" s="1"/>
  <c r="AU22" i="28"/>
  <c r="BB22" i="28" s="1"/>
  <c r="AT22" i="28"/>
  <c r="BA22" i="28" s="1"/>
  <c r="AY21" i="28"/>
  <c r="BF21" i="28" s="1"/>
  <c r="AX21" i="28"/>
  <c r="BE21" i="28" s="1"/>
  <c r="AW21" i="28"/>
  <c r="BD21" i="28" s="1"/>
  <c r="AV21" i="28"/>
  <c r="BC21" i="28" s="1"/>
  <c r="AU21" i="28"/>
  <c r="BB21" i="28" s="1"/>
  <c r="AT21" i="28"/>
  <c r="BA21" i="28" s="1"/>
  <c r="AY20" i="28"/>
  <c r="BF20" i="28" s="1"/>
  <c r="AX20" i="28"/>
  <c r="BE20" i="28" s="1"/>
  <c r="AW20" i="28"/>
  <c r="BD20" i="28" s="1"/>
  <c r="AV20" i="28"/>
  <c r="BC20" i="28" s="1"/>
  <c r="AU20" i="28"/>
  <c r="BB20" i="28" s="1"/>
  <c r="AT20" i="28"/>
  <c r="BA20" i="28" s="1"/>
  <c r="AY19" i="28"/>
  <c r="BF19" i="28" s="1"/>
  <c r="AX19" i="28"/>
  <c r="BE19" i="28" s="1"/>
  <c r="AW19" i="28"/>
  <c r="BD19" i="28" s="1"/>
  <c r="AV19" i="28"/>
  <c r="BC19" i="28" s="1"/>
  <c r="AU19" i="28"/>
  <c r="BB19" i="28" s="1"/>
  <c r="AT19" i="28"/>
  <c r="BA19" i="28" s="1"/>
  <c r="AY18" i="28"/>
  <c r="BF18" i="28" s="1"/>
  <c r="AX18" i="28"/>
  <c r="BE18" i="28" s="1"/>
  <c r="AW18" i="28"/>
  <c r="BD18" i="28" s="1"/>
  <c r="AV18" i="28"/>
  <c r="BC18" i="28" s="1"/>
  <c r="AU18" i="28"/>
  <c r="BB18" i="28" s="1"/>
  <c r="AT18" i="28"/>
  <c r="BA18" i="28" s="1"/>
  <c r="AY17" i="28"/>
  <c r="BF17" i="28" s="1"/>
  <c r="AX17" i="28"/>
  <c r="BE17" i="28" s="1"/>
  <c r="AW17" i="28"/>
  <c r="BD17" i="28" s="1"/>
  <c r="AV17" i="28"/>
  <c r="BC17" i="28" s="1"/>
  <c r="AU17" i="28"/>
  <c r="BB17" i="28" s="1"/>
  <c r="AT17" i="28"/>
  <c r="BA17" i="28" s="1"/>
  <c r="AY16" i="28"/>
  <c r="AX16" i="28"/>
  <c r="BE16" i="28" s="1"/>
  <c r="AW16" i="28"/>
  <c r="AV16" i="28"/>
  <c r="BC16" i="28" s="1"/>
  <c r="AU16" i="28"/>
  <c r="BB16" i="28" s="1"/>
  <c r="AT16" i="28"/>
  <c r="AQ7" i="28"/>
  <c r="AP7" i="28"/>
  <c r="AO7" i="28"/>
  <c r="AN7" i="28"/>
  <c r="AM7" i="28"/>
  <c r="AK7" i="28"/>
  <c r="AJ7" i="28"/>
  <c r="AI7" i="28"/>
  <c r="AH7" i="28"/>
  <c r="AG7" i="28"/>
  <c r="AT4" i="28"/>
  <c r="AU4" i="28" s="1"/>
  <c r="AV4" i="28" s="1"/>
  <c r="AW4" i="28" s="1"/>
  <c r="AX4" i="28" s="1"/>
  <c r="AM4" i="28"/>
  <c r="AN4" i="28" s="1"/>
  <c r="AO4" i="28" s="1"/>
  <c r="AP4" i="28" s="1"/>
  <c r="AQ4" i="28" s="1"/>
  <c r="AF4" i="28"/>
  <c r="AG4" i="28" s="1"/>
  <c r="AH4" i="28" s="1"/>
  <c r="AI4" i="28" s="1"/>
  <c r="AJ4" i="28" s="1"/>
  <c r="C27" i="11"/>
  <c r="C26" i="11"/>
  <c r="J7" i="28"/>
  <c r="Q17" i="28"/>
  <c r="X17" i="28" s="1"/>
  <c r="R17" i="28"/>
  <c r="Y17" i="28" s="1"/>
  <c r="S17" i="28"/>
  <c r="Z17" i="28" s="1"/>
  <c r="T17" i="28"/>
  <c r="AA17" i="28" s="1"/>
  <c r="U17" i="28"/>
  <c r="AB17" i="28" s="1"/>
  <c r="V17" i="28"/>
  <c r="AC17" i="28" s="1"/>
  <c r="Q18" i="28"/>
  <c r="X18" i="28" s="1"/>
  <c r="R18" i="28"/>
  <c r="Y18" i="28" s="1"/>
  <c r="S18" i="28"/>
  <c r="Z18" i="28" s="1"/>
  <c r="T18" i="28"/>
  <c r="AA18" i="28" s="1"/>
  <c r="U18" i="28"/>
  <c r="AB18" i="28" s="1"/>
  <c r="V18" i="28"/>
  <c r="AC18" i="28" s="1"/>
  <c r="Q19" i="28"/>
  <c r="X19" i="28" s="1"/>
  <c r="R19" i="28"/>
  <c r="Y19" i="28" s="1"/>
  <c r="S19" i="28"/>
  <c r="Z19" i="28" s="1"/>
  <c r="T19" i="28"/>
  <c r="AA19" i="28" s="1"/>
  <c r="U19" i="28"/>
  <c r="AB19" i="28" s="1"/>
  <c r="V19" i="28"/>
  <c r="AC19" i="28" s="1"/>
  <c r="Q20" i="28"/>
  <c r="X20" i="28" s="1"/>
  <c r="R20" i="28"/>
  <c r="Y20" i="28" s="1"/>
  <c r="S20" i="28"/>
  <c r="Z20" i="28" s="1"/>
  <c r="T20" i="28"/>
  <c r="AA20" i="28" s="1"/>
  <c r="U20" i="28"/>
  <c r="AB20" i="28" s="1"/>
  <c r="V20" i="28"/>
  <c r="AC20" i="28" s="1"/>
  <c r="Q21" i="28"/>
  <c r="X21" i="28" s="1"/>
  <c r="R21" i="28"/>
  <c r="Y21" i="28" s="1"/>
  <c r="S21" i="28"/>
  <c r="Z21" i="28" s="1"/>
  <c r="T21" i="28"/>
  <c r="AA21" i="28" s="1"/>
  <c r="U21" i="28"/>
  <c r="AB21" i="28" s="1"/>
  <c r="V21" i="28"/>
  <c r="AC21" i="28" s="1"/>
  <c r="Q22" i="28"/>
  <c r="X22" i="28" s="1"/>
  <c r="R22" i="28"/>
  <c r="Y22" i="28" s="1"/>
  <c r="S22" i="28"/>
  <c r="Z22" i="28" s="1"/>
  <c r="T22" i="28"/>
  <c r="AA22" i="28" s="1"/>
  <c r="U22" i="28"/>
  <c r="AB22" i="28" s="1"/>
  <c r="V22" i="28"/>
  <c r="AC22" i="28" s="1"/>
  <c r="Q23" i="28"/>
  <c r="X23" i="28" s="1"/>
  <c r="R23" i="28"/>
  <c r="Y23" i="28" s="1"/>
  <c r="S23" i="28"/>
  <c r="Z23" i="28" s="1"/>
  <c r="T23" i="28"/>
  <c r="AA23" i="28" s="1"/>
  <c r="U23" i="28"/>
  <c r="AB23" i="28" s="1"/>
  <c r="V23" i="28"/>
  <c r="AC23" i="28" s="1"/>
  <c r="Q24" i="28"/>
  <c r="X24" i="28" s="1"/>
  <c r="R24" i="28"/>
  <c r="Y24" i="28" s="1"/>
  <c r="S24" i="28"/>
  <c r="Z24" i="28" s="1"/>
  <c r="T24" i="28"/>
  <c r="AA24" i="28" s="1"/>
  <c r="U24" i="28"/>
  <c r="AB24" i="28" s="1"/>
  <c r="Q25" i="28"/>
  <c r="X25" i="28" s="1"/>
  <c r="R25" i="28"/>
  <c r="Y25" i="28" s="1"/>
  <c r="S25" i="28"/>
  <c r="Z25" i="28" s="1"/>
  <c r="T25" i="28"/>
  <c r="AA25" i="28" s="1"/>
  <c r="U25" i="28"/>
  <c r="AB25" i="28" s="1"/>
  <c r="V25" i="28"/>
  <c r="AC25" i="28" s="1"/>
  <c r="Q26" i="28"/>
  <c r="X26" i="28" s="1"/>
  <c r="R26" i="28"/>
  <c r="Y26" i="28" s="1"/>
  <c r="S26" i="28"/>
  <c r="Z26" i="28" s="1"/>
  <c r="T26" i="28"/>
  <c r="AA26" i="28" s="1"/>
  <c r="U26" i="28"/>
  <c r="AB26" i="28" s="1"/>
  <c r="V26" i="28"/>
  <c r="AC26" i="28" s="1"/>
  <c r="Q27" i="28"/>
  <c r="X27" i="28" s="1"/>
  <c r="R27" i="28"/>
  <c r="Y27" i="28" s="1"/>
  <c r="S27" i="28"/>
  <c r="Z27" i="28" s="1"/>
  <c r="T27" i="28"/>
  <c r="AA27" i="28" s="1"/>
  <c r="U27" i="28"/>
  <c r="AB27" i="28" s="1"/>
  <c r="V27" i="28"/>
  <c r="AC27" i="28" s="1"/>
  <c r="Q28" i="28"/>
  <c r="X28" i="28" s="1"/>
  <c r="R28" i="28"/>
  <c r="Y28" i="28" s="1"/>
  <c r="S28" i="28"/>
  <c r="Z28" i="28" s="1"/>
  <c r="T28" i="28"/>
  <c r="AA28" i="28" s="1"/>
  <c r="U28" i="28"/>
  <c r="AB28" i="28" s="1"/>
  <c r="V28" i="28"/>
  <c r="AC28" i="28" s="1"/>
  <c r="Q29" i="28"/>
  <c r="X29" i="28" s="1"/>
  <c r="R29" i="28"/>
  <c r="Y29" i="28" s="1"/>
  <c r="S29" i="28"/>
  <c r="Z29" i="28" s="1"/>
  <c r="T29" i="28"/>
  <c r="AA29" i="28" s="1"/>
  <c r="U29" i="28"/>
  <c r="AB29" i="28" s="1"/>
  <c r="V29" i="28"/>
  <c r="AC29" i="28" s="1"/>
  <c r="Q30" i="28"/>
  <c r="X30" i="28" s="1"/>
  <c r="R30" i="28"/>
  <c r="Y30" i="28" s="1"/>
  <c r="S30" i="28"/>
  <c r="Z30" i="28" s="1"/>
  <c r="T30" i="28"/>
  <c r="AA30" i="28" s="1"/>
  <c r="U30" i="28"/>
  <c r="AB30" i="28" s="1"/>
  <c r="V30" i="28"/>
  <c r="AC30" i="28" s="1"/>
  <c r="Q31" i="28"/>
  <c r="X31" i="28" s="1"/>
  <c r="R31" i="28"/>
  <c r="Y31" i="28" s="1"/>
  <c r="S31" i="28"/>
  <c r="Z31" i="28" s="1"/>
  <c r="T31" i="28"/>
  <c r="AA31" i="28" s="1"/>
  <c r="U31" i="28"/>
  <c r="AB31" i="28" s="1"/>
  <c r="V31" i="28"/>
  <c r="AC31" i="28" s="1"/>
  <c r="Q32" i="28"/>
  <c r="X32" i="28" s="1"/>
  <c r="R32" i="28"/>
  <c r="Y32" i="28" s="1"/>
  <c r="S32" i="28"/>
  <c r="Z32" i="28" s="1"/>
  <c r="T32" i="28"/>
  <c r="AA32" i="28" s="1"/>
  <c r="U32" i="28"/>
  <c r="AB32" i="28" s="1"/>
  <c r="Q33" i="28"/>
  <c r="X33" i="28" s="1"/>
  <c r="R33" i="28"/>
  <c r="Y33" i="28" s="1"/>
  <c r="S33" i="28"/>
  <c r="Z33" i="28" s="1"/>
  <c r="T33" i="28"/>
  <c r="AA33" i="28" s="1"/>
  <c r="U33" i="28"/>
  <c r="AB33" i="28" s="1"/>
  <c r="V33" i="28"/>
  <c r="AC33" i="28" s="1"/>
  <c r="Q34" i="28"/>
  <c r="X34" i="28" s="1"/>
  <c r="R34" i="28"/>
  <c r="Y34" i="28" s="1"/>
  <c r="S34" i="28"/>
  <c r="Z34" i="28" s="1"/>
  <c r="T34" i="28"/>
  <c r="AA34" i="28" s="1"/>
  <c r="U34" i="28"/>
  <c r="AB34" i="28" s="1"/>
  <c r="V34" i="28"/>
  <c r="AC34" i="28" s="1"/>
  <c r="Q35" i="28"/>
  <c r="X35" i="28" s="1"/>
  <c r="R35" i="28"/>
  <c r="Y35" i="28" s="1"/>
  <c r="S35" i="28"/>
  <c r="Z35" i="28" s="1"/>
  <c r="T35" i="28"/>
  <c r="AA35" i="28" s="1"/>
  <c r="U35" i="28"/>
  <c r="AB35" i="28" s="1"/>
  <c r="V35" i="28"/>
  <c r="AC35" i="28" s="1"/>
  <c r="Q36" i="28"/>
  <c r="X36" i="28" s="1"/>
  <c r="R36" i="28"/>
  <c r="Y36" i="28" s="1"/>
  <c r="S36" i="28"/>
  <c r="Z36" i="28" s="1"/>
  <c r="T36" i="28"/>
  <c r="AA36" i="28" s="1"/>
  <c r="U36" i="28"/>
  <c r="AB36" i="28" s="1"/>
  <c r="V36" i="28"/>
  <c r="AC36" i="28" s="1"/>
  <c r="Q37" i="28"/>
  <c r="X37" i="28" s="1"/>
  <c r="R37" i="28"/>
  <c r="Y37" i="28" s="1"/>
  <c r="S37" i="28"/>
  <c r="Z37" i="28" s="1"/>
  <c r="T37" i="28"/>
  <c r="AA37" i="28" s="1"/>
  <c r="U37" i="28"/>
  <c r="AB37" i="28" s="1"/>
  <c r="V37" i="28"/>
  <c r="AC37" i="28" s="1"/>
  <c r="Q38" i="28"/>
  <c r="X38" i="28" s="1"/>
  <c r="R38" i="28"/>
  <c r="Y38" i="28" s="1"/>
  <c r="S38" i="28"/>
  <c r="Z38" i="28" s="1"/>
  <c r="T38" i="28"/>
  <c r="AA38" i="28" s="1"/>
  <c r="U38" i="28"/>
  <c r="AB38" i="28" s="1"/>
  <c r="V38" i="28"/>
  <c r="AC38" i="28" s="1"/>
  <c r="Q39" i="28"/>
  <c r="X39" i="28" s="1"/>
  <c r="R39" i="28"/>
  <c r="Y39" i="28" s="1"/>
  <c r="S39" i="28"/>
  <c r="Z39" i="28" s="1"/>
  <c r="T39" i="28"/>
  <c r="AA39" i="28" s="1"/>
  <c r="U39" i="28"/>
  <c r="AB39" i="28" s="1"/>
  <c r="V39" i="28"/>
  <c r="AC39" i="28" s="1"/>
  <c r="Q40" i="28"/>
  <c r="X40" i="28" s="1"/>
  <c r="R40" i="28"/>
  <c r="Y40" i="28" s="1"/>
  <c r="S40" i="28"/>
  <c r="Z40" i="28" s="1"/>
  <c r="T40" i="28"/>
  <c r="AA40" i="28" s="1"/>
  <c r="U40" i="28"/>
  <c r="AB40" i="28" s="1"/>
  <c r="Q41" i="28"/>
  <c r="X41" i="28" s="1"/>
  <c r="R41" i="28"/>
  <c r="Y41" i="28" s="1"/>
  <c r="S41" i="28"/>
  <c r="Z41" i="28" s="1"/>
  <c r="T41" i="28"/>
  <c r="AA41" i="28" s="1"/>
  <c r="U41" i="28"/>
  <c r="AB41" i="28" s="1"/>
  <c r="V41" i="28"/>
  <c r="AC41" i="28" s="1"/>
  <c r="Q42" i="28"/>
  <c r="X42" i="28" s="1"/>
  <c r="R42" i="28"/>
  <c r="Y42" i="28" s="1"/>
  <c r="S42" i="28"/>
  <c r="Z42" i="28" s="1"/>
  <c r="T42" i="28"/>
  <c r="AA42" i="28" s="1"/>
  <c r="U42" i="28"/>
  <c r="AB42" i="28" s="1"/>
  <c r="V42" i="28"/>
  <c r="AC42" i="28" s="1"/>
  <c r="Q43" i="28"/>
  <c r="X43" i="28" s="1"/>
  <c r="R43" i="28"/>
  <c r="Y43" i="28" s="1"/>
  <c r="S43" i="28"/>
  <c r="Z43" i="28" s="1"/>
  <c r="T43" i="28"/>
  <c r="AA43" i="28" s="1"/>
  <c r="U43" i="28"/>
  <c r="AB43" i="28" s="1"/>
  <c r="V43" i="28"/>
  <c r="AC43" i="28" s="1"/>
  <c r="Q44" i="28"/>
  <c r="X44" i="28" s="1"/>
  <c r="R44" i="28"/>
  <c r="Y44" i="28" s="1"/>
  <c r="S44" i="28"/>
  <c r="Z44" i="28" s="1"/>
  <c r="T44" i="28"/>
  <c r="AA44" i="28" s="1"/>
  <c r="U44" i="28"/>
  <c r="AB44" i="28" s="1"/>
  <c r="V44" i="28"/>
  <c r="AC44" i="28" s="1"/>
  <c r="Q45" i="28"/>
  <c r="X45" i="28" s="1"/>
  <c r="R45" i="28"/>
  <c r="Y45" i="28" s="1"/>
  <c r="S45" i="28"/>
  <c r="Z45" i="28" s="1"/>
  <c r="T45" i="28"/>
  <c r="AA45" i="28" s="1"/>
  <c r="U45" i="28"/>
  <c r="AB45" i="28" s="1"/>
  <c r="V45" i="28"/>
  <c r="AC45" i="28" s="1"/>
  <c r="Q46" i="28"/>
  <c r="X46" i="28" s="1"/>
  <c r="R46" i="28"/>
  <c r="Y46" i="28" s="1"/>
  <c r="S46" i="28"/>
  <c r="Z46" i="28" s="1"/>
  <c r="T46" i="28"/>
  <c r="AA46" i="28" s="1"/>
  <c r="U46" i="28"/>
  <c r="AB46" i="28" s="1"/>
  <c r="V46" i="28"/>
  <c r="AC46" i="28" s="1"/>
  <c r="Q47" i="28"/>
  <c r="X47" i="28" s="1"/>
  <c r="R47" i="28"/>
  <c r="Y47" i="28" s="1"/>
  <c r="S47" i="28"/>
  <c r="Z47" i="28" s="1"/>
  <c r="T47" i="28"/>
  <c r="AA47" i="28" s="1"/>
  <c r="U47" i="28"/>
  <c r="AB47" i="28" s="1"/>
  <c r="V47" i="28"/>
  <c r="AC47" i="28" s="1"/>
  <c r="Q48" i="28"/>
  <c r="X48" i="28" s="1"/>
  <c r="R48" i="28"/>
  <c r="Y48" i="28" s="1"/>
  <c r="S48" i="28"/>
  <c r="Z48" i="28" s="1"/>
  <c r="T48" i="28"/>
  <c r="AA48" i="28" s="1"/>
  <c r="U48" i="28"/>
  <c r="AB48" i="28" s="1"/>
  <c r="Q49" i="28"/>
  <c r="X49" i="28" s="1"/>
  <c r="R49" i="28"/>
  <c r="Y49" i="28" s="1"/>
  <c r="S49" i="28"/>
  <c r="Z49" i="28" s="1"/>
  <c r="T49" i="28"/>
  <c r="AA49" i="28" s="1"/>
  <c r="U49" i="28"/>
  <c r="AB49" i="28" s="1"/>
  <c r="V49" i="28"/>
  <c r="AC49" i="28" s="1"/>
  <c r="Q50" i="28"/>
  <c r="X50" i="28" s="1"/>
  <c r="R50" i="28"/>
  <c r="Y50" i="28" s="1"/>
  <c r="S50" i="28"/>
  <c r="Z50" i="28" s="1"/>
  <c r="T50" i="28"/>
  <c r="AA50" i="28" s="1"/>
  <c r="U50" i="28"/>
  <c r="AB50" i="28" s="1"/>
  <c r="V50" i="28"/>
  <c r="AC50" i="28" s="1"/>
  <c r="Q51" i="28"/>
  <c r="X51" i="28" s="1"/>
  <c r="R51" i="28"/>
  <c r="Y51" i="28" s="1"/>
  <c r="S51" i="28"/>
  <c r="Z51" i="28" s="1"/>
  <c r="T51" i="28"/>
  <c r="AA51" i="28" s="1"/>
  <c r="U51" i="28"/>
  <c r="AB51" i="28" s="1"/>
  <c r="V51" i="28"/>
  <c r="AC51" i="28" s="1"/>
  <c r="Q52" i="28"/>
  <c r="X52" i="28" s="1"/>
  <c r="R52" i="28"/>
  <c r="Y52" i="28" s="1"/>
  <c r="S52" i="28"/>
  <c r="Z52" i="28" s="1"/>
  <c r="T52" i="28"/>
  <c r="AA52" i="28" s="1"/>
  <c r="U52" i="28"/>
  <c r="AB52" i="28" s="1"/>
  <c r="V52" i="28"/>
  <c r="AC52" i="28" s="1"/>
  <c r="Q53" i="28"/>
  <c r="X53" i="28" s="1"/>
  <c r="R53" i="28"/>
  <c r="Y53" i="28" s="1"/>
  <c r="S53" i="28"/>
  <c r="Z53" i="28" s="1"/>
  <c r="T53" i="28"/>
  <c r="AA53" i="28" s="1"/>
  <c r="U53" i="28"/>
  <c r="AB53" i="28" s="1"/>
  <c r="V53" i="28"/>
  <c r="AC53" i="28" s="1"/>
  <c r="Q54" i="28"/>
  <c r="X54" i="28" s="1"/>
  <c r="R54" i="28"/>
  <c r="Y54" i="28" s="1"/>
  <c r="S54" i="28"/>
  <c r="Z54" i="28" s="1"/>
  <c r="T54" i="28"/>
  <c r="AA54" i="28" s="1"/>
  <c r="U54" i="28"/>
  <c r="AB54" i="28" s="1"/>
  <c r="V54" i="28"/>
  <c r="AC54" i="28" s="1"/>
  <c r="Q55" i="28"/>
  <c r="X55" i="28" s="1"/>
  <c r="R55" i="28"/>
  <c r="Y55" i="28" s="1"/>
  <c r="S55" i="28"/>
  <c r="Z55" i="28" s="1"/>
  <c r="T55" i="28"/>
  <c r="AA55" i="28" s="1"/>
  <c r="U55" i="28"/>
  <c r="AB55" i="28" s="1"/>
  <c r="V55" i="28"/>
  <c r="AC55" i="28" s="1"/>
  <c r="Q56" i="28"/>
  <c r="X56" i="28" s="1"/>
  <c r="R56" i="28"/>
  <c r="Y56" i="28" s="1"/>
  <c r="S56" i="28"/>
  <c r="Z56" i="28" s="1"/>
  <c r="T56" i="28"/>
  <c r="AA56" i="28" s="1"/>
  <c r="U56" i="28"/>
  <c r="AB56" i="28" s="1"/>
  <c r="Q57" i="28"/>
  <c r="X57" i="28" s="1"/>
  <c r="R57" i="28"/>
  <c r="Y57" i="28" s="1"/>
  <c r="S57" i="28"/>
  <c r="Z57" i="28" s="1"/>
  <c r="T57" i="28"/>
  <c r="AA57" i="28" s="1"/>
  <c r="U57" i="28"/>
  <c r="AB57" i="28" s="1"/>
  <c r="V57" i="28"/>
  <c r="AC57" i="28" s="1"/>
  <c r="Q58" i="28"/>
  <c r="X58" i="28" s="1"/>
  <c r="R58" i="28"/>
  <c r="Y58" i="28" s="1"/>
  <c r="S58" i="28"/>
  <c r="Z58" i="28" s="1"/>
  <c r="T58" i="28"/>
  <c r="AA58" i="28" s="1"/>
  <c r="U58" i="28"/>
  <c r="AB58" i="28" s="1"/>
  <c r="V58" i="28"/>
  <c r="AC58" i="28" s="1"/>
  <c r="Q59" i="28"/>
  <c r="X59" i="28" s="1"/>
  <c r="R59" i="28"/>
  <c r="Y59" i="28" s="1"/>
  <c r="S59" i="28"/>
  <c r="Z59" i="28" s="1"/>
  <c r="T59" i="28"/>
  <c r="AA59" i="28" s="1"/>
  <c r="U59" i="28"/>
  <c r="AB59" i="28" s="1"/>
  <c r="V59" i="28"/>
  <c r="AC59" i="28" s="1"/>
  <c r="Q60" i="28"/>
  <c r="X60" i="28" s="1"/>
  <c r="R60" i="28"/>
  <c r="Y60" i="28" s="1"/>
  <c r="S60" i="28"/>
  <c r="Z60" i="28" s="1"/>
  <c r="T60" i="28"/>
  <c r="AA60" i="28" s="1"/>
  <c r="U60" i="28"/>
  <c r="AB60" i="28" s="1"/>
  <c r="V60" i="28"/>
  <c r="AC60" i="28" s="1"/>
  <c r="Q61" i="28"/>
  <c r="X61" i="28" s="1"/>
  <c r="R61" i="28"/>
  <c r="Y61" i="28" s="1"/>
  <c r="S61" i="28"/>
  <c r="Z61" i="28" s="1"/>
  <c r="T61" i="28"/>
  <c r="AA61" i="28" s="1"/>
  <c r="U61" i="28"/>
  <c r="AB61" i="28" s="1"/>
  <c r="V61" i="28"/>
  <c r="AC61" i="28" s="1"/>
  <c r="Q62" i="28"/>
  <c r="X62" i="28" s="1"/>
  <c r="R62" i="28"/>
  <c r="Y62" i="28" s="1"/>
  <c r="S62" i="28"/>
  <c r="Z62" i="28" s="1"/>
  <c r="T62" i="28"/>
  <c r="AA62" i="28" s="1"/>
  <c r="U62" i="28"/>
  <c r="AB62" i="28" s="1"/>
  <c r="V62" i="28"/>
  <c r="AC62" i="28" s="1"/>
  <c r="Q63" i="28"/>
  <c r="X63" i="28" s="1"/>
  <c r="R63" i="28"/>
  <c r="Y63" i="28" s="1"/>
  <c r="S63" i="28"/>
  <c r="Z63" i="28" s="1"/>
  <c r="T63" i="28"/>
  <c r="AA63" i="28" s="1"/>
  <c r="U63" i="28"/>
  <c r="AB63" i="28" s="1"/>
  <c r="V63" i="28"/>
  <c r="AC63" i="28" s="1"/>
  <c r="Q64" i="28"/>
  <c r="X64" i="28" s="1"/>
  <c r="R64" i="28"/>
  <c r="Y64" i="28" s="1"/>
  <c r="S64" i="28"/>
  <c r="Z64" i="28" s="1"/>
  <c r="T64" i="28"/>
  <c r="AA64" i="28" s="1"/>
  <c r="U64" i="28"/>
  <c r="AB64" i="28" s="1"/>
  <c r="Q65" i="28"/>
  <c r="X65" i="28" s="1"/>
  <c r="R65" i="28"/>
  <c r="Y65" i="28" s="1"/>
  <c r="S65" i="28"/>
  <c r="Z65" i="28" s="1"/>
  <c r="T65" i="28"/>
  <c r="AA65" i="28" s="1"/>
  <c r="U65" i="28"/>
  <c r="AB65" i="28" s="1"/>
  <c r="V65" i="28"/>
  <c r="AC65" i="28" s="1"/>
  <c r="Q66" i="28"/>
  <c r="X66" i="28" s="1"/>
  <c r="R66" i="28"/>
  <c r="Y66" i="28" s="1"/>
  <c r="S66" i="28"/>
  <c r="Z66" i="28" s="1"/>
  <c r="T66" i="28"/>
  <c r="AA66" i="28" s="1"/>
  <c r="U66" i="28"/>
  <c r="AB66" i="28" s="1"/>
  <c r="V66" i="28"/>
  <c r="AC66" i="28" s="1"/>
  <c r="Q67" i="28"/>
  <c r="X67" i="28" s="1"/>
  <c r="R67" i="28"/>
  <c r="Y67" i="28" s="1"/>
  <c r="S67" i="28"/>
  <c r="Z67" i="28" s="1"/>
  <c r="T67" i="28"/>
  <c r="AA67" i="28" s="1"/>
  <c r="U67" i="28"/>
  <c r="AB67" i="28" s="1"/>
  <c r="V67" i="28"/>
  <c r="AC67" i="28" s="1"/>
  <c r="Q68" i="28"/>
  <c r="X68" i="28" s="1"/>
  <c r="R68" i="28"/>
  <c r="Y68" i="28" s="1"/>
  <c r="S68" i="28"/>
  <c r="Z68" i="28" s="1"/>
  <c r="T68" i="28"/>
  <c r="AA68" i="28" s="1"/>
  <c r="U68" i="28"/>
  <c r="AB68" i="28" s="1"/>
  <c r="V68" i="28"/>
  <c r="AC68" i="28" s="1"/>
  <c r="Q69" i="28"/>
  <c r="X69" i="28" s="1"/>
  <c r="R69" i="28"/>
  <c r="Y69" i="28" s="1"/>
  <c r="S69" i="28"/>
  <c r="Z69" i="28" s="1"/>
  <c r="T69" i="28"/>
  <c r="AA69" i="28" s="1"/>
  <c r="U69" i="28"/>
  <c r="AB69" i="28" s="1"/>
  <c r="V69" i="28"/>
  <c r="AC69" i="28" s="1"/>
  <c r="Q70" i="28"/>
  <c r="X70" i="28" s="1"/>
  <c r="R70" i="28"/>
  <c r="Y70" i="28" s="1"/>
  <c r="S70" i="28"/>
  <c r="Z70" i="28" s="1"/>
  <c r="T70" i="28"/>
  <c r="AA70" i="28" s="1"/>
  <c r="U70" i="28"/>
  <c r="AB70" i="28" s="1"/>
  <c r="V70" i="28"/>
  <c r="AC70" i="28" s="1"/>
  <c r="Q71" i="28"/>
  <c r="X71" i="28" s="1"/>
  <c r="R71" i="28"/>
  <c r="Y71" i="28" s="1"/>
  <c r="S71" i="28"/>
  <c r="Z71" i="28" s="1"/>
  <c r="T71" i="28"/>
  <c r="AA71" i="28" s="1"/>
  <c r="U71" i="28"/>
  <c r="AB71" i="28" s="1"/>
  <c r="V71" i="28"/>
  <c r="AC71" i="28" s="1"/>
  <c r="Q72" i="28"/>
  <c r="X72" i="28" s="1"/>
  <c r="R72" i="28"/>
  <c r="Y72" i="28" s="1"/>
  <c r="S72" i="28"/>
  <c r="Z72" i="28" s="1"/>
  <c r="T72" i="28"/>
  <c r="AA72" i="28" s="1"/>
  <c r="U72" i="28"/>
  <c r="AB72" i="28" s="1"/>
  <c r="Q73" i="28"/>
  <c r="X73" i="28" s="1"/>
  <c r="R73" i="28"/>
  <c r="Y73" i="28" s="1"/>
  <c r="S73" i="28"/>
  <c r="Z73" i="28" s="1"/>
  <c r="T73" i="28"/>
  <c r="AA73" i="28" s="1"/>
  <c r="U73" i="28"/>
  <c r="AB73" i="28" s="1"/>
  <c r="V73" i="28"/>
  <c r="AC73" i="28" s="1"/>
  <c r="Q74" i="28"/>
  <c r="X74" i="28" s="1"/>
  <c r="R74" i="28"/>
  <c r="Y74" i="28" s="1"/>
  <c r="S74" i="28"/>
  <c r="Z74" i="28" s="1"/>
  <c r="T74" i="28"/>
  <c r="AA74" i="28" s="1"/>
  <c r="U74" i="28"/>
  <c r="AB74" i="28" s="1"/>
  <c r="V74" i="28"/>
  <c r="AC74" i="28" s="1"/>
  <c r="Q75" i="28"/>
  <c r="X75" i="28" s="1"/>
  <c r="R75" i="28"/>
  <c r="Y75" i="28" s="1"/>
  <c r="S75" i="28"/>
  <c r="Z75" i="28" s="1"/>
  <c r="T75" i="28"/>
  <c r="AA75" i="28" s="1"/>
  <c r="U75" i="28"/>
  <c r="AB75" i="28" s="1"/>
  <c r="V75" i="28"/>
  <c r="AC75" i="28" s="1"/>
  <c r="Q76" i="28"/>
  <c r="X76" i="28" s="1"/>
  <c r="R76" i="28"/>
  <c r="Y76" i="28" s="1"/>
  <c r="S76" i="28"/>
  <c r="Z76" i="28" s="1"/>
  <c r="T76" i="28"/>
  <c r="AA76" i="28" s="1"/>
  <c r="U76" i="28"/>
  <c r="AB76" i="28" s="1"/>
  <c r="V76" i="28"/>
  <c r="AC76" i="28" s="1"/>
  <c r="Q77" i="28"/>
  <c r="X77" i="28" s="1"/>
  <c r="R77" i="28"/>
  <c r="Y77" i="28" s="1"/>
  <c r="S77" i="28"/>
  <c r="Z77" i="28" s="1"/>
  <c r="T77" i="28"/>
  <c r="AA77" i="28" s="1"/>
  <c r="U77" i="28"/>
  <c r="AB77" i="28" s="1"/>
  <c r="V77" i="28"/>
  <c r="AC77" i="28" s="1"/>
  <c r="Q78" i="28"/>
  <c r="X78" i="28" s="1"/>
  <c r="R78" i="28"/>
  <c r="Y78" i="28" s="1"/>
  <c r="S78" i="28"/>
  <c r="Z78" i="28" s="1"/>
  <c r="T78" i="28"/>
  <c r="AA78" i="28" s="1"/>
  <c r="U78" i="28"/>
  <c r="AB78" i="28" s="1"/>
  <c r="V78" i="28"/>
  <c r="AC78" i="28" s="1"/>
  <c r="Q79" i="28"/>
  <c r="X79" i="28" s="1"/>
  <c r="R79" i="28"/>
  <c r="Y79" i="28" s="1"/>
  <c r="S79" i="28"/>
  <c r="Z79" i="28" s="1"/>
  <c r="T79" i="28"/>
  <c r="AA79" i="28" s="1"/>
  <c r="U79" i="28"/>
  <c r="AB79" i="28" s="1"/>
  <c r="V79" i="28"/>
  <c r="AC79" i="28" s="1"/>
  <c r="Q80" i="28"/>
  <c r="X80" i="28" s="1"/>
  <c r="R80" i="28"/>
  <c r="Y80" i="28" s="1"/>
  <c r="S80" i="28"/>
  <c r="Z80" i="28" s="1"/>
  <c r="T80" i="28"/>
  <c r="AA80" i="28" s="1"/>
  <c r="U80" i="28"/>
  <c r="AB80" i="28" s="1"/>
  <c r="Q81" i="28"/>
  <c r="X81" i="28" s="1"/>
  <c r="R81" i="28"/>
  <c r="Y81" i="28" s="1"/>
  <c r="S81" i="28"/>
  <c r="Z81" i="28" s="1"/>
  <c r="T81" i="28"/>
  <c r="AA81" i="28" s="1"/>
  <c r="U81" i="28"/>
  <c r="AB81" i="28" s="1"/>
  <c r="V81" i="28"/>
  <c r="AC81" i="28" s="1"/>
  <c r="Q82" i="28"/>
  <c r="X82" i="28" s="1"/>
  <c r="R82" i="28"/>
  <c r="Y82" i="28" s="1"/>
  <c r="S82" i="28"/>
  <c r="Z82" i="28" s="1"/>
  <c r="T82" i="28"/>
  <c r="AA82" i="28" s="1"/>
  <c r="U82" i="28"/>
  <c r="AB82" i="28" s="1"/>
  <c r="V82" i="28"/>
  <c r="AC82" i="28" s="1"/>
  <c r="Q83" i="28"/>
  <c r="X83" i="28" s="1"/>
  <c r="R83" i="28"/>
  <c r="Y83" i="28" s="1"/>
  <c r="S83" i="28"/>
  <c r="Z83" i="28" s="1"/>
  <c r="T83" i="28"/>
  <c r="AA83" i="28" s="1"/>
  <c r="U83" i="28"/>
  <c r="AB83" i="28" s="1"/>
  <c r="V83" i="28"/>
  <c r="AC83" i="28" s="1"/>
  <c r="Q84" i="28"/>
  <c r="X84" i="28" s="1"/>
  <c r="R84" i="28"/>
  <c r="Y84" i="28" s="1"/>
  <c r="S84" i="28"/>
  <c r="Z84" i="28" s="1"/>
  <c r="T84" i="28"/>
  <c r="AA84" i="28" s="1"/>
  <c r="U84" i="28"/>
  <c r="AB84" i="28" s="1"/>
  <c r="V84" i="28"/>
  <c r="AC84" i="28" s="1"/>
  <c r="Q85" i="28"/>
  <c r="X85" i="28" s="1"/>
  <c r="R85" i="28"/>
  <c r="Y85" i="28" s="1"/>
  <c r="S85" i="28"/>
  <c r="Z85" i="28" s="1"/>
  <c r="T85" i="28"/>
  <c r="AA85" i="28" s="1"/>
  <c r="U85" i="28"/>
  <c r="AB85" i="28" s="1"/>
  <c r="V85" i="28"/>
  <c r="AC85" i="28" s="1"/>
  <c r="Q86" i="28"/>
  <c r="X86" i="28" s="1"/>
  <c r="R86" i="28"/>
  <c r="Y86" i="28" s="1"/>
  <c r="S86" i="28"/>
  <c r="Z86" i="28" s="1"/>
  <c r="T86" i="28"/>
  <c r="AA86" i="28" s="1"/>
  <c r="U86" i="28"/>
  <c r="AB86" i="28" s="1"/>
  <c r="V86" i="28"/>
  <c r="AC86" i="28" s="1"/>
  <c r="Q87" i="28"/>
  <c r="X87" i="28" s="1"/>
  <c r="R87" i="28"/>
  <c r="Y87" i="28" s="1"/>
  <c r="S87" i="28"/>
  <c r="Z87" i="28" s="1"/>
  <c r="T87" i="28"/>
  <c r="AA87" i="28" s="1"/>
  <c r="U87" i="28"/>
  <c r="AB87" i="28" s="1"/>
  <c r="V87" i="28"/>
  <c r="AC87" i="28" s="1"/>
  <c r="Q88" i="28"/>
  <c r="X88" i="28" s="1"/>
  <c r="R88" i="28"/>
  <c r="Y88" i="28" s="1"/>
  <c r="S88" i="28"/>
  <c r="Z88" i="28" s="1"/>
  <c r="T88" i="28"/>
  <c r="AA88" i="28" s="1"/>
  <c r="U88" i="28"/>
  <c r="AB88" i="28" s="1"/>
  <c r="Q89" i="28"/>
  <c r="X89" i="28" s="1"/>
  <c r="R89" i="28"/>
  <c r="Y89" i="28" s="1"/>
  <c r="S89" i="28"/>
  <c r="Z89" i="28" s="1"/>
  <c r="T89" i="28"/>
  <c r="AA89" i="28" s="1"/>
  <c r="U89" i="28"/>
  <c r="AB89" i="28" s="1"/>
  <c r="V89" i="28"/>
  <c r="AC89" i="28" s="1"/>
  <c r="Q90" i="28"/>
  <c r="X90" i="28" s="1"/>
  <c r="R90" i="28"/>
  <c r="Y90" i="28" s="1"/>
  <c r="S90" i="28"/>
  <c r="Z90" i="28" s="1"/>
  <c r="T90" i="28"/>
  <c r="AA90" i="28" s="1"/>
  <c r="U90" i="28"/>
  <c r="AB90" i="28" s="1"/>
  <c r="V90" i="28"/>
  <c r="AC90" i="28" s="1"/>
  <c r="Q91" i="28"/>
  <c r="X91" i="28" s="1"/>
  <c r="R91" i="28"/>
  <c r="Y91" i="28" s="1"/>
  <c r="S91" i="28"/>
  <c r="Z91" i="28" s="1"/>
  <c r="T91" i="28"/>
  <c r="AA91" i="28" s="1"/>
  <c r="U91" i="28"/>
  <c r="AB91" i="28" s="1"/>
  <c r="V91" i="28"/>
  <c r="AC91" i="28" s="1"/>
  <c r="Q92" i="28"/>
  <c r="X92" i="28" s="1"/>
  <c r="R92" i="28"/>
  <c r="Y92" i="28" s="1"/>
  <c r="S92" i="28"/>
  <c r="Z92" i="28" s="1"/>
  <c r="T92" i="28"/>
  <c r="AA92" i="28" s="1"/>
  <c r="U92" i="28"/>
  <c r="AB92" i="28" s="1"/>
  <c r="V92" i="28"/>
  <c r="AC92" i="28" s="1"/>
  <c r="Q93" i="28"/>
  <c r="X93" i="28" s="1"/>
  <c r="R93" i="28"/>
  <c r="Y93" i="28" s="1"/>
  <c r="S93" i="28"/>
  <c r="Z93" i="28" s="1"/>
  <c r="T93" i="28"/>
  <c r="AA93" i="28" s="1"/>
  <c r="U93" i="28"/>
  <c r="AB93" i="28" s="1"/>
  <c r="V93" i="28"/>
  <c r="AC93" i="28" s="1"/>
  <c r="Q94" i="28"/>
  <c r="X94" i="28" s="1"/>
  <c r="R94" i="28"/>
  <c r="Y94" i="28" s="1"/>
  <c r="S94" i="28"/>
  <c r="Z94" i="28" s="1"/>
  <c r="T94" i="28"/>
  <c r="AA94" i="28" s="1"/>
  <c r="U94" i="28"/>
  <c r="AB94" i="28" s="1"/>
  <c r="V94" i="28"/>
  <c r="AC94" i="28" s="1"/>
  <c r="Q95" i="28"/>
  <c r="X95" i="28" s="1"/>
  <c r="R95" i="28"/>
  <c r="Y95" i="28" s="1"/>
  <c r="S95" i="28"/>
  <c r="Z95" i="28" s="1"/>
  <c r="T95" i="28"/>
  <c r="AA95" i="28" s="1"/>
  <c r="U95" i="28"/>
  <c r="AB95" i="28" s="1"/>
  <c r="V95" i="28"/>
  <c r="AC95" i="28" s="1"/>
  <c r="Q96" i="28"/>
  <c r="X96" i="28" s="1"/>
  <c r="R96" i="28"/>
  <c r="Y96" i="28" s="1"/>
  <c r="S96" i="28"/>
  <c r="Z96" i="28" s="1"/>
  <c r="T96" i="28"/>
  <c r="AA96" i="28" s="1"/>
  <c r="U96" i="28"/>
  <c r="AB96" i="28" s="1"/>
  <c r="Q97" i="28"/>
  <c r="X97" i="28" s="1"/>
  <c r="R97" i="28"/>
  <c r="Y97" i="28" s="1"/>
  <c r="S97" i="28"/>
  <c r="Z97" i="28" s="1"/>
  <c r="T97" i="28"/>
  <c r="AA97" i="28" s="1"/>
  <c r="U97" i="28"/>
  <c r="AB97" i="28" s="1"/>
  <c r="V97" i="28"/>
  <c r="AC97" i="28" s="1"/>
  <c r="Q98" i="28"/>
  <c r="X98" i="28" s="1"/>
  <c r="R98" i="28"/>
  <c r="Y98" i="28" s="1"/>
  <c r="S98" i="28"/>
  <c r="Z98" i="28" s="1"/>
  <c r="T98" i="28"/>
  <c r="AA98" i="28" s="1"/>
  <c r="U98" i="28"/>
  <c r="AB98" i="28" s="1"/>
  <c r="V98" i="28"/>
  <c r="AC98" i="28" s="1"/>
  <c r="Q99" i="28"/>
  <c r="X99" i="28" s="1"/>
  <c r="R99" i="28"/>
  <c r="Y99" i="28" s="1"/>
  <c r="S99" i="28"/>
  <c r="Z99" i="28" s="1"/>
  <c r="T99" i="28"/>
  <c r="AA99" i="28" s="1"/>
  <c r="U99" i="28"/>
  <c r="AB99" i="28" s="1"/>
  <c r="V99" i="28"/>
  <c r="AC99" i="28" s="1"/>
  <c r="Q100" i="28"/>
  <c r="X100" i="28" s="1"/>
  <c r="R100" i="28"/>
  <c r="Y100" i="28" s="1"/>
  <c r="S100" i="28"/>
  <c r="Z100" i="28" s="1"/>
  <c r="T100" i="28"/>
  <c r="AA100" i="28" s="1"/>
  <c r="U100" i="28"/>
  <c r="AB100" i="28" s="1"/>
  <c r="V100" i="28"/>
  <c r="AC100" i="28" s="1"/>
  <c r="Q101" i="28"/>
  <c r="X101" i="28" s="1"/>
  <c r="R101" i="28"/>
  <c r="Y101" i="28" s="1"/>
  <c r="S101" i="28"/>
  <c r="Z101" i="28" s="1"/>
  <c r="T101" i="28"/>
  <c r="AA101" i="28" s="1"/>
  <c r="U101" i="28"/>
  <c r="AB101" i="28" s="1"/>
  <c r="V101" i="28"/>
  <c r="AC101" i="28" s="1"/>
  <c r="Q102" i="28"/>
  <c r="X102" i="28" s="1"/>
  <c r="R102" i="28"/>
  <c r="Y102" i="28" s="1"/>
  <c r="S102" i="28"/>
  <c r="Z102" i="28" s="1"/>
  <c r="T102" i="28"/>
  <c r="AA102" i="28" s="1"/>
  <c r="U102" i="28"/>
  <c r="AB102" i="28" s="1"/>
  <c r="V102" i="28"/>
  <c r="AC102" i="28" s="1"/>
  <c r="Q103" i="28"/>
  <c r="X103" i="28" s="1"/>
  <c r="R103" i="28"/>
  <c r="Y103" i="28" s="1"/>
  <c r="S103" i="28"/>
  <c r="Z103" i="28" s="1"/>
  <c r="T103" i="28"/>
  <c r="AA103" i="28" s="1"/>
  <c r="U103" i="28"/>
  <c r="AB103" i="28" s="1"/>
  <c r="V103" i="28"/>
  <c r="AC103" i="28" s="1"/>
  <c r="Q104" i="28"/>
  <c r="X104" i="28" s="1"/>
  <c r="R104" i="28"/>
  <c r="Y104" i="28" s="1"/>
  <c r="S104" i="28"/>
  <c r="Z104" i="28" s="1"/>
  <c r="T104" i="28"/>
  <c r="AA104" i="28" s="1"/>
  <c r="U104" i="28"/>
  <c r="AB104" i="28" s="1"/>
  <c r="Q105" i="28"/>
  <c r="X105" i="28" s="1"/>
  <c r="R105" i="28"/>
  <c r="Y105" i="28" s="1"/>
  <c r="S105" i="28"/>
  <c r="Z105" i="28" s="1"/>
  <c r="T105" i="28"/>
  <c r="AA105" i="28" s="1"/>
  <c r="U105" i="28"/>
  <c r="AB105" i="28" s="1"/>
  <c r="V105" i="28"/>
  <c r="AC105" i="28" s="1"/>
  <c r="Q106" i="28"/>
  <c r="X106" i="28" s="1"/>
  <c r="R106" i="28"/>
  <c r="Y106" i="28" s="1"/>
  <c r="S106" i="28"/>
  <c r="Z106" i="28" s="1"/>
  <c r="T106" i="28"/>
  <c r="AA106" i="28" s="1"/>
  <c r="U106" i="28"/>
  <c r="AB106" i="28" s="1"/>
  <c r="V106" i="28"/>
  <c r="AC106" i="28" s="1"/>
  <c r="Q107" i="28"/>
  <c r="X107" i="28" s="1"/>
  <c r="R107" i="28"/>
  <c r="Y107" i="28" s="1"/>
  <c r="S107" i="28"/>
  <c r="Z107" i="28" s="1"/>
  <c r="T107" i="28"/>
  <c r="AA107" i="28" s="1"/>
  <c r="U107" i="28"/>
  <c r="AB107" i="28" s="1"/>
  <c r="V107" i="28"/>
  <c r="AC107" i="28" s="1"/>
  <c r="Q108" i="28"/>
  <c r="X108" i="28" s="1"/>
  <c r="R108" i="28"/>
  <c r="Y108" i="28" s="1"/>
  <c r="S108" i="28"/>
  <c r="Z108" i="28" s="1"/>
  <c r="T108" i="28"/>
  <c r="AA108" i="28" s="1"/>
  <c r="U108" i="28"/>
  <c r="AB108" i="28" s="1"/>
  <c r="V108" i="28"/>
  <c r="AC108" i="28" s="1"/>
  <c r="Q109" i="28"/>
  <c r="X109" i="28" s="1"/>
  <c r="R109" i="28"/>
  <c r="Y109" i="28" s="1"/>
  <c r="S109" i="28"/>
  <c r="Z109" i="28" s="1"/>
  <c r="T109" i="28"/>
  <c r="AA109" i="28" s="1"/>
  <c r="U109" i="28"/>
  <c r="AB109" i="28" s="1"/>
  <c r="V109" i="28"/>
  <c r="AC109" i="28" s="1"/>
  <c r="Q110" i="28"/>
  <c r="X110" i="28" s="1"/>
  <c r="R110" i="28"/>
  <c r="Y110" i="28" s="1"/>
  <c r="S110" i="28"/>
  <c r="Z110" i="28" s="1"/>
  <c r="T110" i="28"/>
  <c r="AA110" i="28" s="1"/>
  <c r="U110" i="28"/>
  <c r="AB110" i="28" s="1"/>
  <c r="V110" i="28"/>
  <c r="AC110" i="28" s="1"/>
  <c r="Q111" i="28"/>
  <c r="X111" i="28" s="1"/>
  <c r="R111" i="28"/>
  <c r="Y111" i="28" s="1"/>
  <c r="S111" i="28"/>
  <c r="Z111" i="28" s="1"/>
  <c r="T111" i="28"/>
  <c r="AA111" i="28" s="1"/>
  <c r="U111" i="28"/>
  <c r="AB111" i="28" s="1"/>
  <c r="V111" i="28"/>
  <c r="AC111" i="28" s="1"/>
  <c r="Q112" i="28"/>
  <c r="X112" i="28" s="1"/>
  <c r="R112" i="28"/>
  <c r="Y112" i="28" s="1"/>
  <c r="S112" i="28"/>
  <c r="Z112" i="28" s="1"/>
  <c r="T112" i="28"/>
  <c r="AA112" i="28" s="1"/>
  <c r="U112" i="28"/>
  <c r="AB112" i="28" s="1"/>
  <c r="Q113" i="28"/>
  <c r="X113" i="28" s="1"/>
  <c r="R113" i="28"/>
  <c r="Y113" i="28" s="1"/>
  <c r="S113" i="28"/>
  <c r="Z113" i="28" s="1"/>
  <c r="T113" i="28"/>
  <c r="AA113" i="28" s="1"/>
  <c r="U113" i="28"/>
  <c r="AB113" i="28" s="1"/>
  <c r="V113" i="28"/>
  <c r="AC113" i="28" s="1"/>
  <c r="Q114" i="28"/>
  <c r="X114" i="28" s="1"/>
  <c r="R114" i="28"/>
  <c r="Y114" i="28" s="1"/>
  <c r="S114" i="28"/>
  <c r="Z114" i="28" s="1"/>
  <c r="T114" i="28"/>
  <c r="AA114" i="28" s="1"/>
  <c r="U114" i="28"/>
  <c r="AB114" i="28" s="1"/>
  <c r="V114" i="28"/>
  <c r="AC114" i="28" s="1"/>
  <c r="Q115" i="28"/>
  <c r="X115" i="28" s="1"/>
  <c r="R115" i="28"/>
  <c r="Y115" i="28" s="1"/>
  <c r="S115" i="28"/>
  <c r="Z115" i="28" s="1"/>
  <c r="T115" i="28"/>
  <c r="AA115" i="28" s="1"/>
  <c r="U115" i="28"/>
  <c r="AB115" i="28" s="1"/>
  <c r="V115" i="28"/>
  <c r="AC115" i="28" s="1"/>
  <c r="Q116" i="28"/>
  <c r="X116" i="28" s="1"/>
  <c r="R116" i="28"/>
  <c r="Y116" i="28" s="1"/>
  <c r="S116" i="28"/>
  <c r="Z116" i="28" s="1"/>
  <c r="T116" i="28"/>
  <c r="AA116" i="28" s="1"/>
  <c r="U116" i="28"/>
  <c r="AB116" i="28" s="1"/>
  <c r="V116" i="28"/>
  <c r="AC116" i="28" s="1"/>
  <c r="Q117" i="28"/>
  <c r="X117" i="28" s="1"/>
  <c r="R117" i="28"/>
  <c r="Y117" i="28" s="1"/>
  <c r="S117" i="28"/>
  <c r="Z117" i="28" s="1"/>
  <c r="T117" i="28"/>
  <c r="AA117" i="28" s="1"/>
  <c r="U117" i="28"/>
  <c r="AB117" i="28" s="1"/>
  <c r="V117" i="28"/>
  <c r="AC117" i="28" s="1"/>
  <c r="Q118" i="28"/>
  <c r="X118" i="28" s="1"/>
  <c r="R118" i="28"/>
  <c r="Y118" i="28" s="1"/>
  <c r="S118" i="28"/>
  <c r="Z118" i="28" s="1"/>
  <c r="T118" i="28"/>
  <c r="AA118" i="28" s="1"/>
  <c r="U118" i="28"/>
  <c r="AB118" i="28" s="1"/>
  <c r="V118" i="28"/>
  <c r="AC118" i="28" s="1"/>
  <c r="Q119" i="28"/>
  <c r="X119" i="28" s="1"/>
  <c r="R119" i="28"/>
  <c r="Y119" i="28" s="1"/>
  <c r="S119" i="28"/>
  <c r="Z119" i="28" s="1"/>
  <c r="T119" i="28"/>
  <c r="AA119" i="28" s="1"/>
  <c r="U119" i="28"/>
  <c r="AB119" i="28" s="1"/>
  <c r="V119" i="28"/>
  <c r="AC119" i="28" s="1"/>
  <c r="Q120" i="28"/>
  <c r="X120" i="28" s="1"/>
  <c r="R120" i="28"/>
  <c r="Y120" i="28" s="1"/>
  <c r="S120" i="28"/>
  <c r="Z120" i="28" s="1"/>
  <c r="T120" i="28"/>
  <c r="AA120" i="28" s="1"/>
  <c r="U120" i="28"/>
  <c r="AB120" i="28" s="1"/>
  <c r="Q121" i="28"/>
  <c r="X121" i="28" s="1"/>
  <c r="R121" i="28"/>
  <c r="Y121" i="28" s="1"/>
  <c r="S121" i="28"/>
  <c r="Z121" i="28" s="1"/>
  <c r="T121" i="28"/>
  <c r="AA121" i="28" s="1"/>
  <c r="U121" i="28"/>
  <c r="AB121" i="28" s="1"/>
  <c r="V121" i="28"/>
  <c r="AC121" i="28" s="1"/>
  <c r="Q122" i="28"/>
  <c r="X122" i="28" s="1"/>
  <c r="R122" i="28"/>
  <c r="Y122" i="28" s="1"/>
  <c r="S122" i="28"/>
  <c r="Z122" i="28" s="1"/>
  <c r="T122" i="28"/>
  <c r="AA122" i="28" s="1"/>
  <c r="U122" i="28"/>
  <c r="AB122" i="28" s="1"/>
  <c r="V122" i="28"/>
  <c r="AC122" i="28" s="1"/>
  <c r="Q123" i="28"/>
  <c r="X123" i="28" s="1"/>
  <c r="R123" i="28"/>
  <c r="Y123" i="28" s="1"/>
  <c r="S123" i="28"/>
  <c r="Z123" i="28" s="1"/>
  <c r="T123" i="28"/>
  <c r="AA123" i="28" s="1"/>
  <c r="U123" i="28"/>
  <c r="AB123" i="28" s="1"/>
  <c r="V123" i="28"/>
  <c r="AC123" i="28" s="1"/>
  <c r="Q124" i="28"/>
  <c r="X124" i="28" s="1"/>
  <c r="R124" i="28"/>
  <c r="Y124" i="28" s="1"/>
  <c r="S124" i="28"/>
  <c r="Z124" i="28" s="1"/>
  <c r="T124" i="28"/>
  <c r="AA124" i="28" s="1"/>
  <c r="U124" i="28"/>
  <c r="AB124" i="28" s="1"/>
  <c r="V124" i="28"/>
  <c r="AC124" i="28" s="1"/>
  <c r="Q125" i="28"/>
  <c r="X125" i="28" s="1"/>
  <c r="R125" i="28"/>
  <c r="Y125" i="28" s="1"/>
  <c r="S125" i="28"/>
  <c r="Z125" i="28" s="1"/>
  <c r="T125" i="28"/>
  <c r="AA125" i="28" s="1"/>
  <c r="U125" i="28"/>
  <c r="AB125" i="28" s="1"/>
  <c r="V125" i="28"/>
  <c r="AC125" i="28" s="1"/>
  <c r="Q126" i="28"/>
  <c r="X126" i="28" s="1"/>
  <c r="R126" i="28"/>
  <c r="Y126" i="28" s="1"/>
  <c r="S126" i="28"/>
  <c r="Z126" i="28" s="1"/>
  <c r="T126" i="28"/>
  <c r="AA126" i="28" s="1"/>
  <c r="U126" i="28"/>
  <c r="AB126" i="28" s="1"/>
  <c r="V126" i="28"/>
  <c r="AC126" i="28" s="1"/>
  <c r="Q127" i="28"/>
  <c r="X127" i="28" s="1"/>
  <c r="R127" i="28"/>
  <c r="Y127" i="28" s="1"/>
  <c r="S127" i="28"/>
  <c r="Z127" i="28" s="1"/>
  <c r="T127" i="28"/>
  <c r="AA127" i="28" s="1"/>
  <c r="U127" i="28"/>
  <c r="AB127" i="28" s="1"/>
  <c r="V127" i="28"/>
  <c r="AC127" i="28" s="1"/>
  <c r="Q128" i="28"/>
  <c r="X128" i="28" s="1"/>
  <c r="R128" i="28"/>
  <c r="Y128" i="28" s="1"/>
  <c r="S128" i="28"/>
  <c r="Z128" i="28" s="1"/>
  <c r="T128" i="28"/>
  <c r="AA128" i="28" s="1"/>
  <c r="U128" i="28"/>
  <c r="AB128" i="28" s="1"/>
  <c r="Q129" i="28"/>
  <c r="X129" i="28" s="1"/>
  <c r="R129" i="28"/>
  <c r="Y129" i="28" s="1"/>
  <c r="S129" i="28"/>
  <c r="Z129" i="28" s="1"/>
  <c r="T129" i="28"/>
  <c r="AA129" i="28" s="1"/>
  <c r="U129" i="28"/>
  <c r="AB129" i="28" s="1"/>
  <c r="V129" i="28"/>
  <c r="AC129" i="28" s="1"/>
  <c r="Q130" i="28"/>
  <c r="X130" i="28" s="1"/>
  <c r="R130" i="28"/>
  <c r="Y130" i="28" s="1"/>
  <c r="S130" i="28"/>
  <c r="Z130" i="28" s="1"/>
  <c r="T130" i="28"/>
  <c r="AA130" i="28" s="1"/>
  <c r="U130" i="28"/>
  <c r="AB130" i="28" s="1"/>
  <c r="V130" i="28"/>
  <c r="AC130" i="28" s="1"/>
  <c r="Q131" i="28"/>
  <c r="X131" i="28" s="1"/>
  <c r="R131" i="28"/>
  <c r="Y131" i="28" s="1"/>
  <c r="S131" i="28"/>
  <c r="Z131" i="28" s="1"/>
  <c r="T131" i="28"/>
  <c r="AA131" i="28" s="1"/>
  <c r="U131" i="28"/>
  <c r="AB131" i="28" s="1"/>
  <c r="V131" i="28"/>
  <c r="AC131" i="28" s="1"/>
  <c r="Q132" i="28"/>
  <c r="X132" i="28" s="1"/>
  <c r="R132" i="28"/>
  <c r="Y132" i="28" s="1"/>
  <c r="S132" i="28"/>
  <c r="Z132" i="28" s="1"/>
  <c r="T132" i="28"/>
  <c r="AA132" i="28" s="1"/>
  <c r="U132" i="28"/>
  <c r="AB132" i="28" s="1"/>
  <c r="V132" i="28"/>
  <c r="AC132" i="28" s="1"/>
  <c r="Q133" i="28"/>
  <c r="X133" i="28" s="1"/>
  <c r="R133" i="28"/>
  <c r="Y133" i="28" s="1"/>
  <c r="S133" i="28"/>
  <c r="Z133" i="28" s="1"/>
  <c r="T133" i="28"/>
  <c r="AA133" i="28" s="1"/>
  <c r="U133" i="28"/>
  <c r="AB133" i="28" s="1"/>
  <c r="V133" i="28"/>
  <c r="AC133" i="28" s="1"/>
  <c r="Q134" i="28"/>
  <c r="X134" i="28" s="1"/>
  <c r="R134" i="28"/>
  <c r="Y134" i="28" s="1"/>
  <c r="S134" i="28"/>
  <c r="Z134" i="28" s="1"/>
  <c r="T134" i="28"/>
  <c r="AA134" i="28" s="1"/>
  <c r="U134" i="28"/>
  <c r="AB134" i="28" s="1"/>
  <c r="V134" i="28"/>
  <c r="AC134" i="28" s="1"/>
  <c r="Q135" i="28"/>
  <c r="X135" i="28" s="1"/>
  <c r="R135" i="28"/>
  <c r="Y135" i="28" s="1"/>
  <c r="S135" i="28"/>
  <c r="Z135" i="28" s="1"/>
  <c r="T135" i="28"/>
  <c r="AA135" i="28" s="1"/>
  <c r="U135" i="28"/>
  <c r="AB135" i="28" s="1"/>
  <c r="V135" i="28"/>
  <c r="AC135" i="28" s="1"/>
  <c r="Q136" i="28"/>
  <c r="X136" i="28" s="1"/>
  <c r="R136" i="28"/>
  <c r="Y136" i="28" s="1"/>
  <c r="S136" i="28"/>
  <c r="Z136" i="28" s="1"/>
  <c r="T136" i="28"/>
  <c r="AA136" i="28" s="1"/>
  <c r="U136" i="28"/>
  <c r="AB136" i="28" s="1"/>
  <c r="Q137" i="28"/>
  <c r="X137" i="28" s="1"/>
  <c r="R137" i="28"/>
  <c r="Y137" i="28" s="1"/>
  <c r="S137" i="28"/>
  <c r="Z137" i="28" s="1"/>
  <c r="T137" i="28"/>
  <c r="AA137" i="28" s="1"/>
  <c r="U137" i="28"/>
  <c r="AB137" i="28" s="1"/>
  <c r="V137" i="28"/>
  <c r="AC137" i="28" s="1"/>
  <c r="Q138" i="28"/>
  <c r="X138" i="28" s="1"/>
  <c r="R138" i="28"/>
  <c r="Y138" i="28" s="1"/>
  <c r="S138" i="28"/>
  <c r="Z138" i="28" s="1"/>
  <c r="T138" i="28"/>
  <c r="AA138" i="28" s="1"/>
  <c r="U138" i="28"/>
  <c r="AB138" i="28" s="1"/>
  <c r="V138" i="28"/>
  <c r="AC138" i="28" s="1"/>
  <c r="Q139" i="28"/>
  <c r="X139" i="28" s="1"/>
  <c r="R139" i="28"/>
  <c r="Y139" i="28" s="1"/>
  <c r="S139" i="28"/>
  <c r="Z139" i="28" s="1"/>
  <c r="T139" i="28"/>
  <c r="AA139" i="28" s="1"/>
  <c r="U139" i="28"/>
  <c r="AB139" i="28" s="1"/>
  <c r="V139" i="28"/>
  <c r="AC139" i="28" s="1"/>
  <c r="Q140" i="28"/>
  <c r="X140" i="28" s="1"/>
  <c r="R140" i="28"/>
  <c r="Y140" i="28" s="1"/>
  <c r="S140" i="28"/>
  <c r="Z140" i="28" s="1"/>
  <c r="T140" i="28"/>
  <c r="AA140" i="28" s="1"/>
  <c r="U140" i="28"/>
  <c r="AB140" i="28" s="1"/>
  <c r="V140" i="28"/>
  <c r="AC140" i="28" s="1"/>
  <c r="Q141" i="28"/>
  <c r="X141" i="28" s="1"/>
  <c r="R141" i="28"/>
  <c r="Y141" i="28" s="1"/>
  <c r="S141" i="28"/>
  <c r="Z141" i="28" s="1"/>
  <c r="T141" i="28"/>
  <c r="AA141" i="28" s="1"/>
  <c r="U141" i="28"/>
  <c r="AB141" i="28" s="1"/>
  <c r="V141" i="28"/>
  <c r="AC141" i="28" s="1"/>
  <c r="Q142" i="28"/>
  <c r="X142" i="28" s="1"/>
  <c r="R142" i="28"/>
  <c r="Y142" i="28" s="1"/>
  <c r="S142" i="28"/>
  <c r="Z142" i="28" s="1"/>
  <c r="T142" i="28"/>
  <c r="AA142" i="28" s="1"/>
  <c r="U142" i="28"/>
  <c r="AB142" i="28" s="1"/>
  <c r="V142" i="28"/>
  <c r="AC142" i="28" s="1"/>
  <c r="Q143" i="28"/>
  <c r="X143" i="28" s="1"/>
  <c r="R143" i="28"/>
  <c r="Y143" i="28" s="1"/>
  <c r="S143" i="28"/>
  <c r="Z143" i="28" s="1"/>
  <c r="T143" i="28"/>
  <c r="AA143" i="28" s="1"/>
  <c r="U143" i="28"/>
  <c r="AB143" i="28" s="1"/>
  <c r="V143" i="28"/>
  <c r="AC143" i="28" s="1"/>
  <c r="Q144" i="28"/>
  <c r="X144" i="28" s="1"/>
  <c r="R144" i="28"/>
  <c r="Y144" i="28" s="1"/>
  <c r="S144" i="28"/>
  <c r="Z144" i="28" s="1"/>
  <c r="T144" i="28"/>
  <c r="AA144" i="28" s="1"/>
  <c r="U144" i="28"/>
  <c r="AB144" i="28" s="1"/>
  <c r="Q145" i="28"/>
  <c r="X145" i="28" s="1"/>
  <c r="R145" i="28"/>
  <c r="Y145" i="28" s="1"/>
  <c r="S145" i="28"/>
  <c r="Z145" i="28" s="1"/>
  <c r="T145" i="28"/>
  <c r="AA145" i="28" s="1"/>
  <c r="U145" i="28"/>
  <c r="AB145" i="28" s="1"/>
  <c r="V145" i="28"/>
  <c r="AC145" i="28" s="1"/>
  <c r="Q146" i="28"/>
  <c r="X146" i="28" s="1"/>
  <c r="R146" i="28"/>
  <c r="Y146" i="28" s="1"/>
  <c r="S146" i="28"/>
  <c r="Z146" i="28" s="1"/>
  <c r="T146" i="28"/>
  <c r="AA146" i="28" s="1"/>
  <c r="U146" i="28"/>
  <c r="AB146" i="28" s="1"/>
  <c r="V146" i="28"/>
  <c r="AC146" i="28" s="1"/>
  <c r="Q147" i="28"/>
  <c r="X147" i="28" s="1"/>
  <c r="R147" i="28"/>
  <c r="Y147" i="28" s="1"/>
  <c r="S147" i="28"/>
  <c r="Z147" i="28" s="1"/>
  <c r="T147" i="28"/>
  <c r="AA147" i="28" s="1"/>
  <c r="U147" i="28"/>
  <c r="AB147" i="28" s="1"/>
  <c r="V147" i="28"/>
  <c r="AC147" i="28" s="1"/>
  <c r="Q148" i="28"/>
  <c r="X148" i="28" s="1"/>
  <c r="R148" i="28"/>
  <c r="Y148" i="28" s="1"/>
  <c r="S148" i="28"/>
  <c r="Z148" i="28" s="1"/>
  <c r="T148" i="28"/>
  <c r="AA148" i="28" s="1"/>
  <c r="U148" i="28"/>
  <c r="AB148" i="28" s="1"/>
  <c r="V148" i="28"/>
  <c r="AC148" i="28" s="1"/>
  <c r="Q149" i="28"/>
  <c r="X149" i="28" s="1"/>
  <c r="R149" i="28"/>
  <c r="Y149" i="28" s="1"/>
  <c r="S149" i="28"/>
  <c r="Z149" i="28" s="1"/>
  <c r="T149" i="28"/>
  <c r="AA149" i="28" s="1"/>
  <c r="U149" i="28"/>
  <c r="AB149" i="28" s="1"/>
  <c r="V149" i="28"/>
  <c r="AC149" i="28" s="1"/>
  <c r="Q150" i="28"/>
  <c r="X150" i="28" s="1"/>
  <c r="R150" i="28"/>
  <c r="Y150" i="28" s="1"/>
  <c r="S150" i="28"/>
  <c r="Z150" i="28" s="1"/>
  <c r="T150" i="28"/>
  <c r="AA150" i="28" s="1"/>
  <c r="U150" i="28"/>
  <c r="AB150" i="28" s="1"/>
  <c r="V150" i="28"/>
  <c r="AC150" i="28" s="1"/>
  <c r="Q151" i="28"/>
  <c r="X151" i="28" s="1"/>
  <c r="R151" i="28"/>
  <c r="Y151" i="28" s="1"/>
  <c r="S151" i="28"/>
  <c r="Z151" i="28" s="1"/>
  <c r="T151" i="28"/>
  <c r="AA151" i="28" s="1"/>
  <c r="U151" i="28"/>
  <c r="AB151" i="28" s="1"/>
  <c r="V151" i="28"/>
  <c r="AC151" i="28" s="1"/>
  <c r="Q152" i="28"/>
  <c r="X152" i="28" s="1"/>
  <c r="R152" i="28"/>
  <c r="Y152" i="28" s="1"/>
  <c r="S152" i="28"/>
  <c r="Z152" i="28" s="1"/>
  <c r="T152" i="28"/>
  <c r="AA152" i="28" s="1"/>
  <c r="U152" i="28"/>
  <c r="AB152" i="28" s="1"/>
  <c r="Q153" i="28"/>
  <c r="X153" i="28" s="1"/>
  <c r="R153" i="28"/>
  <c r="Y153" i="28" s="1"/>
  <c r="S153" i="28"/>
  <c r="Z153" i="28" s="1"/>
  <c r="T153" i="28"/>
  <c r="AA153" i="28" s="1"/>
  <c r="U153" i="28"/>
  <c r="AB153" i="28" s="1"/>
  <c r="V153" i="28"/>
  <c r="AC153" i="28" s="1"/>
  <c r="Q154" i="28"/>
  <c r="X154" i="28" s="1"/>
  <c r="R154" i="28"/>
  <c r="Y154" i="28" s="1"/>
  <c r="S154" i="28"/>
  <c r="Z154" i="28" s="1"/>
  <c r="T154" i="28"/>
  <c r="AA154" i="28" s="1"/>
  <c r="U154" i="28"/>
  <c r="AB154" i="28" s="1"/>
  <c r="V154" i="28"/>
  <c r="AC154" i="28" s="1"/>
  <c r="Q155" i="28"/>
  <c r="X155" i="28" s="1"/>
  <c r="R155" i="28"/>
  <c r="Y155" i="28" s="1"/>
  <c r="S155" i="28"/>
  <c r="Z155" i="28" s="1"/>
  <c r="T155" i="28"/>
  <c r="AA155" i="28" s="1"/>
  <c r="U155" i="28"/>
  <c r="AB155" i="28" s="1"/>
  <c r="V155" i="28"/>
  <c r="AC155" i="28" s="1"/>
  <c r="Q156" i="28"/>
  <c r="X156" i="28" s="1"/>
  <c r="R156" i="28"/>
  <c r="Y156" i="28" s="1"/>
  <c r="S156" i="28"/>
  <c r="Z156" i="28" s="1"/>
  <c r="T156" i="28"/>
  <c r="AA156" i="28" s="1"/>
  <c r="U156" i="28"/>
  <c r="AB156" i="28" s="1"/>
  <c r="V156" i="28"/>
  <c r="AC156" i="28" s="1"/>
  <c r="Q157" i="28"/>
  <c r="X157" i="28" s="1"/>
  <c r="R157" i="28"/>
  <c r="Y157" i="28" s="1"/>
  <c r="S157" i="28"/>
  <c r="Z157" i="28" s="1"/>
  <c r="T157" i="28"/>
  <c r="AA157" i="28" s="1"/>
  <c r="U157" i="28"/>
  <c r="AB157" i="28" s="1"/>
  <c r="V157" i="28"/>
  <c r="AC157" i="28" s="1"/>
  <c r="Q158" i="28"/>
  <c r="X158" i="28" s="1"/>
  <c r="R158" i="28"/>
  <c r="Y158" i="28" s="1"/>
  <c r="S158" i="28"/>
  <c r="Z158" i="28" s="1"/>
  <c r="T158" i="28"/>
  <c r="AA158" i="28" s="1"/>
  <c r="U158" i="28"/>
  <c r="AB158" i="28" s="1"/>
  <c r="V158" i="28"/>
  <c r="AC158" i="28" s="1"/>
  <c r="Q159" i="28"/>
  <c r="X159" i="28" s="1"/>
  <c r="R159" i="28"/>
  <c r="Y159" i="28" s="1"/>
  <c r="S159" i="28"/>
  <c r="Z159" i="28" s="1"/>
  <c r="T159" i="28"/>
  <c r="AA159" i="28" s="1"/>
  <c r="U159" i="28"/>
  <c r="AB159" i="28" s="1"/>
  <c r="V159" i="28"/>
  <c r="AC159" i="28" s="1"/>
  <c r="Q160" i="28"/>
  <c r="X160" i="28" s="1"/>
  <c r="R160" i="28"/>
  <c r="Y160" i="28" s="1"/>
  <c r="S160" i="28"/>
  <c r="Z160" i="28" s="1"/>
  <c r="T160" i="28"/>
  <c r="AA160" i="28" s="1"/>
  <c r="U160" i="28"/>
  <c r="AB160" i="28" s="1"/>
  <c r="Q161" i="28"/>
  <c r="X161" i="28" s="1"/>
  <c r="R161" i="28"/>
  <c r="Y161" i="28" s="1"/>
  <c r="S161" i="28"/>
  <c r="Z161" i="28" s="1"/>
  <c r="T161" i="28"/>
  <c r="AA161" i="28" s="1"/>
  <c r="U161" i="28"/>
  <c r="AB161" i="28" s="1"/>
  <c r="V161" i="28"/>
  <c r="AC161" i="28" s="1"/>
  <c r="Q162" i="28"/>
  <c r="X162" i="28" s="1"/>
  <c r="R162" i="28"/>
  <c r="Y162" i="28" s="1"/>
  <c r="S162" i="28"/>
  <c r="Z162" i="28" s="1"/>
  <c r="T162" i="28"/>
  <c r="AA162" i="28" s="1"/>
  <c r="U162" i="28"/>
  <c r="AB162" i="28" s="1"/>
  <c r="V162" i="28"/>
  <c r="AC162" i="28" s="1"/>
  <c r="Q163" i="28"/>
  <c r="X163" i="28" s="1"/>
  <c r="R163" i="28"/>
  <c r="Y163" i="28" s="1"/>
  <c r="S163" i="28"/>
  <c r="Z163" i="28" s="1"/>
  <c r="T163" i="28"/>
  <c r="AA163" i="28" s="1"/>
  <c r="U163" i="28"/>
  <c r="AB163" i="28" s="1"/>
  <c r="V163" i="28"/>
  <c r="AC163" i="28" s="1"/>
  <c r="Q164" i="28"/>
  <c r="X164" i="28" s="1"/>
  <c r="R164" i="28"/>
  <c r="Y164" i="28" s="1"/>
  <c r="S164" i="28"/>
  <c r="Z164" i="28" s="1"/>
  <c r="T164" i="28"/>
  <c r="AA164" i="28" s="1"/>
  <c r="U164" i="28"/>
  <c r="AB164" i="28" s="1"/>
  <c r="V164" i="28"/>
  <c r="AC164" i="28" s="1"/>
  <c r="Q165" i="28"/>
  <c r="X165" i="28" s="1"/>
  <c r="R165" i="28"/>
  <c r="Y165" i="28" s="1"/>
  <c r="S165" i="28"/>
  <c r="Z165" i="28" s="1"/>
  <c r="T165" i="28"/>
  <c r="AA165" i="28" s="1"/>
  <c r="U165" i="28"/>
  <c r="AB165" i="28" s="1"/>
  <c r="V165" i="28"/>
  <c r="AC165" i="28" s="1"/>
  <c r="Q166" i="28"/>
  <c r="X166" i="28" s="1"/>
  <c r="R166" i="28"/>
  <c r="Y166" i="28" s="1"/>
  <c r="S166" i="28"/>
  <c r="Z166" i="28" s="1"/>
  <c r="T166" i="28"/>
  <c r="AA166" i="28" s="1"/>
  <c r="U166" i="28"/>
  <c r="AB166" i="28" s="1"/>
  <c r="V166" i="28"/>
  <c r="AC166" i="28" s="1"/>
  <c r="Q167" i="28"/>
  <c r="X167" i="28" s="1"/>
  <c r="R167" i="28"/>
  <c r="Y167" i="28" s="1"/>
  <c r="S167" i="28"/>
  <c r="Z167" i="28" s="1"/>
  <c r="T167" i="28"/>
  <c r="AA167" i="28" s="1"/>
  <c r="U167" i="28"/>
  <c r="AB167" i="28" s="1"/>
  <c r="V167" i="28"/>
  <c r="AC167" i="28" s="1"/>
  <c r="Q168" i="28"/>
  <c r="X168" i="28" s="1"/>
  <c r="R168" i="28"/>
  <c r="Y168" i="28" s="1"/>
  <c r="S168" i="28"/>
  <c r="Z168" i="28" s="1"/>
  <c r="T168" i="28"/>
  <c r="AA168" i="28" s="1"/>
  <c r="U168" i="28"/>
  <c r="AB168" i="28" s="1"/>
  <c r="Q169" i="28"/>
  <c r="X169" i="28" s="1"/>
  <c r="R169" i="28"/>
  <c r="Y169" i="28" s="1"/>
  <c r="S169" i="28"/>
  <c r="Z169" i="28" s="1"/>
  <c r="T169" i="28"/>
  <c r="AA169" i="28" s="1"/>
  <c r="U169" i="28"/>
  <c r="AB169" i="28" s="1"/>
  <c r="V169" i="28"/>
  <c r="AC169" i="28" s="1"/>
  <c r="Q170" i="28"/>
  <c r="X170" i="28" s="1"/>
  <c r="R170" i="28"/>
  <c r="Y170" i="28" s="1"/>
  <c r="S170" i="28"/>
  <c r="Z170" i="28" s="1"/>
  <c r="T170" i="28"/>
  <c r="AA170" i="28" s="1"/>
  <c r="U170" i="28"/>
  <c r="AB170" i="28" s="1"/>
  <c r="V170" i="28"/>
  <c r="AC170" i="28" s="1"/>
  <c r="Q171" i="28"/>
  <c r="X171" i="28" s="1"/>
  <c r="R171" i="28"/>
  <c r="Y171" i="28" s="1"/>
  <c r="S171" i="28"/>
  <c r="Z171" i="28" s="1"/>
  <c r="T171" i="28"/>
  <c r="AA171" i="28" s="1"/>
  <c r="U171" i="28"/>
  <c r="AB171" i="28" s="1"/>
  <c r="V171" i="28"/>
  <c r="AC171" i="28" s="1"/>
  <c r="Q172" i="28"/>
  <c r="X172" i="28" s="1"/>
  <c r="R172" i="28"/>
  <c r="Y172" i="28" s="1"/>
  <c r="S172" i="28"/>
  <c r="Z172" i="28" s="1"/>
  <c r="T172" i="28"/>
  <c r="AA172" i="28" s="1"/>
  <c r="U172" i="28"/>
  <c r="AB172" i="28" s="1"/>
  <c r="V172" i="28"/>
  <c r="AC172" i="28" s="1"/>
  <c r="Q173" i="28"/>
  <c r="X173" i="28" s="1"/>
  <c r="R173" i="28"/>
  <c r="Y173" i="28" s="1"/>
  <c r="S173" i="28"/>
  <c r="Z173" i="28" s="1"/>
  <c r="T173" i="28"/>
  <c r="AA173" i="28" s="1"/>
  <c r="U173" i="28"/>
  <c r="AB173" i="28" s="1"/>
  <c r="V173" i="28"/>
  <c r="AC173" i="28" s="1"/>
  <c r="Q174" i="28"/>
  <c r="X174" i="28" s="1"/>
  <c r="R174" i="28"/>
  <c r="Y174" i="28" s="1"/>
  <c r="S174" i="28"/>
  <c r="Z174" i="28" s="1"/>
  <c r="T174" i="28"/>
  <c r="AA174" i="28" s="1"/>
  <c r="U174" i="28"/>
  <c r="AB174" i="28" s="1"/>
  <c r="V174" i="28"/>
  <c r="AC174" i="28" s="1"/>
  <c r="Q175" i="28"/>
  <c r="X175" i="28" s="1"/>
  <c r="R175" i="28"/>
  <c r="Y175" i="28" s="1"/>
  <c r="S175" i="28"/>
  <c r="Z175" i="28" s="1"/>
  <c r="T175" i="28"/>
  <c r="AA175" i="28" s="1"/>
  <c r="U175" i="28"/>
  <c r="AB175" i="28" s="1"/>
  <c r="V175" i="28"/>
  <c r="AC175" i="28" s="1"/>
  <c r="Q176" i="28"/>
  <c r="X176" i="28" s="1"/>
  <c r="R176" i="28"/>
  <c r="Y176" i="28" s="1"/>
  <c r="S176" i="28"/>
  <c r="Z176" i="28" s="1"/>
  <c r="T176" i="28"/>
  <c r="AA176" i="28" s="1"/>
  <c r="U176" i="28"/>
  <c r="AB176" i="28" s="1"/>
  <c r="Q177" i="28"/>
  <c r="X177" i="28" s="1"/>
  <c r="R177" i="28"/>
  <c r="Y177" i="28" s="1"/>
  <c r="S177" i="28"/>
  <c r="Z177" i="28" s="1"/>
  <c r="T177" i="28"/>
  <c r="AA177" i="28" s="1"/>
  <c r="U177" i="28"/>
  <c r="AB177" i="28" s="1"/>
  <c r="V177" i="28"/>
  <c r="AC177" i="28" s="1"/>
  <c r="Q178" i="28"/>
  <c r="X178" i="28" s="1"/>
  <c r="R178" i="28"/>
  <c r="Y178" i="28" s="1"/>
  <c r="S178" i="28"/>
  <c r="Z178" i="28" s="1"/>
  <c r="T178" i="28"/>
  <c r="AA178" i="28" s="1"/>
  <c r="U178" i="28"/>
  <c r="AB178" i="28" s="1"/>
  <c r="V178" i="28"/>
  <c r="AC178" i="28" s="1"/>
  <c r="Q179" i="28"/>
  <c r="X179" i="28" s="1"/>
  <c r="R179" i="28"/>
  <c r="Y179" i="28" s="1"/>
  <c r="S179" i="28"/>
  <c r="Z179" i="28" s="1"/>
  <c r="T179" i="28"/>
  <c r="AA179" i="28" s="1"/>
  <c r="U179" i="28"/>
  <c r="AB179" i="28" s="1"/>
  <c r="V179" i="28"/>
  <c r="AC179" i="28" s="1"/>
  <c r="Q180" i="28"/>
  <c r="X180" i="28" s="1"/>
  <c r="R180" i="28"/>
  <c r="Y180" i="28" s="1"/>
  <c r="S180" i="28"/>
  <c r="Z180" i="28" s="1"/>
  <c r="T180" i="28"/>
  <c r="AA180" i="28" s="1"/>
  <c r="U180" i="28"/>
  <c r="AB180" i="28" s="1"/>
  <c r="V180" i="28"/>
  <c r="AC180" i="28" s="1"/>
  <c r="Q181" i="28"/>
  <c r="X181" i="28" s="1"/>
  <c r="R181" i="28"/>
  <c r="Y181" i="28" s="1"/>
  <c r="S181" i="28"/>
  <c r="Z181" i="28" s="1"/>
  <c r="T181" i="28"/>
  <c r="AA181" i="28" s="1"/>
  <c r="U181" i="28"/>
  <c r="AB181" i="28" s="1"/>
  <c r="V181" i="28"/>
  <c r="AC181" i="28" s="1"/>
  <c r="Q182" i="28"/>
  <c r="X182" i="28" s="1"/>
  <c r="R182" i="28"/>
  <c r="Y182" i="28" s="1"/>
  <c r="S182" i="28"/>
  <c r="Z182" i="28" s="1"/>
  <c r="T182" i="28"/>
  <c r="AA182" i="28" s="1"/>
  <c r="U182" i="28"/>
  <c r="AB182" i="28" s="1"/>
  <c r="V182" i="28"/>
  <c r="AC182" i="28" s="1"/>
  <c r="Q183" i="28"/>
  <c r="X183" i="28" s="1"/>
  <c r="R183" i="28"/>
  <c r="Y183" i="28" s="1"/>
  <c r="S183" i="28"/>
  <c r="Z183" i="28" s="1"/>
  <c r="T183" i="28"/>
  <c r="AA183" i="28" s="1"/>
  <c r="U183" i="28"/>
  <c r="AB183" i="28" s="1"/>
  <c r="V183" i="28"/>
  <c r="AC183" i="28" s="1"/>
  <c r="Q184" i="28"/>
  <c r="X184" i="28" s="1"/>
  <c r="R184" i="28"/>
  <c r="Y184" i="28" s="1"/>
  <c r="S184" i="28"/>
  <c r="Z184" i="28" s="1"/>
  <c r="T184" i="28"/>
  <c r="AA184" i="28" s="1"/>
  <c r="U184" i="28"/>
  <c r="AB184" i="28" s="1"/>
  <c r="Q185" i="28"/>
  <c r="X185" i="28" s="1"/>
  <c r="R185" i="28"/>
  <c r="Y185" i="28" s="1"/>
  <c r="S185" i="28"/>
  <c r="Z185" i="28" s="1"/>
  <c r="T185" i="28"/>
  <c r="AA185" i="28" s="1"/>
  <c r="U185" i="28"/>
  <c r="AB185" i="28" s="1"/>
  <c r="V185" i="28"/>
  <c r="AC185" i="28" s="1"/>
  <c r="Q186" i="28"/>
  <c r="X186" i="28" s="1"/>
  <c r="R186" i="28"/>
  <c r="Y186" i="28" s="1"/>
  <c r="S186" i="28"/>
  <c r="Z186" i="28" s="1"/>
  <c r="T186" i="28"/>
  <c r="AA186" i="28" s="1"/>
  <c r="U186" i="28"/>
  <c r="AB186" i="28" s="1"/>
  <c r="V186" i="28"/>
  <c r="AC186" i="28" s="1"/>
  <c r="Q187" i="28"/>
  <c r="X187" i="28" s="1"/>
  <c r="R187" i="28"/>
  <c r="Y187" i="28" s="1"/>
  <c r="S187" i="28"/>
  <c r="Z187" i="28" s="1"/>
  <c r="T187" i="28"/>
  <c r="AA187" i="28" s="1"/>
  <c r="U187" i="28"/>
  <c r="AB187" i="28" s="1"/>
  <c r="V187" i="28"/>
  <c r="AC187" i="28" s="1"/>
  <c r="Q188" i="28"/>
  <c r="X188" i="28" s="1"/>
  <c r="R188" i="28"/>
  <c r="Y188" i="28" s="1"/>
  <c r="S188" i="28"/>
  <c r="Z188" i="28" s="1"/>
  <c r="T188" i="28"/>
  <c r="AA188" i="28" s="1"/>
  <c r="U188" i="28"/>
  <c r="AB188" i="28" s="1"/>
  <c r="V188" i="28"/>
  <c r="AC188" i="28" s="1"/>
  <c r="Q189" i="28"/>
  <c r="X189" i="28" s="1"/>
  <c r="R189" i="28"/>
  <c r="Y189" i="28" s="1"/>
  <c r="S189" i="28"/>
  <c r="Z189" i="28" s="1"/>
  <c r="T189" i="28"/>
  <c r="AA189" i="28" s="1"/>
  <c r="U189" i="28"/>
  <c r="AB189" i="28" s="1"/>
  <c r="V189" i="28"/>
  <c r="AC189" i="28" s="1"/>
  <c r="Q190" i="28"/>
  <c r="X190" i="28" s="1"/>
  <c r="R190" i="28"/>
  <c r="Y190" i="28" s="1"/>
  <c r="S190" i="28"/>
  <c r="Z190" i="28" s="1"/>
  <c r="T190" i="28"/>
  <c r="AA190" i="28" s="1"/>
  <c r="U190" i="28"/>
  <c r="AB190" i="28" s="1"/>
  <c r="V190" i="28"/>
  <c r="AC190" i="28" s="1"/>
  <c r="Q191" i="28"/>
  <c r="X191" i="28" s="1"/>
  <c r="R191" i="28"/>
  <c r="Y191" i="28" s="1"/>
  <c r="S191" i="28"/>
  <c r="Z191" i="28" s="1"/>
  <c r="T191" i="28"/>
  <c r="AA191" i="28" s="1"/>
  <c r="U191" i="28"/>
  <c r="AB191" i="28" s="1"/>
  <c r="V191" i="28"/>
  <c r="AC191" i="28" s="1"/>
  <c r="Q192" i="28"/>
  <c r="X192" i="28" s="1"/>
  <c r="R192" i="28"/>
  <c r="Y192" i="28" s="1"/>
  <c r="S192" i="28"/>
  <c r="Z192" i="28" s="1"/>
  <c r="T192" i="28"/>
  <c r="AA192" i="28" s="1"/>
  <c r="U192" i="28"/>
  <c r="AB192" i="28" s="1"/>
  <c r="Q193" i="28"/>
  <c r="X193" i="28" s="1"/>
  <c r="R193" i="28"/>
  <c r="Y193" i="28" s="1"/>
  <c r="S193" i="28"/>
  <c r="Z193" i="28" s="1"/>
  <c r="T193" i="28"/>
  <c r="AA193" i="28" s="1"/>
  <c r="U193" i="28"/>
  <c r="AB193" i="28" s="1"/>
  <c r="V193" i="28"/>
  <c r="AC193" i="28" s="1"/>
  <c r="Q194" i="28"/>
  <c r="X194" i="28" s="1"/>
  <c r="R194" i="28"/>
  <c r="Y194" i="28" s="1"/>
  <c r="S194" i="28"/>
  <c r="Z194" i="28" s="1"/>
  <c r="T194" i="28"/>
  <c r="AA194" i="28" s="1"/>
  <c r="U194" i="28"/>
  <c r="AB194" i="28" s="1"/>
  <c r="V194" i="28"/>
  <c r="AC194" i="28" s="1"/>
  <c r="Q195" i="28"/>
  <c r="X195" i="28" s="1"/>
  <c r="R195" i="28"/>
  <c r="Y195" i="28" s="1"/>
  <c r="S195" i="28"/>
  <c r="Z195" i="28" s="1"/>
  <c r="T195" i="28"/>
  <c r="AA195" i="28" s="1"/>
  <c r="U195" i="28"/>
  <c r="AB195" i="28" s="1"/>
  <c r="V195" i="28"/>
  <c r="AC195" i="28" s="1"/>
  <c r="Q196" i="28"/>
  <c r="X196" i="28" s="1"/>
  <c r="R196" i="28"/>
  <c r="Y196" i="28" s="1"/>
  <c r="S196" i="28"/>
  <c r="Z196" i="28" s="1"/>
  <c r="T196" i="28"/>
  <c r="AA196" i="28" s="1"/>
  <c r="U196" i="28"/>
  <c r="AB196" i="28" s="1"/>
  <c r="V196" i="28"/>
  <c r="AC196" i="28" s="1"/>
  <c r="Q197" i="28"/>
  <c r="X197" i="28" s="1"/>
  <c r="R197" i="28"/>
  <c r="Y197" i="28" s="1"/>
  <c r="S197" i="28"/>
  <c r="Z197" i="28" s="1"/>
  <c r="T197" i="28"/>
  <c r="AA197" i="28" s="1"/>
  <c r="U197" i="28"/>
  <c r="AB197" i="28" s="1"/>
  <c r="V197" i="28"/>
  <c r="AC197" i="28" s="1"/>
  <c r="Q198" i="28"/>
  <c r="X198" i="28" s="1"/>
  <c r="R198" i="28"/>
  <c r="Y198" i="28" s="1"/>
  <c r="S198" i="28"/>
  <c r="Z198" i="28" s="1"/>
  <c r="T198" i="28"/>
  <c r="AA198" i="28" s="1"/>
  <c r="U198" i="28"/>
  <c r="AB198" i="28" s="1"/>
  <c r="V198" i="28"/>
  <c r="AC198" i="28" s="1"/>
  <c r="Q199" i="28"/>
  <c r="X199" i="28" s="1"/>
  <c r="R199" i="28"/>
  <c r="Y199" i="28" s="1"/>
  <c r="S199" i="28"/>
  <c r="Z199" i="28" s="1"/>
  <c r="T199" i="28"/>
  <c r="AA199" i="28" s="1"/>
  <c r="U199" i="28"/>
  <c r="AB199" i="28" s="1"/>
  <c r="V199" i="28"/>
  <c r="AC199" i="28" s="1"/>
  <c r="Q200" i="28"/>
  <c r="X200" i="28" s="1"/>
  <c r="R200" i="28"/>
  <c r="Y200" i="28" s="1"/>
  <c r="S200" i="28"/>
  <c r="Z200" i="28" s="1"/>
  <c r="T200" i="28"/>
  <c r="AA200" i="28" s="1"/>
  <c r="U200" i="28"/>
  <c r="AB200" i="28" s="1"/>
  <c r="Q201" i="28"/>
  <c r="X201" i="28" s="1"/>
  <c r="R201" i="28"/>
  <c r="Y201" i="28" s="1"/>
  <c r="S201" i="28"/>
  <c r="Z201" i="28" s="1"/>
  <c r="T201" i="28"/>
  <c r="AA201" i="28" s="1"/>
  <c r="U201" i="28"/>
  <c r="AB201" i="28" s="1"/>
  <c r="V201" i="28"/>
  <c r="AC201" i="28" s="1"/>
  <c r="Q202" i="28"/>
  <c r="X202" i="28" s="1"/>
  <c r="R202" i="28"/>
  <c r="Y202" i="28" s="1"/>
  <c r="S202" i="28"/>
  <c r="Z202" i="28" s="1"/>
  <c r="T202" i="28"/>
  <c r="AA202" i="28" s="1"/>
  <c r="U202" i="28"/>
  <c r="AB202" i="28" s="1"/>
  <c r="V202" i="28"/>
  <c r="AC202" i="28" s="1"/>
  <c r="Q203" i="28"/>
  <c r="X203" i="28" s="1"/>
  <c r="R203" i="28"/>
  <c r="Y203" i="28" s="1"/>
  <c r="S203" i="28"/>
  <c r="Z203" i="28" s="1"/>
  <c r="T203" i="28"/>
  <c r="AA203" i="28" s="1"/>
  <c r="U203" i="28"/>
  <c r="AB203" i="28" s="1"/>
  <c r="V203" i="28"/>
  <c r="AC203" i="28" s="1"/>
  <c r="Q204" i="28"/>
  <c r="X204" i="28" s="1"/>
  <c r="R204" i="28"/>
  <c r="Y204" i="28" s="1"/>
  <c r="S204" i="28"/>
  <c r="Z204" i="28" s="1"/>
  <c r="T204" i="28"/>
  <c r="AA204" i="28" s="1"/>
  <c r="U204" i="28"/>
  <c r="AB204" i="28" s="1"/>
  <c r="V204" i="28"/>
  <c r="AC204" i="28" s="1"/>
  <c r="Q205" i="28"/>
  <c r="X205" i="28" s="1"/>
  <c r="R205" i="28"/>
  <c r="Y205" i="28" s="1"/>
  <c r="S205" i="28"/>
  <c r="Z205" i="28" s="1"/>
  <c r="T205" i="28"/>
  <c r="AA205" i="28" s="1"/>
  <c r="U205" i="28"/>
  <c r="AB205" i="28" s="1"/>
  <c r="V205" i="28"/>
  <c r="AC205" i="28" s="1"/>
  <c r="Q206" i="28"/>
  <c r="X206" i="28" s="1"/>
  <c r="R206" i="28"/>
  <c r="Y206" i="28" s="1"/>
  <c r="S206" i="28"/>
  <c r="Z206" i="28" s="1"/>
  <c r="T206" i="28"/>
  <c r="AA206" i="28" s="1"/>
  <c r="U206" i="28"/>
  <c r="AB206" i="28" s="1"/>
  <c r="V206" i="28"/>
  <c r="AC206" i="28" s="1"/>
  <c r="Q207" i="28"/>
  <c r="X207" i="28" s="1"/>
  <c r="R207" i="28"/>
  <c r="Y207" i="28" s="1"/>
  <c r="S207" i="28"/>
  <c r="Z207" i="28" s="1"/>
  <c r="T207" i="28"/>
  <c r="AA207" i="28" s="1"/>
  <c r="U207" i="28"/>
  <c r="AB207" i="28" s="1"/>
  <c r="V207" i="28"/>
  <c r="AC207" i="28" s="1"/>
  <c r="Q208" i="28"/>
  <c r="X208" i="28" s="1"/>
  <c r="R208" i="28"/>
  <c r="Y208" i="28" s="1"/>
  <c r="S208" i="28"/>
  <c r="Z208" i="28" s="1"/>
  <c r="T208" i="28"/>
  <c r="AA208" i="28" s="1"/>
  <c r="U208" i="28"/>
  <c r="AB208" i="28" s="1"/>
  <c r="Q209" i="28"/>
  <c r="X209" i="28" s="1"/>
  <c r="R209" i="28"/>
  <c r="Y209" i="28" s="1"/>
  <c r="S209" i="28"/>
  <c r="Z209" i="28" s="1"/>
  <c r="T209" i="28"/>
  <c r="AA209" i="28" s="1"/>
  <c r="U209" i="28"/>
  <c r="AB209" i="28" s="1"/>
  <c r="V209" i="28"/>
  <c r="AC209" i="28" s="1"/>
  <c r="Q210" i="28"/>
  <c r="X210" i="28" s="1"/>
  <c r="R210" i="28"/>
  <c r="Y210" i="28" s="1"/>
  <c r="S210" i="28"/>
  <c r="Z210" i="28" s="1"/>
  <c r="T210" i="28"/>
  <c r="AA210" i="28" s="1"/>
  <c r="U210" i="28"/>
  <c r="AB210" i="28" s="1"/>
  <c r="V210" i="28"/>
  <c r="AC210" i="28" s="1"/>
  <c r="Q211" i="28"/>
  <c r="X211" i="28" s="1"/>
  <c r="R211" i="28"/>
  <c r="Y211" i="28" s="1"/>
  <c r="S211" i="28"/>
  <c r="Z211" i="28" s="1"/>
  <c r="T211" i="28"/>
  <c r="AA211" i="28" s="1"/>
  <c r="U211" i="28"/>
  <c r="AB211" i="28" s="1"/>
  <c r="V211" i="28"/>
  <c r="AC211" i="28" s="1"/>
  <c r="Q212" i="28"/>
  <c r="X212" i="28" s="1"/>
  <c r="R212" i="28"/>
  <c r="Y212" i="28" s="1"/>
  <c r="S212" i="28"/>
  <c r="Z212" i="28" s="1"/>
  <c r="T212" i="28"/>
  <c r="AA212" i="28" s="1"/>
  <c r="U212" i="28"/>
  <c r="AB212" i="28" s="1"/>
  <c r="V212" i="28"/>
  <c r="AC212" i="28" s="1"/>
  <c r="Q213" i="28"/>
  <c r="X213" i="28" s="1"/>
  <c r="R213" i="28"/>
  <c r="Y213" i="28" s="1"/>
  <c r="S213" i="28"/>
  <c r="Z213" i="28" s="1"/>
  <c r="T213" i="28"/>
  <c r="AA213" i="28" s="1"/>
  <c r="U213" i="28"/>
  <c r="AB213" i="28" s="1"/>
  <c r="V213" i="28"/>
  <c r="AC213" i="28" s="1"/>
  <c r="Q214" i="28"/>
  <c r="X214" i="28" s="1"/>
  <c r="R214" i="28"/>
  <c r="Y214" i="28" s="1"/>
  <c r="S214" i="28"/>
  <c r="Z214" i="28" s="1"/>
  <c r="T214" i="28"/>
  <c r="AA214" i="28" s="1"/>
  <c r="U214" i="28"/>
  <c r="AB214" i="28" s="1"/>
  <c r="V214" i="28"/>
  <c r="AC214" i="28" s="1"/>
  <c r="Q215" i="28"/>
  <c r="X215" i="28" s="1"/>
  <c r="R215" i="28"/>
  <c r="Y215" i="28" s="1"/>
  <c r="S215" i="28"/>
  <c r="Z215" i="28" s="1"/>
  <c r="T215" i="28"/>
  <c r="AA215" i="28" s="1"/>
  <c r="U215" i="28"/>
  <c r="AB215" i="28" s="1"/>
  <c r="V215" i="28"/>
  <c r="AC215" i="28" s="1"/>
  <c r="Q216" i="28"/>
  <c r="X216" i="28" s="1"/>
  <c r="R216" i="28"/>
  <c r="Y216" i="28" s="1"/>
  <c r="S216" i="28"/>
  <c r="Z216" i="28" s="1"/>
  <c r="T216" i="28"/>
  <c r="AA216" i="28" s="1"/>
  <c r="U216" i="28"/>
  <c r="AB216" i="28" s="1"/>
  <c r="Q217" i="28"/>
  <c r="X217" i="28" s="1"/>
  <c r="R217" i="28"/>
  <c r="Y217" i="28" s="1"/>
  <c r="S217" i="28"/>
  <c r="Z217" i="28" s="1"/>
  <c r="T217" i="28"/>
  <c r="AA217" i="28" s="1"/>
  <c r="U217" i="28"/>
  <c r="AB217" i="28" s="1"/>
  <c r="V217" i="28"/>
  <c r="AC217" i="28" s="1"/>
  <c r="Q218" i="28"/>
  <c r="X218" i="28" s="1"/>
  <c r="R218" i="28"/>
  <c r="Y218" i="28" s="1"/>
  <c r="S218" i="28"/>
  <c r="Z218" i="28" s="1"/>
  <c r="T218" i="28"/>
  <c r="AA218" i="28" s="1"/>
  <c r="U218" i="28"/>
  <c r="AB218" i="28" s="1"/>
  <c r="V218" i="28"/>
  <c r="AC218" i="28" s="1"/>
  <c r="Q219" i="28"/>
  <c r="X219" i="28" s="1"/>
  <c r="R219" i="28"/>
  <c r="Y219" i="28" s="1"/>
  <c r="S219" i="28"/>
  <c r="Z219" i="28" s="1"/>
  <c r="T219" i="28"/>
  <c r="AA219" i="28" s="1"/>
  <c r="U219" i="28"/>
  <c r="AB219" i="28" s="1"/>
  <c r="V219" i="28"/>
  <c r="AC219" i="28" s="1"/>
  <c r="Q220" i="28"/>
  <c r="X220" i="28" s="1"/>
  <c r="R220" i="28"/>
  <c r="Y220" i="28" s="1"/>
  <c r="S220" i="28"/>
  <c r="Z220" i="28" s="1"/>
  <c r="T220" i="28"/>
  <c r="AA220" i="28" s="1"/>
  <c r="U220" i="28"/>
  <c r="AB220" i="28" s="1"/>
  <c r="V220" i="28"/>
  <c r="AC220" i="28" s="1"/>
  <c r="Q221" i="28"/>
  <c r="X221" i="28" s="1"/>
  <c r="R221" i="28"/>
  <c r="Y221" i="28" s="1"/>
  <c r="S221" i="28"/>
  <c r="Z221" i="28" s="1"/>
  <c r="T221" i="28"/>
  <c r="AA221" i="28" s="1"/>
  <c r="U221" i="28"/>
  <c r="AB221" i="28" s="1"/>
  <c r="V221" i="28"/>
  <c r="AC221" i="28" s="1"/>
  <c r="Q222" i="28"/>
  <c r="X222" i="28" s="1"/>
  <c r="R222" i="28"/>
  <c r="Y222" i="28" s="1"/>
  <c r="S222" i="28"/>
  <c r="Z222" i="28" s="1"/>
  <c r="T222" i="28"/>
  <c r="AA222" i="28" s="1"/>
  <c r="U222" i="28"/>
  <c r="AB222" i="28" s="1"/>
  <c r="V222" i="28"/>
  <c r="AC222" i="28" s="1"/>
  <c r="Q223" i="28"/>
  <c r="X223" i="28" s="1"/>
  <c r="R223" i="28"/>
  <c r="Y223" i="28" s="1"/>
  <c r="S223" i="28"/>
  <c r="Z223" i="28" s="1"/>
  <c r="T223" i="28"/>
  <c r="AA223" i="28" s="1"/>
  <c r="U223" i="28"/>
  <c r="AB223" i="28" s="1"/>
  <c r="V223" i="28"/>
  <c r="AC223" i="28" s="1"/>
  <c r="Q224" i="28"/>
  <c r="X224" i="28" s="1"/>
  <c r="R224" i="28"/>
  <c r="Y224" i="28" s="1"/>
  <c r="S224" i="28"/>
  <c r="Z224" i="28" s="1"/>
  <c r="T224" i="28"/>
  <c r="AA224" i="28" s="1"/>
  <c r="U224" i="28"/>
  <c r="AB224" i="28" s="1"/>
  <c r="Q225" i="28"/>
  <c r="X225" i="28" s="1"/>
  <c r="R225" i="28"/>
  <c r="Y225" i="28" s="1"/>
  <c r="S225" i="28"/>
  <c r="Z225" i="28" s="1"/>
  <c r="T225" i="28"/>
  <c r="AA225" i="28" s="1"/>
  <c r="U225" i="28"/>
  <c r="AB225" i="28" s="1"/>
  <c r="V225" i="28"/>
  <c r="AC225" i="28" s="1"/>
  <c r="Q226" i="28"/>
  <c r="X226" i="28" s="1"/>
  <c r="R226" i="28"/>
  <c r="Y226" i="28" s="1"/>
  <c r="S226" i="28"/>
  <c r="Z226" i="28" s="1"/>
  <c r="T226" i="28"/>
  <c r="AA226" i="28" s="1"/>
  <c r="U226" i="28"/>
  <c r="AB226" i="28" s="1"/>
  <c r="V226" i="28"/>
  <c r="AC226" i="28" s="1"/>
  <c r="Q227" i="28"/>
  <c r="X227" i="28" s="1"/>
  <c r="R227" i="28"/>
  <c r="Y227" i="28" s="1"/>
  <c r="S227" i="28"/>
  <c r="Z227" i="28" s="1"/>
  <c r="T227" i="28"/>
  <c r="AA227" i="28" s="1"/>
  <c r="U227" i="28"/>
  <c r="AB227" i="28" s="1"/>
  <c r="V227" i="28"/>
  <c r="AC227" i="28" s="1"/>
  <c r="Q228" i="28"/>
  <c r="X228" i="28" s="1"/>
  <c r="R228" i="28"/>
  <c r="Y228" i="28" s="1"/>
  <c r="S228" i="28"/>
  <c r="Z228" i="28" s="1"/>
  <c r="T228" i="28"/>
  <c r="AA228" i="28" s="1"/>
  <c r="U228" i="28"/>
  <c r="AB228" i="28" s="1"/>
  <c r="V228" i="28"/>
  <c r="AC228" i="28" s="1"/>
  <c r="Q229" i="28"/>
  <c r="X229" i="28" s="1"/>
  <c r="R229" i="28"/>
  <c r="Y229" i="28" s="1"/>
  <c r="S229" i="28"/>
  <c r="Z229" i="28" s="1"/>
  <c r="T229" i="28"/>
  <c r="AA229" i="28" s="1"/>
  <c r="U229" i="28"/>
  <c r="AB229" i="28" s="1"/>
  <c r="V229" i="28"/>
  <c r="AC229" i="28" s="1"/>
  <c r="Q230" i="28"/>
  <c r="X230" i="28" s="1"/>
  <c r="R230" i="28"/>
  <c r="Y230" i="28" s="1"/>
  <c r="S230" i="28"/>
  <c r="Z230" i="28" s="1"/>
  <c r="T230" i="28"/>
  <c r="AA230" i="28" s="1"/>
  <c r="U230" i="28"/>
  <c r="AB230" i="28" s="1"/>
  <c r="V230" i="28"/>
  <c r="AC230" i="28" s="1"/>
  <c r="Q231" i="28"/>
  <c r="X231" i="28" s="1"/>
  <c r="R231" i="28"/>
  <c r="Y231" i="28" s="1"/>
  <c r="S231" i="28"/>
  <c r="Z231" i="28" s="1"/>
  <c r="T231" i="28"/>
  <c r="AA231" i="28" s="1"/>
  <c r="U231" i="28"/>
  <c r="AB231" i="28" s="1"/>
  <c r="V231" i="28"/>
  <c r="AC231" i="28" s="1"/>
  <c r="Q232" i="28"/>
  <c r="X232" i="28" s="1"/>
  <c r="R232" i="28"/>
  <c r="Y232" i="28" s="1"/>
  <c r="S232" i="28"/>
  <c r="Z232" i="28" s="1"/>
  <c r="T232" i="28"/>
  <c r="AA232" i="28" s="1"/>
  <c r="U232" i="28"/>
  <c r="AB232" i="28" s="1"/>
  <c r="Q233" i="28"/>
  <c r="X233" i="28" s="1"/>
  <c r="R233" i="28"/>
  <c r="Y233" i="28" s="1"/>
  <c r="S233" i="28"/>
  <c r="Z233" i="28" s="1"/>
  <c r="T233" i="28"/>
  <c r="AA233" i="28" s="1"/>
  <c r="U233" i="28"/>
  <c r="AB233" i="28" s="1"/>
  <c r="V233" i="28"/>
  <c r="AC233" i="28" s="1"/>
  <c r="Q234" i="28"/>
  <c r="X234" i="28" s="1"/>
  <c r="R234" i="28"/>
  <c r="Y234" i="28" s="1"/>
  <c r="S234" i="28"/>
  <c r="Z234" i="28" s="1"/>
  <c r="T234" i="28"/>
  <c r="AA234" i="28" s="1"/>
  <c r="U234" i="28"/>
  <c r="AB234" i="28" s="1"/>
  <c r="V234" i="28"/>
  <c r="AC234" i="28" s="1"/>
  <c r="Q235" i="28"/>
  <c r="X235" i="28" s="1"/>
  <c r="R235" i="28"/>
  <c r="Y235" i="28" s="1"/>
  <c r="S235" i="28"/>
  <c r="Z235" i="28" s="1"/>
  <c r="T235" i="28"/>
  <c r="AA235" i="28" s="1"/>
  <c r="U235" i="28"/>
  <c r="AB235" i="28" s="1"/>
  <c r="V235" i="28"/>
  <c r="AC235" i="28" s="1"/>
  <c r="Q236" i="28"/>
  <c r="X236" i="28" s="1"/>
  <c r="R236" i="28"/>
  <c r="Y236" i="28" s="1"/>
  <c r="S236" i="28"/>
  <c r="Z236" i="28" s="1"/>
  <c r="T236" i="28"/>
  <c r="AA236" i="28" s="1"/>
  <c r="U236" i="28"/>
  <c r="AB236" i="28" s="1"/>
  <c r="V236" i="28"/>
  <c r="AC236" i="28" s="1"/>
  <c r="Q237" i="28"/>
  <c r="X237" i="28" s="1"/>
  <c r="R237" i="28"/>
  <c r="Y237" i="28" s="1"/>
  <c r="S237" i="28"/>
  <c r="Z237" i="28" s="1"/>
  <c r="T237" i="28"/>
  <c r="AA237" i="28" s="1"/>
  <c r="U237" i="28"/>
  <c r="AB237" i="28" s="1"/>
  <c r="V237" i="28"/>
  <c r="AC237" i="28" s="1"/>
  <c r="Q238" i="28"/>
  <c r="X238" i="28" s="1"/>
  <c r="R238" i="28"/>
  <c r="Y238" i="28" s="1"/>
  <c r="S238" i="28"/>
  <c r="Z238" i="28" s="1"/>
  <c r="T238" i="28"/>
  <c r="AA238" i="28" s="1"/>
  <c r="U238" i="28"/>
  <c r="AB238" i="28" s="1"/>
  <c r="V238" i="28"/>
  <c r="AC238" i="28" s="1"/>
  <c r="Q239" i="28"/>
  <c r="X239" i="28" s="1"/>
  <c r="R239" i="28"/>
  <c r="Y239" i="28" s="1"/>
  <c r="S239" i="28"/>
  <c r="Z239" i="28" s="1"/>
  <c r="T239" i="28"/>
  <c r="AA239" i="28" s="1"/>
  <c r="U239" i="28"/>
  <c r="AB239" i="28" s="1"/>
  <c r="V239" i="28"/>
  <c r="AC239" i="28" s="1"/>
  <c r="Q240" i="28"/>
  <c r="X240" i="28" s="1"/>
  <c r="R240" i="28"/>
  <c r="Y240" i="28" s="1"/>
  <c r="S240" i="28"/>
  <c r="Z240" i="28" s="1"/>
  <c r="T240" i="28"/>
  <c r="AA240" i="28" s="1"/>
  <c r="U240" i="28"/>
  <c r="AB240" i="28" s="1"/>
  <c r="Q241" i="28"/>
  <c r="X241" i="28" s="1"/>
  <c r="R241" i="28"/>
  <c r="Y241" i="28" s="1"/>
  <c r="S241" i="28"/>
  <c r="Z241" i="28" s="1"/>
  <c r="T241" i="28"/>
  <c r="AA241" i="28" s="1"/>
  <c r="U241" i="28"/>
  <c r="AB241" i="28" s="1"/>
  <c r="V241" i="28"/>
  <c r="AC241" i="28" s="1"/>
  <c r="Q242" i="28"/>
  <c r="X242" i="28" s="1"/>
  <c r="R242" i="28"/>
  <c r="Y242" i="28" s="1"/>
  <c r="S242" i="28"/>
  <c r="Z242" i="28" s="1"/>
  <c r="T242" i="28"/>
  <c r="AA242" i="28" s="1"/>
  <c r="U242" i="28"/>
  <c r="AB242" i="28" s="1"/>
  <c r="V242" i="28"/>
  <c r="AC242" i="28" s="1"/>
  <c r="Q243" i="28"/>
  <c r="X243" i="28" s="1"/>
  <c r="R243" i="28"/>
  <c r="Y243" i="28" s="1"/>
  <c r="S243" i="28"/>
  <c r="Z243" i="28" s="1"/>
  <c r="T243" i="28"/>
  <c r="AA243" i="28" s="1"/>
  <c r="U243" i="28"/>
  <c r="AB243" i="28" s="1"/>
  <c r="V243" i="28"/>
  <c r="AC243" i="28" s="1"/>
  <c r="Q244" i="28"/>
  <c r="X244" i="28" s="1"/>
  <c r="R244" i="28"/>
  <c r="Y244" i="28" s="1"/>
  <c r="S244" i="28"/>
  <c r="Z244" i="28" s="1"/>
  <c r="T244" i="28"/>
  <c r="AA244" i="28" s="1"/>
  <c r="U244" i="28"/>
  <c r="AB244" i="28" s="1"/>
  <c r="V244" i="28"/>
  <c r="AC244" i="28" s="1"/>
  <c r="Q245" i="28"/>
  <c r="X245" i="28" s="1"/>
  <c r="R245" i="28"/>
  <c r="Y245" i="28" s="1"/>
  <c r="S245" i="28"/>
  <c r="Z245" i="28" s="1"/>
  <c r="T245" i="28"/>
  <c r="AA245" i="28" s="1"/>
  <c r="U245" i="28"/>
  <c r="AB245" i="28" s="1"/>
  <c r="V245" i="28"/>
  <c r="AC245" i="28" s="1"/>
  <c r="Q246" i="28"/>
  <c r="X246" i="28" s="1"/>
  <c r="R246" i="28"/>
  <c r="Y246" i="28" s="1"/>
  <c r="S246" i="28"/>
  <c r="Z246" i="28" s="1"/>
  <c r="T246" i="28"/>
  <c r="AA246" i="28" s="1"/>
  <c r="U246" i="28"/>
  <c r="AB246" i="28" s="1"/>
  <c r="V246" i="28"/>
  <c r="AC246" i="28" s="1"/>
  <c r="Q247" i="28"/>
  <c r="X247" i="28" s="1"/>
  <c r="R247" i="28"/>
  <c r="Y247" i="28" s="1"/>
  <c r="S247" i="28"/>
  <c r="Z247" i="28" s="1"/>
  <c r="T247" i="28"/>
  <c r="AA247" i="28" s="1"/>
  <c r="U247" i="28"/>
  <c r="AB247" i="28" s="1"/>
  <c r="V247" i="28"/>
  <c r="AC247" i="28" s="1"/>
  <c r="Q248" i="28"/>
  <c r="X248" i="28" s="1"/>
  <c r="R248" i="28"/>
  <c r="Y248" i="28" s="1"/>
  <c r="S248" i="28"/>
  <c r="Z248" i="28" s="1"/>
  <c r="T248" i="28"/>
  <c r="AA248" i="28" s="1"/>
  <c r="U248" i="28"/>
  <c r="AB248" i="28" s="1"/>
  <c r="Q249" i="28"/>
  <c r="X249" i="28" s="1"/>
  <c r="R249" i="28"/>
  <c r="Y249" i="28" s="1"/>
  <c r="S249" i="28"/>
  <c r="Z249" i="28" s="1"/>
  <c r="T249" i="28"/>
  <c r="AA249" i="28" s="1"/>
  <c r="U249" i="28"/>
  <c r="AB249" i="28" s="1"/>
  <c r="V249" i="28"/>
  <c r="AC249" i="28" s="1"/>
  <c r="Q250" i="28"/>
  <c r="X250" i="28" s="1"/>
  <c r="R250" i="28"/>
  <c r="Y250" i="28" s="1"/>
  <c r="S250" i="28"/>
  <c r="Z250" i="28" s="1"/>
  <c r="T250" i="28"/>
  <c r="AA250" i="28" s="1"/>
  <c r="U250" i="28"/>
  <c r="AB250" i="28" s="1"/>
  <c r="V250" i="28"/>
  <c r="AC250" i="28" s="1"/>
  <c r="Q251" i="28"/>
  <c r="X251" i="28" s="1"/>
  <c r="R251" i="28"/>
  <c r="Y251" i="28" s="1"/>
  <c r="S251" i="28"/>
  <c r="Z251" i="28" s="1"/>
  <c r="T251" i="28"/>
  <c r="AA251" i="28" s="1"/>
  <c r="U251" i="28"/>
  <c r="AB251" i="28" s="1"/>
  <c r="V251" i="28"/>
  <c r="AC251" i="28" s="1"/>
  <c r="Q252" i="28"/>
  <c r="X252" i="28" s="1"/>
  <c r="R252" i="28"/>
  <c r="Y252" i="28" s="1"/>
  <c r="S252" i="28"/>
  <c r="Z252" i="28" s="1"/>
  <c r="T252" i="28"/>
  <c r="AA252" i="28" s="1"/>
  <c r="U252" i="28"/>
  <c r="AB252" i="28" s="1"/>
  <c r="V252" i="28"/>
  <c r="AC252" i="28" s="1"/>
  <c r="Q253" i="28"/>
  <c r="X253" i="28" s="1"/>
  <c r="R253" i="28"/>
  <c r="Y253" i="28" s="1"/>
  <c r="S253" i="28"/>
  <c r="Z253" i="28" s="1"/>
  <c r="T253" i="28"/>
  <c r="AA253" i="28" s="1"/>
  <c r="U253" i="28"/>
  <c r="AB253" i="28" s="1"/>
  <c r="V253" i="28"/>
  <c r="AC253" i="28" s="1"/>
  <c r="Q254" i="28"/>
  <c r="X254" i="28" s="1"/>
  <c r="R254" i="28"/>
  <c r="Y254" i="28" s="1"/>
  <c r="S254" i="28"/>
  <c r="Z254" i="28" s="1"/>
  <c r="T254" i="28"/>
  <c r="AA254" i="28" s="1"/>
  <c r="U254" i="28"/>
  <c r="AB254" i="28" s="1"/>
  <c r="V254" i="28"/>
  <c r="AC254" i="28" s="1"/>
  <c r="Q255" i="28"/>
  <c r="X255" i="28" s="1"/>
  <c r="R255" i="28"/>
  <c r="Y255" i="28" s="1"/>
  <c r="S255" i="28"/>
  <c r="Z255" i="28" s="1"/>
  <c r="T255" i="28"/>
  <c r="AA255" i="28" s="1"/>
  <c r="U255" i="28"/>
  <c r="AB255" i="28" s="1"/>
  <c r="V255" i="28"/>
  <c r="AC255" i="28" s="1"/>
  <c r="Q256" i="28"/>
  <c r="X256" i="28" s="1"/>
  <c r="R256" i="28"/>
  <c r="Y256" i="28" s="1"/>
  <c r="S256" i="28"/>
  <c r="Z256" i="28" s="1"/>
  <c r="T256" i="28"/>
  <c r="AA256" i="28" s="1"/>
  <c r="U256" i="28"/>
  <c r="AB256" i="28" s="1"/>
  <c r="Q257" i="28"/>
  <c r="X257" i="28" s="1"/>
  <c r="R257" i="28"/>
  <c r="Y257" i="28" s="1"/>
  <c r="S257" i="28"/>
  <c r="Z257" i="28" s="1"/>
  <c r="T257" i="28"/>
  <c r="AA257" i="28" s="1"/>
  <c r="U257" i="28"/>
  <c r="AB257" i="28" s="1"/>
  <c r="V257" i="28"/>
  <c r="AC257" i="28" s="1"/>
  <c r="Q258" i="28"/>
  <c r="X258" i="28" s="1"/>
  <c r="R258" i="28"/>
  <c r="Y258" i="28" s="1"/>
  <c r="S258" i="28"/>
  <c r="Z258" i="28" s="1"/>
  <c r="T258" i="28"/>
  <c r="AA258" i="28" s="1"/>
  <c r="U258" i="28"/>
  <c r="AB258" i="28" s="1"/>
  <c r="V258" i="28"/>
  <c r="AC258" i="28" s="1"/>
  <c r="Q259" i="28"/>
  <c r="X259" i="28" s="1"/>
  <c r="R259" i="28"/>
  <c r="Y259" i="28" s="1"/>
  <c r="S259" i="28"/>
  <c r="Z259" i="28" s="1"/>
  <c r="T259" i="28"/>
  <c r="AA259" i="28" s="1"/>
  <c r="U259" i="28"/>
  <c r="AB259" i="28" s="1"/>
  <c r="V259" i="28"/>
  <c r="AC259" i="28" s="1"/>
  <c r="Q260" i="28"/>
  <c r="X260" i="28" s="1"/>
  <c r="R260" i="28"/>
  <c r="Y260" i="28" s="1"/>
  <c r="S260" i="28"/>
  <c r="Z260" i="28" s="1"/>
  <c r="T260" i="28"/>
  <c r="AA260" i="28" s="1"/>
  <c r="U260" i="28"/>
  <c r="AB260" i="28" s="1"/>
  <c r="V260" i="28"/>
  <c r="AC260" i="28" s="1"/>
  <c r="Q261" i="28"/>
  <c r="X261" i="28" s="1"/>
  <c r="R261" i="28"/>
  <c r="Y261" i="28" s="1"/>
  <c r="S261" i="28"/>
  <c r="Z261" i="28" s="1"/>
  <c r="T261" i="28"/>
  <c r="AA261" i="28" s="1"/>
  <c r="U261" i="28"/>
  <c r="AB261" i="28" s="1"/>
  <c r="V261" i="28"/>
  <c r="AC261" i="28" s="1"/>
  <c r="Q262" i="28"/>
  <c r="X262" i="28" s="1"/>
  <c r="R262" i="28"/>
  <c r="Y262" i="28" s="1"/>
  <c r="S262" i="28"/>
  <c r="Z262" i="28" s="1"/>
  <c r="T262" i="28"/>
  <c r="AA262" i="28" s="1"/>
  <c r="U262" i="28"/>
  <c r="AB262" i="28" s="1"/>
  <c r="V262" i="28"/>
  <c r="AC262" i="28" s="1"/>
  <c r="Q263" i="28"/>
  <c r="X263" i="28" s="1"/>
  <c r="R263" i="28"/>
  <c r="Y263" i="28" s="1"/>
  <c r="S263" i="28"/>
  <c r="Z263" i="28" s="1"/>
  <c r="T263" i="28"/>
  <c r="AA263" i="28" s="1"/>
  <c r="U263" i="28"/>
  <c r="AB263" i="28" s="1"/>
  <c r="V263" i="28"/>
  <c r="AC263" i="28" s="1"/>
  <c r="Q264" i="28"/>
  <c r="X264" i="28" s="1"/>
  <c r="R264" i="28"/>
  <c r="Y264" i="28" s="1"/>
  <c r="S264" i="28"/>
  <c r="Z264" i="28" s="1"/>
  <c r="T264" i="28"/>
  <c r="AA264" i="28" s="1"/>
  <c r="U264" i="28"/>
  <c r="AB264" i="28" s="1"/>
  <c r="Q265" i="28"/>
  <c r="X265" i="28" s="1"/>
  <c r="R265" i="28"/>
  <c r="Y265" i="28" s="1"/>
  <c r="S265" i="28"/>
  <c r="Z265" i="28" s="1"/>
  <c r="T265" i="28"/>
  <c r="AA265" i="28" s="1"/>
  <c r="U265" i="28"/>
  <c r="AB265" i="28" s="1"/>
  <c r="V265" i="28"/>
  <c r="AC265" i="28" s="1"/>
  <c r="Q266" i="28"/>
  <c r="X266" i="28" s="1"/>
  <c r="R266" i="28"/>
  <c r="Y266" i="28" s="1"/>
  <c r="S266" i="28"/>
  <c r="Z266" i="28" s="1"/>
  <c r="T266" i="28"/>
  <c r="AA266" i="28" s="1"/>
  <c r="U266" i="28"/>
  <c r="AB266" i="28" s="1"/>
  <c r="V266" i="28"/>
  <c r="AC266" i="28" s="1"/>
  <c r="Q267" i="28"/>
  <c r="X267" i="28" s="1"/>
  <c r="R267" i="28"/>
  <c r="Y267" i="28" s="1"/>
  <c r="S267" i="28"/>
  <c r="Z267" i="28" s="1"/>
  <c r="T267" i="28"/>
  <c r="AA267" i="28" s="1"/>
  <c r="U267" i="28"/>
  <c r="AB267" i="28" s="1"/>
  <c r="V267" i="28"/>
  <c r="AC267" i="28" s="1"/>
  <c r="Q268" i="28"/>
  <c r="X268" i="28" s="1"/>
  <c r="R268" i="28"/>
  <c r="Y268" i="28" s="1"/>
  <c r="S268" i="28"/>
  <c r="Z268" i="28" s="1"/>
  <c r="T268" i="28"/>
  <c r="AA268" i="28" s="1"/>
  <c r="U268" i="28"/>
  <c r="AB268" i="28" s="1"/>
  <c r="V268" i="28"/>
  <c r="AC268" i="28" s="1"/>
  <c r="Q269" i="28"/>
  <c r="X269" i="28" s="1"/>
  <c r="R269" i="28"/>
  <c r="Y269" i="28" s="1"/>
  <c r="S269" i="28"/>
  <c r="Z269" i="28" s="1"/>
  <c r="T269" i="28"/>
  <c r="AA269" i="28" s="1"/>
  <c r="U269" i="28"/>
  <c r="AB269" i="28" s="1"/>
  <c r="V269" i="28"/>
  <c r="AC269" i="28" s="1"/>
  <c r="Q270" i="28"/>
  <c r="X270" i="28" s="1"/>
  <c r="R270" i="28"/>
  <c r="Y270" i="28" s="1"/>
  <c r="S270" i="28"/>
  <c r="Z270" i="28" s="1"/>
  <c r="T270" i="28"/>
  <c r="AA270" i="28" s="1"/>
  <c r="U270" i="28"/>
  <c r="AB270" i="28" s="1"/>
  <c r="V270" i="28"/>
  <c r="AC270" i="28" s="1"/>
  <c r="Q271" i="28"/>
  <c r="X271" i="28" s="1"/>
  <c r="R271" i="28"/>
  <c r="Y271" i="28" s="1"/>
  <c r="S271" i="28"/>
  <c r="Z271" i="28" s="1"/>
  <c r="T271" i="28"/>
  <c r="AA271" i="28" s="1"/>
  <c r="U271" i="28"/>
  <c r="AB271" i="28" s="1"/>
  <c r="V271" i="28"/>
  <c r="AC271" i="28" s="1"/>
  <c r="Q272" i="28"/>
  <c r="X272" i="28" s="1"/>
  <c r="R272" i="28"/>
  <c r="Y272" i="28" s="1"/>
  <c r="S272" i="28"/>
  <c r="Z272" i="28" s="1"/>
  <c r="T272" i="28"/>
  <c r="AA272" i="28" s="1"/>
  <c r="U272" i="28"/>
  <c r="AB272" i="28" s="1"/>
  <c r="Q273" i="28"/>
  <c r="X273" i="28" s="1"/>
  <c r="R273" i="28"/>
  <c r="Y273" i="28" s="1"/>
  <c r="S273" i="28"/>
  <c r="Z273" i="28" s="1"/>
  <c r="T273" i="28"/>
  <c r="AA273" i="28" s="1"/>
  <c r="U273" i="28"/>
  <c r="AB273" i="28" s="1"/>
  <c r="V273" i="28"/>
  <c r="AC273" i="28" s="1"/>
  <c r="Q274" i="28"/>
  <c r="X274" i="28" s="1"/>
  <c r="R274" i="28"/>
  <c r="Y274" i="28" s="1"/>
  <c r="S274" i="28"/>
  <c r="Z274" i="28" s="1"/>
  <c r="T274" i="28"/>
  <c r="AA274" i="28" s="1"/>
  <c r="U274" i="28"/>
  <c r="AB274" i="28" s="1"/>
  <c r="V274" i="28"/>
  <c r="AC274" i="28" s="1"/>
  <c r="Q275" i="28"/>
  <c r="X275" i="28" s="1"/>
  <c r="R275" i="28"/>
  <c r="Y275" i="28" s="1"/>
  <c r="S275" i="28"/>
  <c r="Z275" i="28" s="1"/>
  <c r="T275" i="28"/>
  <c r="AA275" i="28" s="1"/>
  <c r="U275" i="28"/>
  <c r="AB275" i="28" s="1"/>
  <c r="V275" i="28"/>
  <c r="AC275" i="28" s="1"/>
  <c r="Q276" i="28"/>
  <c r="X276" i="28" s="1"/>
  <c r="R276" i="28"/>
  <c r="Y276" i="28" s="1"/>
  <c r="S276" i="28"/>
  <c r="Z276" i="28" s="1"/>
  <c r="T276" i="28"/>
  <c r="AA276" i="28" s="1"/>
  <c r="U276" i="28"/>
  <c r="AB276" i="28" s="1"/>
  <c r="V276" i="28"/>
  <c r="AC276" i="28" s="1"/>
  <c r="Q277" i="28"/>
  <c r="X277" i="28" s="1"/>
  <c r="R277" i="28"/>
  <c r="Y277" i="28" s="1"/>
  <c r="S277" i="28"/>
  <c r="Z277" i="28" s="1"/>
  <c r="T277" i="28"/>
  <c r="AA277" i="28" s="1"/>
  <c r="U277" i="28"/>
  <c r="AB277" i="28" s="1"/>
  <c r="V277" i="28"/>
  <c r="AC277" i="28" s="1"/>
  <c r="Q278" i="28"/>
  <c r="X278" i="28" s="1"/>
  <c r="R278" i="28"/>
  <c r="Y278" i="28" s="1"/>
  <c r="S278" i="28"/>
  <c r="Z278" i="28" s="1"/>
  <c r="T278" i="28"/>
  <c r="AA278" i="28" s="1"/>
  <c r="U278" i="28"/>
  <c r="AB278" i="28" s="1"/>
  <c r="V278" i="28"/>
  <c r="AC278" i="28" s="1"/>
  <c r="Q279" i="28"/>
  <c r="X279" i="28" s="1"/>
  <c r="R279" i="28"/>
  <c r="Y279" i="28" s="1"/>
  <c r="S279" i="28"/>
  <c r="Z279" i="28" s="1"/>
  <c r="T279" i="28"/>
  <c r="AA279" i="28" s="1"/>
  <c r="U279" i="28"/>
  <c r="AB279" i="28" s="1"/>
  <c r="V279" i="28"/>
  <c r="AC279" i="28" s="1"/>
  <c r="Q280" i="28"/>
  <c r="X280" i="28" s="1"/>
  <c r="R280" i="28"/>
  <c r="Y280" i="28" s="1"/>
  <c r="S280" i="28"/>
  <c r="Z280" i="28" s="1"/>
  <c r="T280" i="28"/>
  <c r="AA280" i="28" s="1"/>
  <c r="U280" i="28"/>
  <c r="AB280" i="28" s="1"/>
  <c r="Q281" i="28"/>
  <c r="X281" i="28" s="1"/>
  <c r="R281" i="28"/>
  <c r="Y281" i="28" s="1"/>
  <c r="S281" i="28"/>
  <c r="Z281" i="28" s="1"/>
  <c r="T281" i="28"/>
  <c r="AA281" i="28" s="1"/>
  <c r="U281" i="28"/>
  <c r="AB281" i="28" s="1"/>
  <c r="V281" i="28"/>
  <c r="AC281" i="28" s="1"/>
  <c r="Q282" i="28"/>
  <c r="X282" i="28" s="1"/>
  <c r="R282" i="28"/>
  <c r="Y282" i="28" s="1"/>
  <c r="S282" i="28"/>
  <c r="Z282" i="28" s="1"/>
  <c r="T282" i="28"/>
  <c r="AA282" i="28" s="1"/>
  <c r="U282" i="28"/>
  <c r="AB282" i="28" s="1"/>
  <c r="V282" i="28"/>
  <c r="AC282" i="28" s="1"/>
  <c r="Q283" i="28"/>
  <c r="X283" i="28" s="1"/>
  <c r="R283" i="28"/>
  <c r="Y283" i="28" s="1"/>
  <c r="S283" i="28"/>
  <c r="Z283" i="28" s="1"/>
  <c r="T283" i="28"/>
  <c r="AA283" i="28" s="1"/>
  <c r="U283" i="28"/>
  <c r="AB283" i="28" s="1"/>
  <c r="V283" i="28"/>
  <c r="AC283" i="28" s="1"/>
  <c r="Q284" i="28"/>
  <c r="X284" i="28" s="1"/>
  <c r="R284" i="28"/>
  <c r="Y284" i="28" s="1"/>
  <c r="S284" i="28"/>
  <c r="Z284" i="28" s="1"/>
  <c r="T284" i="28"/>
  <c r="AA284" i="28" s="1"/>
  <c r="U284" i="28"/>
  <c r="AB284" i="28" s="1"/>
  <c r="V284" i="28"/>
  <c r="AC284" i="28" s="1"/>
  <c r="Q285" i="28"/>
  <c r="X285" i="28" s="1"/>
  <c r="R285" i="28"/>
  <c r="Y285" i="28" s="1"/>
  <c r="S285" i="28"/>
  <c r="Z285" i="28" s="1"/>
  <c r="T285" i="28"/>
  <c r="AA285" i="28" s="1"/>
  <c r="U285" i="28"/>
  <c r="AB285" i="28" s="1"/>
  <c r="V285" i="28"/>
  <c r="AC285" i="28" s="1"/>
  <c r="Q286" i="28"/>
  <c r="X286" i="28" s="1"/>
  <c r="R286" i="28"/>
  <c r="Y286" i="28" s="1"/>
  <c r="S286" i="28"/>
  <c r="Z286" i="28" s="1"/>
  <c r="T286" i="28"/>
  <c r="AA286" i="28" s="1"/>
  <c r="U286" i="28"/>
  <c r="AB286" i="28" s="1"/>
  <c r="V286" i="28"/>
  <c r="AC286" i="28" s="1"/>
  <c r="Q287" i="28"/>
  <c r="X287" i="28" s="1"/>
  <c r="R287" i="28"/>
  <c r="Y287" i="28" s="1"/>
  <c r="S287" i="28"/>
  <c r="Z287" i="28" s="1"/>
  <c r="T287" i="28"/>
  <c r="AA287" i="28" s="1"/>
  <c r="U287" i="28"/>
  <c r="AB287" i="28" s="1"/>
  <c r="V287" i="28"/>
  <c r="AC287" i="28" s="1"/>
  <c r="Q288" i="28"/>
  <c r="X288" i="28" s="1"/>
  <c r="R288" i="28"/>
  <c r="Y288" i="28" s="1"/>
  <c r="S288" i="28"/>
  <c r="Z288" i="28" s="1"/>
  <c r="T288" i="28"/>
  <c r="AA288" i="28" s="1"/>
  <c r="U288" i="28"/>
  <c r="AB288" i="28" s="1"/>
  <c r="Q289" i="28"/>
  <c r="X289" i="28" s="1"/>
  <c r="R289" i="28"/>
  <c r="Y289" i="28" s="1"/>
  <c r="S289" i="28"/>
  <c r="Z289" i="28" s="1"/>
  <c r="T289" i="28"/>
  <c r="AA289" i="28" s="1"/>
  <c r="U289" i="28"/>
  <c r="AB289" i="28" s="1"/>
  <c r="V289" i="28"/>
  <c r="AC289" i="28" s="1"/>
  <c r="Q290" i="28"/>
  <c r="X290" i="28" s="1"/>
  <c r="R290" i="28"/>
  <c r="Y290" i="28" s="1"/>
  <c r="S290" i="28"/>
  <c r="Z290" i="28" s="1"/>
  <c r="T290" i="28"/>
  <c r="AA290" i="28" s="1"/>
  <c r="U290" i="28"/>
  <c r="AB290" i="28" s="1"/>
  <c r="V290" i="28"/>
  <c r="AC290" i="28" s="1"/>
  <c r="Q291" i="28"/>
  <c r="X291" i="28" s="1"/>
  <c r="R291" i="28"/>
  <c r="Y291" i="28" s="1"/>
  <c r="S291" i="28"/>
  <c r="Z291" i="28" s="1"/>
  <c r="T291" i="28"/>
  <c r="AA291" i="28" s="1"/>
  <c r="U291" i="28"/>
  <c r="AB291" i="28" s="1"/>
  <c r="V291" i="28"/>
  <c r="AC291" i="28" s="1"/>
  <c r="Q292" i="28"/>
  <c r="X292" i="28" s="1"/>
  <c r="R292" i="28"/>
  <c r="Y292" i="28" s="1"/>
  <c r="S292" i="28"/>
  <c r="Z292" i="28" s="1"/>
  <c r="T292" i="28"/>
  <c r="AA292" i="28" s="1"/>
  <c r="U292" i="28"/>
  <c r="AB292" i="28" s="1"/>
  <c r="V292" i="28"/>
  <c r="AC292" i="28" s="1"/>
  <c r="Q293" i="28"/>
  <c r="X293" i="28" s="1"/>
  <c r="R293" i="28"/>
  <c r="Y293" i="28" s="1"/>
  <c r="S293" i="28"/>
  <c r="Z293" i="28" s="1"/>
  <c r="T293" i="28"/>
  <c r="AA293" i="28" s="1"/>
  <c r="U293" i="28"/>
  <c r="AB293" i="28" s="1"/>
  <c r="V293" i="28"/>
  <c r="AC293" i="28" s="1"/>
  <c r="Q294" i="28"/>
  <c r="X294" i="28" s="1"/>
  <c r="R294" i="28"/>
  <c r="Y294" i="28" s="1"/>
  <c r="S294" i="28"/>
  <c r="Z294" i="28" s="1"/>
  <c r="T294" i="28"/>
  <c r="AA294" i="28" s="1"/>
  <c r="U294" i="28"/>
  <c r="AB294" i="28" s="1"/>
  <c r="V294" i="28"/>
  <c r="AC294" i="28" s="1"/>
  <c r="Q295" i="28"/>
  <c r="X295" i="28" s="1"/>
  <c r="R295" i="28"/>
  <c r="Y295" i="28" s="1"/>
  <c r="S295" i="28"/>
  <c r="Z295" i="28" s="1"/>
  <c r="T295" i="28"/>
  <c r="AA295" i="28" s="1"/>
  <c r="U295" i="28"/>
  <c r="AB295" i="28" s="1"/>
  <c r="V295" i="28"/>
  <c r="AC295" i="28" s="1"/>
  <c r="Q296" i="28"/>
  <c r="X296" i="28" s="1"/>
  <c r="R296" i="28"/>
  <c r="Y296" i="28" s="1"/>
  <c r="S296" i="28"/>
  <c r="Z296" i="28" s="1"/>
  <c r="T296" i="28"/>
  <c r="AA296" i="28" s="1"/>
  <c r="U296" i="28"/>
  <c r="AB296" i="28" s="1"/>
  <c r="Q297" i="28"/>
  <c r="X297" i="28" s="1"/>
  <c r="R297" i="28"/>
  <c r="Y297" i="28" s="1"/>
  <c r="S297" i="28"/>
  <c r="Z297" i="28" s="1"/>
  <c r="T297" i="28"/>
  <c r="AA297" i="28" s="1"/>
  <c r="U297" i="28"/>
  <c r="AB297" i="28" s="1"/>
  <c r="V297" i="28"/>
  <c r="AC297" i="28" s="1"/>
  <c r="Q298" i="28"/>
  <c r="X298" i="28" s="1"/>
  <c r="R298" i="28"/>
  <c r="Y298" i="28" s="1"/>
  <c r="S298" i="28"/>
  <c r="Z298" i="28" s="1"/>
  <c r="T298" i="28"/>
  <c r="AA298" i="28" s="1"/>
  <c r="U298" i="28"/>
  <c r="AB298" i="28" s="1"/>
  <c r="V298" i="28"/>
  <c r="AC298" i="28" s="1"/>
  <c r="Q299" i="28"/>
  <c r="X299" i="28" s="1"/>
  <c r="R299" i="28"/>
  <c r="Y299" i="28" s="1"/>
  <c r="S299" i="28"/>
  <c r="Z299" i="28" s="1"/>
  <c r="T299" i="28"/>
  <c r="AA299" i="28" s="1"/>
  <c r="U299" i="28"/>
  <c r="AB299" i="28" s="1"/>
  <c r="V299" i="28"/>
  <c r="AC299" i="28" s="1"/>
  <c r="Q300" i="28"/>
  <c r="X300" i="28" s="1"/>
  <c r="R300" i="28"/>
  <c r="Y300" i="28" s="1"/>
  <c r="S300" i="28"/>
  <c r="Z300" i="28" s="1"/>
  <c r="T300" i="28"/>
  <c r="AA300" i="28" s="1"/>
  <c r="U300" i="28"/>
  <c r="AB300" i="28" s="1"/>
  <c r="V300" i="28"/>
  <c r="AC300" i="28" s="1"/>
  <c r="Q301" i="28"/>
  <c r="X301" i="28" s="1"/>
  <c r="R301" i="28"/>
  <c r="Y301" i="28" s="1"/>
  <c r="S301" i="28"/>
  <c r="Z301" i="28" s="1"/>
  <c r="T301" i="28"/>
  <c r="AA301" i="28" s="1"/>
  <c r="U301" i="28"/>
  <c r="AB301" i="28" s="1"/>
  <c r="V301" i="28"/>
  <c r="AC301" i="28" s="1"/>
  <c r="Q302" i="28"/>
  <c r="X302" i="28" s="1"/>
  <c r="R302" i="28"/>
  <c r="Y302" i="28" s="1"/>
  <c r="S302" i="28"/>
  <c r="Z302" i="28" s="1"/>
  <c r="T302" i="28"/>
  <c r="AA302" i="28" s="1"/>
  <c r="U302" i="28"/>
  <c r="AB302" i="28" s="1"/>
  <c r="V302" i="28"/>
  <c r="AC302" i="28" s="1"/>
  <c r="Q303" i="28"/>
  <c r="X303" i="28" s="1"/>
  <c r="R303" i="28"/>
  <c r="Y303" i="28" s="1"/>
  <c r="S303" i="28"/>
  <c r="Z303" i="28" s="1"/>
  <c r="T303" i="28"/>
  <c r="AA303" i="28" s="1"/>
  <c r="U303" i="28"/>
  <c r="AB303" i="28" s="1"/>
  <c r="V303" i="28"/>
  <c r="AC303" i="28" s="1"/>
  <c r="Q304" i="28"/>
  <c r="X304" i="28" s="1"/>
  <c r="R304" i="28"/>
  <c r="Y304" i="28" s="1"/>
  <c r="S304" i="28"/>
  <c r="Z304" i="28" s="1"/>
  <c r="T304" i="28"/>
  <c r="AA304" i="28" s="1"/>
  <c r="U304" i="28"/>
  <c r="AB304" i="28" s="1"/>
  <c r="Q305" i="28"/>
  <c r="X305" i="28" s="1"/>
  <c r="R305" i="28"/>
  <c r="Y305" i="28" s="1"/>
  <c r="S305" i="28"/>
  <c r="Z305" i="28" s="1"/>
  <c r="T305" i="28"/>
  <c r="AA305" i="28" s="1"/>
  <c r="U305" i="28"/>
  <c r="AB305" i="28" s="1"/>
  <c r="V305" i="28"/>
  <c r="AC305" i="28" s="1"/>
  <c r="Q306" i="28"/>
  <c r="X306" i="28" s="1"/>
  <c r="R306" i="28"/>
  <c r="Y306" i="28" s="1"/>
  <c r="S306" i="28"/>
  <c r="Z306" i="28" s="1"/>
  <c r="T306" i="28"/>
  <c r="AA306" i="28" s="1"/>
  <c r="U306" i="28"/>
  <c r="AB306" i="28" s="1"/>
  <c r="V306" i="28"/>
  <c r="AC306" i="28" s="1"/>
  <c r="Q307" i="28"/>
  <c r="X307" i="28" s="1"/>
  <c r="R307" i="28"/>
  <c r="Y307" i="28" s="1"/>
  <c r="S307" i="28"/>
  <c r="Z307" i="28" s="1"/>
  <c r="T307" i="28"/>
  <c r="AA307" i="28" s="1"/>
  <c r="U307" i="28"/>
  <c r="AB307" i="28" s="1"/>
  <c r="V307" i="28"/>
  <c r="AC307" i="28" s="1"/>
  <c r="Q308" i="28"/>
  <c r="X308" i="28" s="1"/>
  <c r="R308" i="28"/>
  <c r="Y308" i="28" s="1"/>
  <c r="S308" i="28"/>
  <c r="Z308" i="28" s="1"/>
  <c r="T308" i="28"/>
  <c r="AA308" i="28" s="1"/>
  <c r="U308" i="28"/>
  <c r="AB308" i="28" s="1"/>
  <c r="V308" i="28"/>
  <c r="AC308" i="28" s="1"/>
  <c r="Q309" i="28"/>
  <c r="X309" i="28" s="1"/>
  <c r="R309" i="28"/>
  <c r="Y309" i="28" s="1"/>
  <c r="S309" i="28"/>
  <c r="Z309" i="28" s="1"/>
  <c r="T309" i="28"/>
  <c r="AA309" i="28" s="1"/>
  <c r="U309" i="28"/>
  <c r="AB309" i="28" s="1"/>
  <c r="V309" i="28"/>
  <c r="AC309" i="28" s="1"/>
  <c r="Q310" i="28"/>
  <c r="X310" i="28" s="1"/>
  <c r="R310" i="28"/>
  <c r="Y310" i="28" s="1"/>
  <c r="S310" i="28"/>
  <c r="Z310" i="28" s="1"/>
  <c r="T310" i="28"/>
  <c r="AA310" i="28" s="1"/>
  <c r="U310" i="28"/>
  <c r="AB310" i="28" s="1"/>
  <c r="V310" i="28"/>
  <c r="AC310" i="28" s="1"/>
  <c r="Q311" i="28"/>
  <c r="X311" i="28" s="1"/>
  <c r="R311" i="28"/>
  <c r="Y311" i="28" s="1"/>
  <c r="S311" i="28"/>
  <c r="Z311" i="28" s="1"/>
  <c r="T311" i="28"/>
  <c r="AA311" i="28" s="1"/>
  <c r="U311" i="28"/>
  <c r="AB311" i="28" s="1"/>
  <c r="V311" i="28"/>
  <c r="AC311" i="28" s="1"/>
  <c r="Q312" i="28"/>
  <c r="X312" i="28" s="1"/>
  <c r="R312" i="28"/>
  <c r="Y312" i="28" s="1"/>
  <c r="S312" i="28"/>
  <c r="Z312" i="28" s="1"/>
  <c r="T312" i="28"/>
  <c r="AA312" i="28" s="1"/>
  <c r="U312" i="28"/>
  <c r="AB312" i="28" s="1"/>
  <c r="Q313" i="28"/>
  <c r="X313" i="28" s="1"/>
  <c r="R313" i="28"/>
  <c r="Y313" i="28" s="1"/>
  <c r="S313" i="28"/>
  <c r="Z313" i="28" s="1"/>
  <c r="T313" i="28"/>
  <c r="AA313" i="28" s="1"/>
  <c r="U313" i="28"/>
  <c r="AB313" i="28" s="1"/>
  <c r="V313" i="28"/>
  <c r="AC313" i="28" s="1"/>
  <c r="Q314" i="28"/>
  <c r="X314" i="28" s="1"/>
  <c r="R314" i="28"/>
  <c r="Y314" i="28" s="1"/>
  <c r="S314" i="28"/>
  <c r="Z314" i="28" s="1"/>
  <c r="T314" i="28"/>
  <c r="AA314" i="28" s="1"/>
  <c r="U314" i="28"/>
  <c r="AB314" i="28" s="1"/>
  <c r="V314" i="28"/>
  <c r="AC314" i="28" s="1"/>
  <c r="Q315" i="28"/>
  <c r="X315" i="28" s="1"/>
  <c r="R315" i="28"/>
  <c r="Y315" i="28" s="1"/>
  <c r="S315" i="28"/>
  <c r="Z315" i="28" s="1"/>
  <c r="T315" i="28"/>
  <c r="AA315" i="28" s="1"/>
  <c r="U315" i="28"/>
  <c r="AB315" i="28" s="1"/>
  <c r="V315" i="28"/>
  <c r="AC315" i="28" s="1"/>
  <c r="Q316" i="28"/>
  <c r="X316" i="28" s="1"/>
  <c r="R316" i="28"/>
  <c r="Y316" i="28" s="1"/>
  <c r="S316" i="28"/>
  <c r="Z316" i="28" s="1"/>
  <c r="T316" i="28"/>
  <c r="AA316" i="28" s="1"/>
  <c r="U316" i="28"/>
  <c r="AB316" i="28" s="1"/>
  <c r="V316" i="28"/>
  <c r="AC316" i="28" s="1"/>
  <c r="Q317" i="28"/>
  <c r="X317" i="28" s="1"/>
  <c r="R317" i="28"/>
  <c r="Y317" i="28" s="1"/>
  <c r="S317" i="28"/>
  <c r="Z317" i="28" s="1"/>
  <c r="T317" i="28"/>
  <c r="AA317" i="28" s="1"/>
  <c r="U317" i="28"/>
  <c r="AB317" i="28" s="1"/>
  <c r="V317" i="28"/>
  <c r="AC317" i="28" s="1"/>
  <c r="Q318" i="28"/>
  <c r="X318" i="28" s="1"/>
  <c r="R318" i="28"/>
  <c r="Y318" i="28" s="1"/>
  <c r="S318" i="28"/>
  <c r="Z318" i="28" s="1"/>
  <c r="T318" i="28"/>
  <c r="AA318" i="28" s="1"/>
  <c r="U318" i="28"/>
  <c r="AB318" i="28" s="1"/>
  <c r="V318" i="28"/>
  <c r="AC318" i="28" s="1"/>
  <c r="Q319" i="28"/>
  <c r="X319" i="28" s="1"/>
  <c r="R319" i="28"/>
  <c r="Y319" i="28" s="1"/>
  <c r="S319" i="28"/>
  <c r="Z319" i="28" s="1"/>
  <c r="T319" i="28"/>
  <c r="AA319" i="28" s="1"/>
  <c r="U319" i="28"/>
  <c r="AB319" i="28" s="1"/>
  <c r="V319" i="28"/>
  <c r="AC319" i="28" s="1"/>
  <c r="Q320" i="28"/>
  <c r="X320" i="28" s="1"/>
  <c r="R320" i="28"/>
  <c r="Y320" i="28" s="1"/>
  <c r="S320" i="28"/>
  <c r="Z320" i="28" s="1"/>
  <c r="T320" i="28"/>
  <c r="AA320" i="28" s="1"/>
  <c r="U320" i="28"/>
  <c r="AB320" i="28" s="1"/>
  <c r="Q321" i="28"/>
  <c r="X321" i="28" s="1"/>
  <c r="R321" i="28"/>
  <c r="Y321" i="28" s="1"/>
  <c r="S321" i="28"/>
  <c r="Z321" i="28" s="1"/>
  <c r="T321" i="28"/>
  <c r="AA321" i="28" s="1"/>
  <c r="U321" i="28"/>
  <c r="AB321" i="28" s="1"/>
  <c r="V321" i="28"/>
  <c r="AC321" i="28" s="1"/>
  <c r="Q322" i="28"/>
  <c r="X322" i="28" s="1"/>
  <c r="R322" i="28"/>
  <c r="Y322" i="28" s="1"/>
  <c r="S322" i="28"/>
  <c r="Z322" i="28" s="1"/>
  <c r="T322" i="28"/>
  <c r="AA322" i="28" s="1"/>
  <c r="U322" i="28"/>
  <c r="AB322" i="28" s="1"/>
  <c r="V322" i="28"/>
  <c r="AC322" i="28" s="1"/>
  <c r="Q323" i="28"/>
  <c r="X323" i="28" s="1"/>
  <c r="R323" i="28"/>
  <c r="Y323" i="28" s="1"/>
  <c r="S323" i="28"/>
  <c r="Z323" i="28" s="1"/>
  <c r="T323" i="28"/>
  <c r="AA323" i="28" s="1"/>
  <c r="U323" i="28"/>
  <c r="AB323" i="28" s="1"/>
  <c r="V323" i="28"/>
  <c r="AC323" i="28" s="1"/>
  <c r="Q324" i="28"/>
  <c r="X324" i="28" s="1"/>
  <c r="R324" i="28"/>
  <c r="Y324" i="28" s="1"/>
  <c r="S324" i="28"/>
  <c r="Z324" i="28" s="1"/>
  <c r="T324" i="28"/>
  <c r="AA324" i="28" s="1"/>
  <c r="U324" i="28"/>
  <c r="AB324" i="28" s="1"/>
  <c r="V324" i="28"/>
  <c r="AC324" i="28" s="1"/>
  <c r="Q325" i="28"/>
  <c r="X325" i="28" s="1"/>
  <c r="R325" i="28"/>
  <c r="Y325" i="28" s="1"/>
  <c r="S325" i="28"/>
  <c r="Z325" i="28" s="1"/>
  <c r="T325" i="28"/>
  <c r="AA325" i="28" s="1"/>
  <c r="U325" i="28"/>
  <c r="AB325" i="28" s="1"/>
  <c r="V325" i="28"/>
  <c r="AC325" i="28" s="1"/>
  <c r="Q326" i="28"/>
  <c r="X326" i="28" s="1"/>
  <c r="R326" i="28"/>
  <c r="Y326" i="28" s="1"/>
  <c r="S326" i="28"/>
  <c r="Z326" i="28" s="1"/>
  <c r="T326" i="28"/>
  <c r="AA326" i="28" s="1"/>
  <c r="U326" i="28"/>
  <c r="AB326" i="28" s="1"/>
  <c r="V326" i="28"/>
  <c r="AC326" i="28" s="1"/>
  <c r="Q327" i="28"/>
  <c r="X327" i="28" s="1"/>
  <c r="R327" i="28"/>
  <c r="Y327" i="28" s="1"/>
  <c r="S327" i="28"/>
  <c r="Z327" i="28" s="1"/>
  <c r="T327" i="28"/>
  <c r="AA327" i="28" s="1"/>
  <c r="U327" i="28"/>
  <c r="AB327" i="28" s="1"/>
  <c r="V327" i="28"/>
  <c r="AC327" i="28" s="1"/>
  <c r="Q328" i="28"/>
  <c r="X328" i="28" s="1"/>
  <c r="R328" i="28"/>
  <c r="Y328" i="28" s="1"/>
  <c r="S328" i="28"/>
  <c r="Z328" i="28" s="1"/>
  <c r="T328" i="28"/>
  <c r="AA328" i="28" s="1"/>
  <c r="U328" i="28"/>
  <c r="AB328" i="28" s="1"/>
  <c r="Q329" i="28"/>
  <c r="X329" i="28" s="1"/>
  <c r="R329" i="28"/>
  <c r="Y329" i="28" s="1"/>
  <c r="S329" i="28"/>
  <c r="Z329" i="28" s="1"/>
  <c r="T329" i="28"/>
  <c r="AA329" i="28" s="1"/>
  <c r="U329" i="28"/>
  <c r="AB329" i="28" s="1"/>
  <c r="V329" i="28"/>
  <c r="AC329" i="28" s="1"/>
  <c r="Q330" i="28"/>
  <c r="X330" i="28" s="1"/>
  <c r="R330" i="28"/>
  <c r="Y330" i="28" s="1"/>
  <c r="S330" i="28"/>
  <c r="Z330" i="28" s="1"/>
  <c r="T330" i="28"/>
  <c r="AA330" i="28" s="1"/>
  <c r="U330" i="28"/>
  <c r="AB330" i="28" s="1"/>
  <c r="V330" i="28"/>
  <c r="AC330" i="28" s="1"/>
  <c r="Q331" i="28"/>
  <c r="X331" i="28" s="1"/>
  <c r="R331" i="28"/>
  <c r="Y331" i="28" s="1"/>
  <c r="S331" i="28"/>
  <c r="Z331" i="28" s="1"/>
  <c r="T331" i="28"/>
  <c r="AA331" i="28" s="1"/>
  <c r="U331" i="28"/>
  <c r="AB331" i="28" s="1"/>
  <c r="V331" i="28"/>
  <c r="AC331" i="28" s="1"/>
  <c r="Q332" i="28"/>
  <c r="X332" i="28" s="1"/>
  <c r="R332" i="28"/>
  <c r="Y332" i="28" s="1"/>
  <c r="S332" i="28"/>
  <c r="Z332" i="28" s="1"/>
  <c r="T332" i="28"/>
  <c r="AA332" i="28" s="1"/>
  <c r="U332" i="28"/>
  <c r="AB332" i="28" s="1"/>
  <c r="V332" i="28"/>
  <c r="AC332" i="28" s="1"/>
  <c r="Q333" i="28"/>
  <c r="X333" i="28" s="1"/>
  <c r="R333" i="28"/>
  <c r="Y333" i="28" s="1"/>
  <c r="S333" i="28"/>
  <c r="Z333" i="28" s="1"/>
  <c r="T333" i="28"/>
  <c r="AA333" i="28" s="1"/>
  <c r="U333" i="28"/>
  <c r="AB333" i="28" s="1"/>
  <c r="V333" i="28"/>
  <c r="AC333" i="28" s="1"/>
  <c r="Q334" i="28"/>
  <c r="X334" i="28" s="1"/>
  <c r="R334" i="28"/>
  <c r="Y334" i="28" s="1"/>
  <c r="S334" i="28"/>
  <c r="Z334" i="28" s="1"/>
  <c r="T334" i="28"/>
  <c r="AA334" i="28" s="1"/>
  <c r="U334" i="28"/>
  <c r="AB334" i="28" s="1"/>
  <c r="V334" i="28"/>
  <c r="AC334" i="28" s="1"/>
  <c r="Q335" i="28"/>
  <c r="X335" i="28" s="1"/>
  <c r="R335" i="28"/>
  <c r="Y335" i="28" s="1"/>
  <c r="S335" i="28"/>
  <c r="Z335" i="28" s="1"/>
  <c r="T335" i="28"/>
  <c r="AA335" i="28" s="1"/>
  <c r="U335" i="28"/>
  <c r="AB335" i="28" s="1"/>
  <c r="V335" i="28"/>
  <c r="AC335" i="28" s="1"/>
  <c r="Q336" i="28"/>
  <c r="X336" i="28" s="1"/>
  <c r="R336" i="28"/>
  <c r="Y336" i="28" s="1"/>
  <c r="S336" i="28"/>
  <c r="Z336" i="28" s="1"/>
  <c r="T336" i="28"/>
  <c r="AA336" i="28" s="1"/>
  <c r="U336" i="28"/>
  <c r="AB336" i="28" s="1"/>
  <c r="Q337" i="28"/>
  <c r="X337" i="28" s="1"/>
  <c r="R337" i="28"/>
  <c r="Y337" i="28" s="1"/>
  <c r="S337" i="28"/>
  <c r="Z337" i="28" s="1"/>
  <c r="T337" i="28"/>
  <c r="AA337" i="28" s="1"/>
  <c r="U337" i="28"/>
  <c r="AB337" i="28" s="1"/>
  <c r="V337" i="28"/>
  <c r="AC337" i="28" s="1"/>
  <c r="Q338" i="28"/>
  <c r="X338" i="28" s="1"/>
  <c r="R338" i="28"/>
  <c r="Y338" i="28" s="1"/>
  <c r="S338" i="28"/>
  <c r="Z338" i="28" s="1"/>
  <c r="T338" i="28"/>
  <c r="AA338" i="28" s="1"/>
  <c r="U338" i="28"/>
  <c r="AB338" i="28" s="1"/>
  <c r="V338" i="28"/>
  <c r="AC338" i="28" s="1"/>
  <c r="Q339" i="28"/>
  <c r="X339" i="28" s="1"/>
  <c r="R339" i="28"/>
  <c r="Y339" i="28" s="1"/>
  <c r="S339" i="28"/>
  <c r="Z339" i="28" s="1"/>
  <c r="T339" i="28"/>
  <c r="AA339" i="28" s="1"/>
  <c r="U339" i="28"/>
  <c r="AB339" i="28" s="1"/>
  <c r="V339" i="28"/>
  <c r="AC339" i="28" s="1"/>
  <c r="Q340" i="28"/>
  <c r="X340" i="28" s="1"/>
  <c r="R340" i="28"/>
  <c r="Y340" i="28" s="1"/>
  <c r="S340" i="28"/>
  <c r="Z340" i="28" s="1"/>
  <c r="T340" i="28"/>
  <c r="AA340" i="28" s="1"/>
  <c r="U340" i="28"/>
  <c r="AB340" i="28" s="1"/>
  <c r="V340" i="28"/>
  <c r="AC340" i="28" s="1"/>
  <c r="Q341" i="28"/>
  <c r="X341" i="28" s="1"/>
  <c r="R341" i="28"/>
  <c r="Y341" i="28" s="1"/>
  <c r="S341" i="28"/>
  <c r="Z341" i="28" s="1"/>
  <c r="T341" i="28"/>
  <c r="AA341" i="28" s="1"/>
  <c r="U341" i="28"/>
  <c r="AB341" i="28" s="1"/>
  <c r="V341" i="28"/>
  <c r="AC341" i="28" s="1"/>
  <c r="Q342" i="28"/>
  <c r="X342" i="28" s="1"/>
  <c r="R342" i="28"/>
  <c r="Y342" i="28" s="1"/>
  <c r="S342" i="28"/>
  <c r="Z342" i="28" s="1"/>
  <c r="T342" i="28"/>
  <c r="AA342" i="28" s="1"/>
  <c r="U342" i="28"/>
  <c r="AB342" i="28" s="1"/>
  <c r="V342" i="28"/>
  <c r="AC342" i="28" s="1"/>
  <c r="Q343" i="28"/>
  <c r="X343" i="28" s="1"/>
  <c r="R343" i="28"/>
  <c r="Y343" i="28" s="1"/>
  <c r="S343" i="28"/>
  <c r="Z343" i="28" s="1"/>
  <c r="T343" i="28"/>
  <c r="AA343" i="28" s="1"/>
  <c r="U343" i="28"/>
  <c r="AB343" i="28" s="1"/>
  <c r="V343" i="28"/>
  <c r="AC343" i="28" s="1"/>
  <c r="Q344" i="28"/>
  <c r="X344" i="28" s="1"/>
  <c r="R344" i="28"/>
  <c r="Y344" i="28" s="1"/>
  <c r="S344" i="28"/>
  <c r="Z344" i="28" s="1"/>
  <c r="T344" i="28"/>
  <c r="AA344" i="28" s="1"/>
  <c r="U344" i="28"/>
  <c r="AB344" i="28" s="1"/>
  <c r="Q345" i="28"/>
  <c r="X345" i="28" s="1"/>
  <c r="R345" i="28"/>
  <c r="Y345" i="28" s="1"/>
  <c r="S345" i="28"/>
  <c r="Z345" i="28" s="1"/>
  <c r="T345" i="28"/>
  <c r="AA345" i="28" s="1"/>
  <c r="U345" i="28"/>
  <c r="AB345" i="28" s="1"/>
  <c r="V345" i="28"/>
  <c r="AC345" i="28" s="1"/>
  <c r="Q346" i="28"/>
  <c r="X346" i="28" s="1"/>
  <c r="R346" i="28"/>
  <c r="Y346" i="28" s="1"/>
  <c r="S346" i="28"/>
  <c r="Z346" i="28" s="1"/>
  <c r="T346" i="28"/>
  <c r="AA346" i="28" s="1"/>
  <c r="U346" i="28"/>
  <c r="AB346" i="28" s="1"/>
  <c r="V346" i="28"/>
  <c r="AC346" i="28" s="1"/>
  <c r="Q347" i="28"/>
  <c r="X347" i="28" s="1"/>
  <c r="R347" i="28"/>
  <c r="Y347" i="28" s="1"/>
  <c r="S347" i="28"/>
  <c r="Z347" i="28" s="1"/>
  <c r="T347" i="28"/>
  <c r="AA347" i="28" s="1"/>
  <c r="U347" i="28"/>
  <c r="AB347" i="28" s="1"/>
  <c r="V347" i="28"/>
  <c r="AC347" i="28" s="1"/>
  <c r="Q348" i="28"/>
  <c r="X348" i="28" s="1"/>
  <c r="R348" i="28"/>
  <c r="Y348" i="28" s="1"/>
  <c r="S348" i="28"/>
  <c r="Z348" i="28" s="1"/>
  <c r="T348" i="28"/>
  <c r="AA348" i="28" s="1"/>
  <c r="U348" i="28"/>
  <c r="AB348" i="28" s="1"/>
  <c r="V348" i="28"/>
  <c r="AC348" i="28" s="1"/>
  <c r="Q349" i="28"/>
  <c r="X349" i="28" s="1"/>
  <c r="R349" i="28"/>
  <c r="Y349" i="28" s="1"/>
  <c r="S349" i="28"/>
  <c r="Z349" i="28" s="1"/>
  <c r="T349" i="28"/>
  <c r="AA349" i="28" s="1"/>
  <c r="U349" i="28"/>
  <c r="AB349" i="28" s="1"/>
  <c r="V349" i="28"/>
  <c r="AC349" i="28" s="1"/>
  <c r="Q350" i="28"/>
  <c r="X350" i="28" s="1"/>
  <c r="R350" i="28"/>
  <c r="Y350" i="28" s="1"/>
  <c r="S350" i="28"/>
  <c r="Z350" i="28" s="1"/>
  <c r="T350" i="28"/>
  <c r="AA350" i="28" s="1"/>
  <c r="U350" i="28"/>
  <c r="AB350" i="28" s="1"/>
  <c r="V350" i="28"/>
  <c r="AC350" i="28" s="1"/>
  <c r="Q351" i="28"/>
  <c r="X351" i="28" s="1"/>
  <c r="R351" i="28"/>
  <c r="Y351" i="28" s="1"/>
  <c r="S351" i="28"/>
  <c r="Z351" i="28" s="1"/>
  <c r="T351" i="28"/>
  <c r="AA351" i="28" s="1"/>
  <c r="U351" i="28"/>
  <c r="AB351" i="28" s="1"/>
  <c r="V351" i="28"/>
  <c r="AC351" i="28" s="1"/>
  <c r="Q352" i="28"/>
  <c r="X352" i="28" s="1"/>
  <c r="R352" i="28"/>
  <c r="Y352" i="28" s="1"/>
  <c r="S352" i="28"/>
  <c r="Z352" i="28" s="1"/>
  <c r="T352" i="28"/>
  <c r="AA352" i="28" s="1"/>
  <c r="U352" i="28"/>
  <c r="AB352" i="28" s="1"/>
  <c r="Q353" i="28"/>
  <c r="X353" i="28" s="1"/>
  <c r="R353" i="28"/>
  <c r="Y353" i="28" s="1"/>
  <c r="S353" i="28"/>
  <c r="Z353" i="28" s="1"/>
  <c r="T353" i="28"/>
  <c r="AA353" i="28" s="1"/>
  <c r="U353" i="28"/>
  <c r="AB353" i="28" s="1"/>
  <c r="V353" i="28"/>
  <c r="AC353" i="28" s="1"/>
  <c r="Q354" i="28"/>
  <c r="X354" i="28" s="1"/>
  <c r="R354" i="28"/>
  <c r="Y354" i="28" s="1"/>
  <c r="S354" i="28"/>
  <c r="Z354" i="28" s="1"/>
  <c r="T354" i="28"/>
  <c r="AA354" i="28" s="1"/>
  <c r="U354" i="28"/>
  <c r="AB354" i="28" s="1"/>
  <c r="V354" i="28"/>
  <c r="AC354" i="28" s="1"/>
  <c r="Q355" i="28"/>
  <c r="X355" i="28" s="1"/>
  <c r="R355" i="28"/>
  <c r="Y355" i="28" s="1"/>
  <c r="S355" i="28"/>
  <c r="Z355" i="28" s="1"/>
  <c r="T355" i="28"/>
  <c r="AA355" i="28" s="1"/>
  <c r="U355" i="28"/>
  <c r="AB355" i="28" s="1"/>
  <c r="V355" i="28"/>
  <c r="AC355" i="28" s="1"/>
  <c r="Q356" i="28"/>
  <c r="X356" i="28" s="1"/>
  <c r="R356" i="28"/>
  <c r="Y356" i="28" s="1"/>
  <c r="S356" i="28"/>
  <c r="Z356" i="28" s="1"/>
  <c r="T356" i="28"/>
  <c r="AA356" i="28" s="1"/>
  <c r="U356" i="28"/>
  <c r="AB356" i="28" s="1"/>
  <c r="V356" i="28"/>
  <c r="AC356" i="28" s="1"/>
  <c r="Q357" i="28"/>
  <c r="X357" i="28" s="1"/>
  <c r="R357" i="28"/>
  <c r="Y357" i="28" s="1"/>
  <c r="S357" i="28"/>
  <c r="Z357" i="28" s="1"/>
  <c r="T357" i="28"/>
  <c r="AA357" i="28" s="1"/>
  <c r="U357" i="28"/>
  <c r="AB357" i="28" s="1"/>
  <c r="V357" i="28"/>
  <c r="AC357" i="28" s="1"/>
  <c r="Q358" i="28"/>
  <c r="X358" i="28" s="1"/>
  <c r="R358" i="28"/>
  <c r="Y358" i="28" s="1"/>
  <c r="S358" i="28"/>
  <c r="Z358" i="28" s="1"/>
  <c r="T358" i="28"/>
  <c r="AA358" i="28" s="1"/>
  <c r="U358" i="28"/>
  <c r="AB358" i="28" s="1"/>
  <c r="V358" i="28"/>
  <c r="AC358" i="28" s="1"/>
  <c r="Q359" i="28"/>
  <c r="X359" i="28" s="1"/>
  <c r="R359" i="28"/>
  <c r="Y359" i="28" s="1"/>
  <c r="S359" i="28"/>
  <c r="Z359" i="28" s="1"/>
  <c r="T359" i="28"/>
  <c r="AA359" i="28" s="1"/>
  <c r="U359" i="28"/>
  <c r="AB359" i="28" s="1"/>
  <c r="V359" i="28"/>
  <c r="AC359" i="28" s="1"/>
  <c r="Q360" i="28"/>
  <c r="X360" i="28" s="1"/>
  <c r="R360" i="28"/>
  <c r="Y360" i="28" s="1"/>
  <c r="S360" i="28"/>
  <c r="Z360" i="28" s="1"/>
  <c r="T360" i="28"/>
  <c r="AA360" i="28" s="1"/>
  <c r="U360" i="28"/>
  <c r="AB360" i="28" s="1"/>
  <c r="Q361" i="28"/>
  <c r="X361" i="28" s="1"/>
  <c r="R361" i="28"/>
  <c r="Y361" i="28" s="1"/>
  <c r="S361" i="28"/>
  <c r="Z361" i="28" s="1"/>
  <c r="T361" i="28"/>
  <c r="AA361" i="28" s="1"/>
  <c r="U361" i="28"/>
  <c r="AB361" i="28" s="1"/>
  <c r="V361" i="28"/>
  <c r="AC361" i="28" s="1"/>
  <c r="Q362" i="28"/>
  <c r="X362" i="28" s="1"/>
  <c r="R362" i="28"/>
  <c r="Y362" i="28" s="1"/>
  <c r="S362" i="28"/>
  <c r="Z362" i="28" s="1"/>
  <c r="T362" i="28"/>
  <c r="AA362" i="28" s="1"/>
  <c r="U362" i="28"/>
  <c r="AB362" i="28" s="1"/>
  <c r="V362" i="28"/>
  <c r="AC362" i="28" s="1"/>
  <c r="Q363" i="28"/>
  <c r="X363" i="28" s="1"/>
  <c r="R363" i="28"/>
  <c r="Y363" i="28" s="1"/>
  <c r="S363" i="28"/>
  <c r="Z363" i="28" s="1"/>
  <c r="T363" i="28"/>
  <c r="AA363" i="28" s="1"/>
  <c r="U363" i="28"/>
  <c r="AB363" i="28" s="1"/>
  <c r="V363" i="28"/>
  <c r="AC363" i="28" s="1"/>
  <c r="Q364" i="28"/>
  <c r="X364" i="28" s="1"/>
  <c r="R364" i="28"/>
  <c r="Y364" i="28" s="1"/>
  <c r="S364" i="28"/>
  <c r="Z364" i="28" s="1"/>
  <c r="T364" i="28"/>
  <c r="AA364" i="28" s="1"/>
  <c r="U364" i="28"/>
  <c r="AB364" i="28" s="1"/>
  <c r="V364" i="28"/>
  <c r="AC364" i="28" s="1"/>
  <c r="Q365" i="28"/>
  <c r="X365" i="28" s="1"/>
  <c r="R365" i="28"/>
  <c r="Y365" i="28" s="1"/>
  <c r="S365" i="28"/>
  <c r="Z365" i="28" s="1"/>
  <c r="T365" i="28"/>
  <c r="AA365" i="28" s="1"/>
  <c r="U365" i="28"/>
  <c r="AB365" i="28" s="1"/>
  <c r="V365" i="28"/>
  <c r="AC365" i="28" s="1"/>
  <c r="Q366" i="28"/>
  <c r="X366" i="28" s="1"/>
  <c r="R366" i="28"/>
  <c r="Y366" i="28" s="1"/>
  <c r="S366" i="28"/>
  <c r="Z366" i="28" s="1"/>
  <c r="T366" i="28"/>
  <c r="AA366" i="28" s="1"/>
  <c r="U366" i="28"/>
  <c r="AB366" i="28" s="1"/>
  <c r="V366" i="28"/>
  <c r="AC366" i="28" s="1"/>
  <c r="Q367" i="28"/>
  <c r="X367" i="28" s="1"/>
  <c r="R367" i="28"/>
  <c r="Y367" i="28" s="1"/>
  <c r="S367" i="28"/>
  <c r="Z367" i="28" s="1"/>
  <c r="T367" i="28"/>
  <c r="AA367" i="28" s="1"/>
  <c r="U367" i="28"/>
  <c r="AB367" i="28" s="1"/>
  <c r="V367" i="28"/>
  <c r="AC367" i="28" s="1"/>
  <c r="Q368" i="28"/>
  <c r="X368" i="28" s="1"/>
  <c r="R368" i="28"/>
  <c r="Y368" i="28" s="1"/>
  <c r="S368" i="28"/>
  <c r="Z368" i="28" s="1"/>
  <c r="T368" i="28"/>
  <c r="AA368" i="28" s="1"/>
  <c r="U368" i="28"/>
  <c r="AB368" i="28" s="1"/>
  <c r="Q369" i="28"/>
  <c r="X369" i="28" s="1"/>
  <c r="R369" i="28"/>
  <c r="Y369" i="28" s="1"/>
  <c r="S369" i="28"/>
  <c r="Z369" i="28" s="1"/>
  <c r="T369" i="28"/>
  <c r="AA369" i="28" s="1"/>
  <c r="U369" i="28"/>
  <c r="AB369" i="28" s="1"/>
  <c r="V369" i="28"/>
  <c r="AC369" i="28" s="1"/>
  <c r="Q370" i="28"/>
  <c r="X370" i="28" s="1"/>
  <c r="R370" i="28"/>
  <c r="Y370" i="28" s="1"/>
  <c r="S370" i="28"/>
  <c r="Z370" i="28" s="1"/>
  <c r="T370" i="28"/>
  <c r="AA370" i="28" s="1"/>
  <c r="U370" i="28"/>
  <c r="AB370" i="28" s="1"/>
  <c r="V370" i="28"/>
  <c r="AC370" i="28" s="1"/>
  <c r="Q371" i="28"/>
  <c r="X371" i="28" s="1"/>
  <c r="R371" i="28"/>
  <c r="Y371" i="28" s="1"/>
  <c r="S371" i="28"/>
  <c r="Z371" i="28" s="1"/>
  <c r="T371" i="28"/>
  <c r="AA371" i="28" s="1"/>
  <c r="U371" i="28"/>
  <c r="AB371" i="28" s="1"/>
  <c r="V371" i="28"/>
  <c r="AC371" i="28" s="1"/>
  <c r="Q372" i="28"/>
  <c r="X372" i="28" s="1"/>
  <c r="R372" i="28"/>
  <c r="Y372" i="28" s="1"/>
  <c r="S372" i="28"/>
  <c r="Z372" i="28" s="1"/>
  <c r="T372" i="28"/>
  <c r="AA372" i="28" s="1"/>
  <c r="U372" i="28"/>
  <c r="AB372" i="28" s="1"/>
  <c r="V372" i="28"/>
  <c r="AC372" i="28" s="1"/>
  <c r="Q373" i="28"/>
  <c r="X373" i="28" s="1"/>
  <c r="R373" i="28"/>
  <c r="Y373" i="28" s="1"/>
  <c r="S373" i="28"/>
  <c r="Z373" i="28" s="1"/>
  <c r="T373" i="28"/>
  <c r="AA373" i="28" s="1"/>
  <c r="U373" i="28"/>
  <c r="AB373" i="28" s="1"/>
  <c r="V373" i="28"/>
  <c r="AC373" i="28" s="1"/>
  <c r="Q374" i="28"/>
  <c r="X374" i="28" s="1"/>
  <c r="R374" i="28"/>
  <c r="Y374" i="28" s="1"/>
  <c r="S374" i="28"/>
  <c r="Z374" i="28" s="1"/>
  <c r="T374" i="28"/>
  <c r="AA374" i="28" s="1"/>
  <c r="U374" i="28"/>
  <c r="AB374" i="28" s="1"/>
  <c r="V374" i="28"/>
  <c r="AC374" i="28" s="1"/>
  <c r="Q375" i="28"/>
  <c r="X375" i="28" s="1"/>
  <c r="R375" i="28"/>
  <c r="Y375" i="28" s="1"/>
  <c r="S375" i="28"/>
  <c r="Z375" i="28" s="1"/>
  <c r="T375" i="28"/>
  <c r="AA375" i="28" s="1"/>
  <c r="U375" i="28"/>
  <c r="AB375" i="28" s="1"/>
  <c r="V375" i="28"/>
  <c r="AC375" i="28" s="1"/>
  <c r="Q376" i="28"/>
  <c r="X376" i="28" s="1"/>
  <c r="R376" i="28"/>
  <c r="Y376" i="28" s="1"/>
  <c r="S376" i="28"/>
  <c r="Z376" i="28" s="1"/>
  <c r="T376" i="28"/>
  <c r="AA376" i="28" s="1"/>
  <c r="U376" i="28"/>
  <c r="AB376" i="28" s="1"/>
  <c r="Q377" i="28"/>
  <c r="X377" i="28" s="1"/>
  <c r="R377" i="28"/>
  <c r="Y377" i="28" s="1"/>
  <c r="S377" i="28"/>
  <c r="Z377" i="28" s="1"/>
  <c r="T377" i="28"/>
  <c r="AA377" i="28" s="1"/>
  <c r="U377" i="28"/>
  <c r="AB377" i="28" s="1"/>
  <c r="V377" i="28"/>
  <c r="AC377" i="28" s="1"/>
  <c r="Q378" i="28"/>
  <c r="X378" i="28" s="1"/>
  <c r="R378" i="28"/>
  <c r="Y378" i="28" s="1"/>
  <c r="S378" i="28"/>
  <c r="Z378" i="28" s="1"/>
  <c r="T378" i="28"/>
  <c r="AA378" i="28" s="1"/>
  <c r="U378" i="28"/>
  <c r="AB378" i="28" s="1"/>
  <c r="V378" i="28"/>
  <c r="AC378" i="28" s="1"/>
  <c r="Q379" i="28"/>
  <c r="X379" i="28" s="1"/>
  <c r="R379" i="28"/>
  <c r="Y379" i="28" s="1"/>
  <c r="S379" i="28"/>
  <c r="Z379" i="28" s="1"/>
  <c r="T379" i="28"/>
  <c r="AA379" i="28" s="1"/>
  <c r="U379" i="28"/>
  <c r="AB379" i="28" s="1"/>
  <c r="V379" i="28"/>
  <c r="AC379" i="28" s="1"/>
  <c r="Q380" i="28"/>
  <c r="X380" i="28" s="1"/>
  <c r="R380" i="28"/>
  <c r="Y380" i="28" s="1"/>
  <c r="S380" i="28"/>
  <c r="Z380" i="28" s="1"/>
  <c r="T380" i="28"/>
  <c r="AA380" i="28" s="1"/>
  <c r="U380" i="28"/>
  <c r="AB380" i="28" s="1"/>
  <c r="V380" i="28"/>
  <c r="AC380" i="28" s="1"/>
  <c r="Q381" i="28"/>
  <c r="X381" i="28" s="1"/>
  <c r="R381" i="28"/>
  <c r="Y381" i="28" s="1"/>
  <c r="S381" i="28"/>
  <c r="Z381" i="28" s="1"/>
  <c r="T381" i="28"/>
  <c r="AA381" i="28" s="1"/>
  <c r="U381" i="28"/>
  <c r="AB381" i="28" s="1"/>
  <c r="V381" i="28"/>
  <c r="AC381" i="28" s="1"/>
  <c r="Q382" i="28"/>
  <c r="X382" i="28" s="1"/>
  <c r="R382" i="28"/>
  <c r="Y382" i="28" s="1"/>
  <c r="S382" i="28"/>
  <c r="Z382" i="28" s="1"/>
  <c r="T382" i="28"/>
  <c r="AA382" i="28" s="1"/>
  <c r="U382" i="28"/>
  <c r="AB382" i="28" s="1"/>
  <c r="V382" i="28"/>
  <c r="AC382" i="28" s="1"/>
  <c r="Q383" i="28"/>
  <c r="X383" i="28" s="1"/>
  <c r="R383" i="28"/>
  <c r="Y383" i="28" s="1"/>
  <c r="S383" i="28"/>
  <c r="Z383" i="28" s="1"/>
  <c r="T383" i="28"/>
  <c r="AA383" i="28" s="1"/>
  <c r="U383" i="28"/>
  <c r="AB383" i="28" s="1"/>
  <c r="V383" i="28"/>
  <c r="AC383" i="28" s="1"/>
  <c r="Q384" i="28"/>
  <c r="X384" i="28" s="1"/>
  <c r="R384" i="28"/>
  <c r="Y384" i="28" s="1"/>
  <c r="S384" i="28"/>
  <c r="Z384" i="28" s="1"/>
  <c r="T384" i="28"/>
  <c r="AA384" i="28" s="1"/>
  <c r="U384" i="28"/>
  <c r="AB384" i="28" s="1"/>
  <c r="Q385" i="28"/>
  <c r="X385" i="28" s="1"/>
  <c r="R385" i="28"/>
  <c r="Y385" i="28" s="1"/>
  <c r="S385" i="28"/>
  <c r="Z385" i="28" s="1"/>
  <c r="T385" i="28"/>
  <c r="AA385" i="28" s="1"/>
  <c r="U385" i="28"/>
  <c r="AB385" i="28" s="1"/>
  <c r="V385" i="28"/>
  <c r="AC385" i="28" s="1"/>
  <c r="Q386" i="28"/>
  <c r="X386" i="28" s="1"/>
  <c r="R386" i="28"/>
  <c r="Y386" i="28" s="1"/>
  <c r="S386" i="28"/>
  <c r="Z386" i="28" s="1"/>
  <c r="T386" i="28"/>
  <c r="AA386" i="28" s="1"/>
  <c r="U386" i="28"/>
  <c r="AB386" i="28" s="1"/>
  <c r="V386" i="28"/>
  <c r="AC386" i="28" s="1"/>
  <c r="Q387" i="28"/>
  <c r="X387" i="28" s="1"/>
  <c r="R387" i="28"/>
  <c r="Y387" i="28" s="1"/>
  <c r="S387" i="28"/>
  <c r="Z387" i="28" s="1"/>
  <c r="T387" i="28"/>
  <c r="AA387" i="28" s="1"/>
  <c r="U387" i="28"/>
  <c r="AB387" i="28" s="1"/>
  <c r="V387" i="28"/>
  <c r="AC387" i="28" s="1"/>
  <c r="Q388" i="28"/>
  <c r="X388" i="28" s="1"/>
  <c r="R388" i="28"/>
  <c r="Y388" i="28" s="1"/>
  <c r="S388" i="28"/>
  <c r="Z388" i="28" s="1"/>
  <c r="T388" i="28"/>
  <c r="AA388" i="28" s="1"/>
  <c r="U388" i="28"/>
  <c r="AB388" i="28" s="1"/>
  <c r="V388" i="28"/>
  <c r="AC388" i="28" s="1"/>
  <c r="Q389" i="28"/>
  <c r="X389" i="28" s="1"/>
  <c r="R389" i="28"/>
  <c r="Y389" i="28" s="1"/>
  <c r="S389" i="28"/>
  <c r="Z389" i="28" s="1"/>
  <c r="T389" i="28"/>
  <c r="AA389" i="28" s="1"/>
  <c r="U389" i="28"/>
  <c r="AB389" i="28" s="1"/>
  <c r="V389" i="28"/>
  <c r="AC389" i="28" s="1"/>
  <c r="Q390" i="28"/>
  <c r="X390" i="28" s="1"/>
  <c r="R390" i="28"/>
  <c r="Y390" i="28" s="1"/>
  <c r="S390" i="28"/>
  <c r="Z390" i="28" s="1"/>
  <c r="T390" i="28"/>
  <c r="AA390" i="28" s="1"/>
  <c r="U390" i="28"/>
  <c r="AB390" i="28" s="1"/>
  <c r="V390" i="28"/>
  <c r="AC390" i="28" s="1"/>
  <c r="Q391" i="28"/>
  <c r="X391" i="28" s="1"/>
  <c r="R391" i="28"/>
  <c r="Y391" i="28" s="1"/>
  <c r="S391" i="28"/>
  <c r="Z391" i="28" s="1"/>
  <c r="T391" i="28"/>
  <c r="AA391" i="28" s="1"/>
  <c r="U391" i="28"/>
  <c r="AB391" i="28" s="1"/>
  <c r="V391" i="28"/>
  <c r="AC391" i="28" s="1"/>
  <c r="Q392" i="28"/>
  <c r="X392" i="28" s="1"/>
  <c r="R392" i="28"/>
  <c r="Y392" i="28" s="1"/>
  <c r="S392" i="28"/>
  <c r="Z392" i="28" s="1"/>
  <c r="T392" i="28"/>
  <c r="AA392" i="28" s="1"/>
  <c r="U392" i="28"/>
  <c r="AB392" i="28" s="1"/>
  <c r="Q393" i="28"/>
  <c r="X393" i="28" s="1"/>
  <c r="R393" i="28"/>
  <c r="Y393" i="28" s="1"/>
  <c r="S393" i="28"/>
  <c r="Z393" i="28" s="1"/>
  <c r="T393" i="28"/>
  <c r="AA393" i="28" s="1"/>
  <c r="U393" i="28"/>
  <c r="AB393" i="28" s="1"/>
  <c r="V393" i="28"/>
  <c r="AC393" i="28" s="1"/>
  <c r="Q394" i="28"/>
  <c r="X394" i="28" s="1"/>
  <c r="R394" i="28"/>
  <c r="Y394" i="28" s="1"/>
  <c r="S394" i="28"/>
  <c r="Z394" i="28" s="1"/>
  <c r="T394" i="28"/>
  <c r="AA394" i="28" s="1"/>
  <c r="U394" i="28"/>
  <c r="AB394" i="28" s="1"/>
  <c r="V394" i="28"/>
  <c r="AC394" i="28" s="1"/>
  <c r="Q395" i="28"/>
  <c r="X395" i="28" s="1"/>
  <c r="R395" i="28"/>
  <c r="Y395" i="28" s="1"/>
  <c r="S395" i="28"/>
  <c r="Z395" i="28" s="1"/>
  <c r="T395" i="28"/>
  <c r="AA395" i="28" s="1"/>
  <c r="U395" i="28"/>
  <c r="AB395" i="28" s="1"/>
  <c r="V395" i="28"/>
  <c r="AC395" i="28" s="1"/>
  <c r="Q396" i="28"/>
  <c r="X396" i="28" s="1"/>
  <c r="R396" i="28"/>
  <c r="Y396" i="28" s="1"/>
  <c r="S396" i="28"/>
  <c r="Z396" i="28" s="1"/>
  <c r="T396" i="28"/>
  <c r="AA396" i="28" s="1"/>
  <c r="U396" i="28"/>
  <c r="AB396" i="28" s="1"/>
  <c r="V396" i="28"/>
  <c r="AC396" i="28" s="1"/>
  <c r="Q397" i="28"/>
  <c r="X397" i="28" s="1"/>
  <c r="R397" i="28"/>
  <c r="Y397" i="28" s="1"/>
  <c r="S397" i="28"/>
  <c r="Z397" i="28" s="1"/>
  <c r="T397" i="28"/>
  <c r="AA397" i="28" s="1"/>
  <c r="U397" i="28"/>
  <c r="AB397" i="28" s="1"/>
  <c r="V397" i="28"/>
  <c r="AC397" i="28" s="1"/>
  <c r="Q398" i="28"/>
  <c r="X398" i="28" s="1"/>
  <c r="R398" i="28"/>
  <c r="Y398" i="28" s="1"/>
  <c r="S398" i="28"/>
  <c r="Z398" i="28" s="1"/>
  <c r="T398" i="28"/>
  <c r="AA398" i="28" s="1"/>
  <c r="U398" i="28"/>
  <c r="AB398" i="28" s="1"/>
  <c r="V398" i="28"/>
  <c r="AC398" i="28" s="1"/>
  <c r="Q399" i="28"/>
  <c r="X399" i="28" s="1"/>
  <c r="R399" i="28"/>
  <c r="Y399" i="28" s="1"/>
  <c r="S399" i="28"/>
  <c r="Z399" i="28" s="1"/>
  <c r="T399" i="28"/>
  <c r="AA399" i="28" s="1"/>
  <c r="U399" i="28"/>
  <c r="AB399" i="28" s="1"/>
  <c r="V399" i="28"/>
  <c r="AC399" i="28" s="1"/>
  <c r="Q400" i="28"/>
  <c r="X400" i="28" s="1"/>
  <c r="R400" i="28"/>
  <c r="Y400" i="28" s="1"/>
  <c r="S400" i="28"/>
  <c r="Z400" i="28" s="1"/>
  <c r="T400" i="28"/>
  <c r="AA400" i="28" s="1"/>
  <c r="U400" i="28"/>
  <c r="AB400" i="28" s="1"/>
  <c r="Q401" i="28"/>
  <c r="X401" i="28" s="1"/>
  <c r="R401" i="28"/>
  <c r="Y401" i="28" s="1"/>
  <c r="S401" i="28"/>
  <c r="Z401" i="28" s="1"/>
  <c r="T401" i="28"/>
  <c r="AA401" i="28" s="1"/>
  <c r="U401" i="28"/>
  <c r="AB401" i="28" s="1"/>
  <c r="V401" i="28"/>
  <c r="AC401" i="28" s="1"/>
  <c r="Q402" i="28"/>
  <c r="X402" i="28" s="1"/>
  <c r="R402" i="28"/>
  <c r="Y402" i="28" s="1"/>
  <c r="S402" i="28"/>
  <c r="Z402" i="28" s="1"/>
  <c r="T402" i="28"/>
  <c r="AA402" i="28" s="1"/>
  <c r="U402" i="28"/>
  <c r="AB402" i="28" s="1"/>
  <c r="V402" i="28"/>
  <c r="AC402" i="28" s="1"/>
  <c r="Q403" i="28"/>
  <c r="X403" i="28" s="1"/>
  <c r="R403" i="28"/>
  <c r="Y403" i="28" s="1"/>
  <c r="S403" i="28"/>
  <c r="Z403" i="28" s="1"/>
  <c r="T403" i="28"/>
  <c r="AA403" i="28" s="1"/>
  <c r="U403" i="28"/>
  <c r="AB403" i="28" s="1"/>
  <c r="V403" i="28"/>
  <c r="AC403" i="28" s="1"/>
  <c r="Q404" i="28"/>
  <c r="X404" i="28" s="1"/>
  <c r="R404" i="28"/>
  <c r="Y404" i="28" s="1"/>
  <c r="S404" i="28"/>
  <c r="Z404" i="28" s="1"/>
  <c r="T404" i="28"/>
  <c r="AA404" i="28" s="1"/>
  <c r="U404" i="28"/>
  <c r="AB404" i="28" s="1"/>
  <c r="V404" i="28"/>
  <c r="AC404" i="28" s="1"/>
  <c r="Q405" i="28"/>
  <c r="X405" i="28" s="1"/>
  <c r="R405" i="28"/>
  <c r="Y405" i="28" s="1"/>
  <c r="S405" i="28"/>
  <c r="Z405" i="28" s="1"/>
  <c r="T405" i="28"/>
  <c r="AA405" i="28" s="1"/>
  <c r="U405" i="28"/>
  <c r="AB405" i="28" s="1"/>
  <c r="V405" i="28"/>
  <c r="AC405" i="28" s="1"/>
  <c r="Q406" i="28"/>
  <c r="X406" i="28" s="1"/>
  <c r="R406" i="28"/>
  <c r="Y406" i="28" s="1"/>
  <c r="S406" i="28"/>
  <c r="Z406" i="28" s="1"/>
  <c r="T406" i="28"/>
  <c r="AA406" i="28" s="1"/>
  <c r="U406" i="28"/>
  <c r="AB406" i="28" s="1"/>
  <c r="V406" i="28"/>
  <c r="AC406" i="28" s="1"/>
  <c r="Q407" i="28"/>
  <c r="X407" i="28" s="1"/>
  <c r="R407" i="28"/>
  <c r="Y407" i="28" s="1"/>
  <c r="S407" i="28"/>
  <c r="Z407" i="28" s="1"/>
  <c r="T407" i="28"/>
  <c r="AA407" i="28" s="1"/>
  <c r="U407" i="28"/>
  <c r="AB407" i="28" s="1"/>
  <c r="V407" i="28"/>
  <c r="AC407" i="28" s="1"/>
  <c r="Q408" i="28"/>
  <c r="X408" i="28" s="1"/>
  <c r="R408" i="28"/>
  <c r="Y408" i="28" s="1"/>
  <c r="S408" i="28"/>
  <c r="Z408" i="28" s="1"/>
  <c r="T408" i="28"/>
  <c r="AA408" i="28" s="1"/>
  <c r="U408" i="28"/>
  <c r="AB408" i="28" s="1"/>
  <c r="Q409" i="28"/>
  <c r="X409" i="28" s="1"/>
  <c r="R409" i="28"/>
  <c r="Y409" i="28" s="1"/>
  <c r="S409" i="28"/>
  <c r="Z409" i="28" s="1"/>
  <c r="T409" i="28"/>
  <c r="AA409" i="28" s="1"/>
  <c r="U409" i="28"/>
  <c r="AB409" i="28" s="1"/>
  <c r="V409" i="28"/>
  <c r="AC409" i="28" s="1"/>
  <c r="Q410" i="28"/>
  <c r="X410" i="28" s="1"/>
  <c r="R410" i="28"/>
  <c r="Y410" i="28" s="1"/>
  <c r="S410" i="28"/>
  <c r="Z410" i="28" s="1"/>
  <c r="T410" i="28"/>
  <c r="AA410" i="28" s="1"/>
  <c r="U410" i="28"/>
  <c r="AB410" i="28" s="1"/>
  <c r="V410" i="28"/>
  <c r="AC410" i="28" s="1"/>
  <c r="Q411" i="28"/>
  <c r="X411" i="28" s="1"/>
  <c r="R411" i="28"/>
  <c r="Y411" i="28" s="1"/>
  <c r="S411" i="28"/>
  <c r="Z411" i="28" s="1"/>
  <c r="T411" i="28"/>
  <c r="AA411" i="28" s="1"/>
  <c r="U411" i="28"/>
  <c r="AB411" i="28" s="1"/>
  <c r="V411" i="28"/>
  <c r="AC411" i="28" s="1"/>
  <c r="Q412" i="28"/>
  <c r="X412" i="28" s="1"/>
  <c r="R412" i="28"/>
  <c r="Y412" i="28" s="1"/>
  <c r="S412" i="28"/>
  <c r="Z412" i="28" s="1"/>
  <c r="T412" i="28"/>
  <c r="AA412" i="28" s="1"/>
  <c r="U412" i="28"/>
  <c r="AB412" i="28" s="1"/>
  <c r="V412" i="28"/>
  <c r="AC412" i="28" s="1"/>
  <c r="Q413" i="28"/>
  <c r="X413" i="28" s="1"/>
  <c r="R413" i="28"/>
  <c r="Y413" i="28" s="1"/>
  <c r="S413" i="28"/>
  <c r="Z413" i="28" s="1"/>
  <c r="T413" i="28"/>
  <c r="AA413" i="28" s="1"/>
  <c r="U413" i="28"/>
  <c r="AB413" i="28" s="1"/>
  <c r="V413" i="28"/>
  <c r="AC413" i="28" s="1"/>
  <c r="Q414" i="28"/>
  <c r="X414" i="28" s="1"/>
  <c r="R414" i="28"/>
  <c r="Y414" i="28" s="1"/>
  <c r="S414" i="28"/>
  <c r="Z414" i="28" s="1"/>
  <c r="T414" i="28"/>
  <c r="AA414" i="28" s="1"/>
  <c r="U414" i="28"/>
  <c r="AB414" i="28" s="1"/>
  <c r="V414" i="28"/>
  <c r="AC414" i="28" s="1"/>
  <c r="Q415" i="28"/>
  <c r="X415" i="28" s="1"/>
  <c r="R415" i="28"/>
  <c r="Y415" i="28" s="1"/>
  <c r="S415" i="28"/>
  <c r="Z415" i="28" s="1"/>
  <c r="T415" i="28"/>
  <c r="AA415" i="28" s="1"/>
  <c r="U415" i="28"/>
  <c r="AB415" i="28" s="1"/>
  <c r="V415" i="28"/>
  <c r="AC415" i="28" s="1"/>
  <c r="Q416" i="28"/>
  <c r="X416" i="28" s="1"/>
  <c r="R416" i="28"/>
  <c r="Y416" i="28" s="1"/>
  <c r="S416" i="28"/>
  <c r="Z416" i="28" s="1"/>
  <c r="T416" i="28"/>
  <c r="AA416" i="28" s="1"/>
  <c r="U416" i="28"/>
  <c r="AB416" i="28" s="1"/>
  <c r="Q417" i="28"/>
  <c r="X417" i="28" s="1"/>
  <c r="R417" i="28"/>
  <c r="Y417" i="28" s="1"/>
  <c r="S417" i="28"/>
  <c r="Z417" i="28" s="1"/>
  <c r="T417" i="28"/>
  <c r="AA417" i="28" s="1"/>
  <c r="U417" i="28"/>
  <c r="AB417" i="28" s="1"/>
  <c r="V417" i="28"/>
  <c r="AC417" i="28" s="1"/>
  <c r="Q418" i="28"/>
  <c r="X418" i="28" s="1"/>
  <c r="R418" i="28"/>
  <c r="Y418" i="28" s="1"/>
  <c r="S418" i="28"/>
  <c r="Z418" i="28" s="1"/>
  <c r="T418" i="28"/>
  <c r="AA418" i="28" s="1"/>
  <c r="U418" i="28"/>
  <c r="AB418" i="28" s="1"/>
  <c r="V418" i="28"/>
  <c r="AC418" i="28" s="1"/>
  <c r="Q419" i="28"/>
  <c r="X419" i="28" s="1"/>
  <c r="R419" i="28"/>
  <c r="Y419" i="28" s="1"/>
  <c r="S419" i="28"/>
  <c r="Z419" i="28" s="1"/>
  <c r="T419" i="28"/>
  <c r="AA419" i="28" s="1"/>
  <c r="U419" i="28"/>
  <c r="AB419" i="28" s="1"/>
  <c r="V419" i="28"/>
  <c r="AC419" i="28" s="1"/>
  <c r="Q420" i="28"/>
  <c r="X420" i="28" s="1"/>
  <c r="R420" i="28"/>
  <c r="Y420" i="28" s="1"/>
  <c r="S420" i="28"/>
  <c r="Z420" i="28" s="1"/>
  <c r="T420" i="28"/>
  <c r="AA420" i="28" s="1"/>
  <c r="U420" i="28"/>
  <c r="AB420" i="28" s="1"/>
  <c r="V420" i="28"/>
  <c r="AC420" i="28" s="1"/>
  <c r="Q421" i="28"/>
  <c r="X421" i="28" s="1"/>
  <c r="R421" i="28"/>
  <c r="Y421" i="28" s="1"/>
  <c r="S421" i="28"/>
  <c r="Z421" i="28" s="1"/>
  <c r="T421" i="28"/>
  <c r="AA421" i="28" s="1"/>
  <c r="U421" i="28"/>
  <c r="AB421" i="28" s="1"/>
  <c r="V421" i="28"/>
  <c r="AC421" i="28" s="1"/>
  <c r="Q422" i="28"/>
  <c r="X422" i="28" s="1"/>
  <c r="R422" i="28"/>
  <c r="Y422" i="28" s="1"/>
  <c r="S422" i="28"/>
  <c r="Z422" i="28" s="1"/>
  <c r="T422" i="28"/>
  <c r="AA422" i="28" s="1"/>
  <c r="U422" i="28"/>
  <c r="AB422" i="28" s="1"/>
  <c r="V422" i="28"/>
  <c r="AC422" i="28" s="1"/>
  <c r="Q423" i="28"/>
  <c r="X423" i="28" s="1"/>
  <c r="R423" i="28"/>
  <c r="Y423" i="28" s="1"/>
  <c r="S423" i="28"/>
  <c r="Z423" i="28" s="1"/>
  <c r="T423" i="28"/>
  <c r="AA423" i="28" s="1"/>
  <c r="U423" i="28"/>
  <c r="AB423" i="28" s="1"/>
  <c r="V423" i="28"/>
  <c r="AC423" i="28" s="1"/>
  <c r="Q424" i="28"/>
  <c r="X424" i="28" s="1"/>
  <c r="R424" i="28"/>
  <c r="Y424" i="28" s="1"/>
  <c r="S424" i="28"/>
  <c r="Z424" i="28" s="1"/>
  <c r="T424" i="28"/>
  <c r="AA424" i="28" s="1"/>
  <c r="U424" i="28"/>
  <c r="AB424" i="28" s="1"/>
  <c r="Q425" i="28"/>
  <c r="X425" i="28" s="1"/>
  <c r="R425" i="28"/>
  <c r="Y425" i="28" s="1"/>
  <c r="S425" i="28"/>
  <c r="Z425" i="28" s="1"/>
  <c r="T425" i="28"/>
  <c r="AA425" i="28" s="1"/>
  <c r="U425" i="28"/>
  <c r="AB425" i="28" s="1"/>
  <c r="V425" i="28"/>
  <c r="AC425" i="28" s="1"/>
  <c r="Q426" i="28"/>
  <c r="X426" i="28" s="1"/>
  <c r="R426" i="28"/>
  <c r="Y426" i="28" s="1"/>
  <c r="S426" i="28"/>
  <c r="Z426" i="28" s="1"/>
  <c r="T426" i="28"/>
  <c r="AA426" i="28" s="1"/>
  <c r="U426" i="28"/>
  <c r="AB426" i="28" s="1"/>
  <c r="V426" i="28"/>
  <c r="AC426" i="28" s="1"/>
  <c r="Q427" i="28"/>
  <c r="X427" i="28" s="1"/>
  <c r="R427" i="28"/>
  <c r="Y427" i="28" s="1"/>
  <c r="S427" i="28"/>
  <c r="Z427" i="28" s="1"/>
  <c r="T427" i="28"/>
  <c r="AA427" i="28" s="1"/>
  <c r="U427" i="28"/>
  <c r="AB427" i="28" s="1"/>
  <c r="V427" i="28"/>
  <c r="AC427" i="28" s="1"/>
  <c r="Q428" i="28"/>
  <c r="X428" i="28" s="1"/>
  <c r="R428" i="28"/>
  <c r="Y428" i="28" s="1"/>
  <c r="S428" i="28"/>
  <c r="Z428" i="28" s="1"/>
  <c r="T428" i="28"/>
  <c r="AA428" i="28" s="1"/>
  <c r="U428" i="28"/>
  <c r="AB428" i="28" s="1"/>
  <c r="V428" i="28"/>
  <c r="AC428" i="28" s="1"/>
  <c r="Q429" i="28"/>
  <c r="X429" i="28" s="1"/>
  <c r="R429" i="28"/>
  <c r="Y429" i="28" s="1"/>
  <c r="S429" i="28"/>
  <c r="Z429" i="28" s="1"/>
  <c r="T429" i="28"/>
  <c r="AA429" i="28" s="1"/>
  <c r="U429" i="28"/>
  <c r="AB429" i="28" s="1"/>
  <c r="V429" i="28"/>
  <c r="AC429" i="28" s="1"/>
  <c r="Q430" i="28"/>
  <c r="X430" i="28" s="1"/>
  <c r="R430" i="28"/>
  <c r="Y430" i="28" s="1"/>
  <c r="S430" i="28"/>
  <c r="Z430" i="28" s="1"/>
  <c r="T430" i="28"/>
  <c r="AA430" i="28" s="1"/>
  <c r="U430" i="28"/>
  <c r="AB430" i="28" s="1"/>
  <c r="V430" i="28"/>
  <c r="AC430" i="28" s="1"/>
  <c r="Q431" i="28"/>
  <c r="X431" i="28" s="1"/>
  <c r="R431" i="28"/>
  <c r="Y431" i="28" s="1"/>
  <c r="S431" i="28"/>
  <c r="Z431" i="28" s="1"/>
  <c r="T431" i="28"/>
  <c r="AA431" i="28" s="1"/>
  <c r="U431" i="28"/>
  <c r="AB431" i="28" s="1"/>
  <c r="V431" i="28"/>
  <c r="AC431" i="28" s="1"/>
  <c r="Q432" i="28"/>
  <c r="X432" i="28" s="1"/>
  <c r="R432" i="28"/>
  <c r="Y432" i="28" s="1"/>
  <c r="S432" i="28"/>
  <c r="Z432" i="28" s="1"/>
  <c r="T432" i="28"/>
  <c r="AA432" i="28" s="1"/>
  <c r="U432" i="28"/>
  <c r="AB432" i="28" s="1"/>
  <c r="Q433" i="28"/>
  <c r="X433" i="28" s="1"/>
  <c r="R433" i="28"/>
  <c r="Y433" i="28" s="1"/>
  <c r="S433" i="28"/>
  <c r="Z433" i="28" s="1"/>
  <c r="T433" i="28"/>
  <c r="AA433" i="28" s="1"/>
  <c r="U433" i="28"/>
  <c r="AB433" i="28" s="1"/>
  <c r="V433" i="28"/>
  <c r="AC433" i="28" s="1"/>
  <c r="Q434" i="28"/>
  <c r="X434" i="28" s="1"/>
  <c r="R434" i="28"/>
  <c r="Y434" i="28" s="1"/>
  <c r="S434" i="28"/>
  <c r="Z434" i="28" s="1"/>
  <c r="T434" i="28"/>
  <c r="AA434" i="28" s="1"/>
  <c r="U434" i="28"/>
  <c r="AB434" i="28" s="1"/>
  <c r="V434" i="28"/>
  <c r="AC434" i="28" s="1"/>
  <c r="Q435" i="28"/>
  <c r="X435" i="28" s="1"/>
  <c r="R435" i="28"/>
  <c r="Y435" i="28" s="1"/>
  <c r="S435" i="28"/>
  <c r="Z435" i="28" s="1"/>
  <c r="T435" i="28"/>
  <c r="AA435" i="28" s="1"/>
  <c r="U435" i="28"/>
  <c r="AB435" i="28" s="1"/>
  <c r="V435" i="28"/>
  <c r="AC435" i="28" s="1"/>
  <c r="Q436" i="28"/>
  <c r="X436" i="28" s="1"/>
  <c r="R436" i="28"/>
  <c r="Y436" i="28" s="1"/>
  <c r="S436" i="28"/>
  <c r="Z436" i="28" s="1"/>
  <c r="T436" i="28"/>
  <c r="AA436" i="28" s="1"/>
  <c r="U436" i="28"/>
  <c r="AB436" i="28" s="1"/>
  <c r="V436" i="28"/>
  <c r="AC436" i="28" s="1"/>
  <c r="Q437" i="28"/>
  <c r="X437" i="28" s="1"/>
  <c r="R437" i="28"/>
  <c r="Y437" i="28" s="1"/>
  <c r="S437" i="28"/>
  <c r="Z437" i="28" s="1"/>
  <c r="T437" i="28"/>
  <c r="AA437" i="28" s="1"/>
  <c r="U437" i="28"/>
  <c r="AB437" i="28" s="1"/>
  <c r="V437" i="28"/>
  <c r="AC437" i="28" s="1"/>
  <c r="Q438" i="28"/>
  <c r="X438" i="28" s="1"/>
  <c r="R438" i="28"/>
  <c r="Y438" i="28" s="1"/>
  <c r="S438" i="28"/>
  <c r="Z438" i="28" s="1"/>
  <c r="T438" i="28"/>
  <c r="AA438" i="28" s="1"/>
  <c r="U438" i="28"/>
  <c r="AB438" i="28" s="1"/>
  <c r="V438" i="28"/>
  <c r="AC438" i="28" s="1"/>
  <c r="Q439" i="28"/>
  <c r="X439" i="28" s="1"/>
  <c r="R439" i="28"/>
  <c r="Y439" i="28" s="1"/>
  <c r="S439" i="28"/>
  <c r="Z439" i="28" s="1"/>
  <c r="T439" i="28"/>
  <c r="AA439" i="28" s="1"/>
  <c r="U439" i="28"/>
  <c r="AB439" i="28" s="1"/>
  <c r="V439" i="28"/>
  <c r="AC439" i="28" s="1"/>
  <c r="Q440" i="28"/>
  <c r="X440" i="28" s="1"/>
  <c r="R440" i="28"/>
  <c r="Y440" i="28" s="1"/>
  <c r="S440" i="28"/>
  <c r="Z440" i="28" s="1"/>
  <c r="T440" i="28"/>
  <c r="AA440" i="28" s="1"/>
  <c r="U440" i="28"/>
  <c r="AB440" i="28" s="1"/>
  <c r="Q441" i="28"/>
  <c r="X441" i="28" s="1"/>
  <c r="R441" i="28"/>
  <c r="Y441" i="28" s="1"/>
  <c r="S441" i="28"/>
  <c r="Z441" i="28" s="1"/>
  <c r="T441" i="28"/>
  <c r="AA441" i="28" s="1"/>
  <c r="U441" i="28"/>
  <c r="AB441" i="28" s="1"/>
  <c r="V441" i="28"/>
  <c r="AC441" i="28" s="1"/>
  <c r="Q442" i="28"/>
  <c r="X442" i="28" s="1"/>
  <c r="R442" i="28"/>
  <c r="Y442" i="28" s="1"/>
  <c r="S442" i="28"/>
  <c r="Z442" i="28" s="1"/>
  <c r="T442" i="28"/>
  <c r="AA442" i="28" s="1"/>
  <c r="U442" i="28"/>
  <c r="AB442" i="28" s="1"/>
  <c r="V442" i="28"/>
  <c r="AC442" i="28" s="1"/>
  <c r="Q443" i="28"/>
  <c r="X443" i="28" s="1"/>
  <c r="R443" i="28"/>
  <c r="Y443" i="28" s="1"/>
  <c r="S443" i="28"/>
  <c r="Z443" i="28" s="1"/>
  <c r="T443" i="28"/>
  <c r="AA443" i="28" s="1"/>
  <c r="U443" i="28"/>
  <c r="AB443" i="28" s="1"/>
  <c r="V443" i="28"/>
  <c r="AC443" i="28" s="1"/>
  <c r="Q444" i="28"/>
  <c r="X444" i="28" s="1"/>
  <c r="R444" i="28"/>
  <c r="Y444" i="28" s="1"/>
  <c r="S444" i="28"/>
  <c r="Z444" i="28" s="1"/>
  <c r="T444" i="28"/>
  <c r="AA444" i="28" s="1"/>
  <c r="U444" i="28"/>
  <c r="AB444" i="28" s="1"/>
  <c r="V444" i="28"/>
  <c r="AC444" i="28" s="1"/>
  <c r="Q445" i="28"/>
  <c r="X445" i="28" s="1"/>
  <c r="R445" i="28"/>
  <c r="Y445" i="28" s="1"/>
  <c r="S445" i="28"/>
  <c r="Z445" i="28" s="1"/>
  <c r="T445" i="28"/>
  <c r="AA445" i="28" s="1"/>
  <c r="U445" i="28"/>
  <c r="AB445" i="28" s="1"/>
  <c r="V445" i="28"/>
  <c r="AC445" i="28" s="1"/>
  <c r="Q446" i="28"/>
  <c r="X446" i="28" s="1"/>
  <c r="R446" i="28"/>
  <c r="Y446" i="28" s="1"/>
  <c r="S446" i="28"/>
  <c r="Z446" i="28" s="1"/>
  <c r="T446" i="28"/>
  <c r="AA446" i="28" s="1"/>
  <c r="U446" i="28"/>
  <c r="AB446" i="28" s="1"/>
  <c r="V446" i="28"/>
  <c r="AC446" i="28" s="1"/>
  <c r="Q447" i="28"/>
  <c r="X447" i="28" s="1"/>
  <c r="R447" i="28"/>
  <c r="Y447" i="28" s="1"/>
  <c r="S447" i="28"/>
  <c r="Z447" i="28" s="1"/>
  <c r="T447" i="28"/>
  <c r="AA447" i="28" s="1"/>
  <c r="U447" i="28"/>
  <c r="AB447" i="28" s="1"/>
  <c r="V447" i="28"/>
  <c r="AC447" i="28" s="1"/>
  <c r="Q448" i="28"/>
  <c r="X448" i="28" s="1"/>
  <c r="R448" i="28"/>
  <c r="Y448" i="28" s="1"/>
  <c r="S448" i="28"/>
  <c r="Z448" i="28" s="1"/>
  <c r="T448" i="28"/>
  <c r="AA448" i="28" s="1"/>
  <c r="U448" i="28"/>
  <c r="AB448" i="28" s="1"/>
  <c r="Q449" i="28"/>
  <c r="X449" i="28" s="1"/>
  <c r="R449" i="28"/>
  <c r="Y449" i="28" s="1"/>
  <c r="S449" i="28"/>
  <c r="Z449" i="28" s="1"/>
  <c r="T449" i="28"/>
  <c r="AA449" i="28" s="1"/>
  <c r="U449" i="28"/>
  <c r="AB449" i="28" s="1"/>
  <c r="V449" i="28"/>
  <c r="AC449" i="28" s="1"/>
  <c r="Q450" i="28"/>
  <c r="X450" i="28" s="1"/>
  <c r="R450" i="28"/>
  <c r="Y450" i="28" s="1"/>
  <c r="S450" i="28"/>
  <c r="Z450" i="28" s="1"/>
  <c r="T450" i="28"/>
  <c r="AA450" i="28" s="1"/>
  <c r="U450" i="28"/>
  <c r="AB450" i="28" s="1"/>
  <c r="V450" i="28"/>
  <c r="AC450" i="28" s="1"/>
  <c r="Q451" i="28"/>
  <c r="X451" i="28" s="1"/>
  <c r="R451" i="28"/>
  <c r="Y451" i="28" s="1"/>
  <c r="S451" i="28"/>
  <c r="Z451" i="28" s="1"/>
  <c r="T451" i="28"/>
  <c r="AA451" i="28" s="1"/>
  <c r="U451" i="28"/>
  <c r="AB451" i="28" s="1"/>
  <c r="V451" i="28"/>
  <c r="AC451" i="28" s="1"/>
  <c r="Q452" i="28"/>
  <c r="X452" i="28" s="1"/>
  <c r="R452" i="28"/>
  <c r="Y452" i="28" s="1"/>
  <c r="S452" i="28"/>
  <c r="Z452" i="28" s="1"/>
  <c r="T452" i="28"/>
  <c r="AA452" i="28" s="1"/>
  <c r="U452" i="28"/>
  <c r="AB452" i="28" s="1"/>
  <c r="V452" i="28"/>
  <c r="AC452" i="28" s="1"/>
  <c r="Q453" i="28"/>
  <c r="X453" i="28" s="1"/>
  <c r="R453" i="28"/>
  <c r="Y453" i="28" s="1"/>
  <c r="S453" i="28"/>
  <c r="Z453" i="28" s="1"/>
  <c r="T453" i="28"/>
  <c r="AA453" i="28" s="1"/>
  <c r="U453" i="28"/>
  <c r="AB453" i="28" s="1"/>
  <c r="V453" i="28"/>
  <c r="AC453" i="28" s="1"/>
  <c r="Q454" i="28"/>
  <c r="X454" i="28" s="1"/>
  <c r="R454" i="28"/>
  <c r="Y454" i="28" s="1"/>
  <c r="S454" i="28"/>
  <c r="Z454" i="28" s="1"/>
  <c r="T454" i="28"/>
  <c r="AA454" i="28" s="1"/>
  <c r="U454" i="28"/>
  <c r="AB454" i="28" s="1"/>
  <c r="V454" i="28"/>
  <c r="AC454" i="28" s="1"/>
  <c r="Q455" i="28"/>
  <c r="X455" i="28" s="1"/>
  <c r="R455" i="28"/>
  <c r="Y455" i="28" s="1"/>
  <c r="S455" i="28"/>
  <c r="Z455" i="28" s="1"/>
  <c r="T455" i="28"/>
  <c r="AA455" i="28" s="1"/>
  <c r="U455" i="28"/>
  <c r="AB455" i="28" s="1"/>
  <c r="V455" i="28"/>
  <c r="AC455" i="28" s="1"/>
  <c r="Q456" i="28"/>
  <c r="X456" i="28" s="1"/>
  <c r="R456" i="28"/>
  <c r="Y456" i="28" s="1"/>
  <c r="S456" i="28"/>
  <c r="Z456" i="28" s="1"/>
  <c r="T456" i="28"/>
  <c r="AA456" i="28" s="1"/>
  <c r="U456" i="28"/>
  <c r="AB456" i="28" s="1"/>
  <c r="Q457" i="28"/>
  <c r="X457" i="28" s="1"/>
  <c r="R457" i="28"/>
  <c r="Y457" i="28" s="1"/>
  <c r="S457" i="28"/>
  <c r="Z457" i="28" s="1"/>
  <c r="T457" i="28"/>
  <c r="AA457" i="28" s="1"/>
  <c r="U457" i="28"/>
  <c r="AB457" i="28" s="1"/>
  <c r="V457" i="28"/>
  <c r="AC457" i="28" s="1"/>
  <c r="Q458" i="28"/>
  <c r="X458" i="28" s="1"/>
  <c r="R458" i="28"/>
  <c r="Y458" i="28" s="1"/>
  <c r="S458" i="28"/>
  <c r="Z458" i="28" s="1"/>
  <c r="T458" i="28"/>
  <c r="AA458" i="28" s="1"/>
  <c r="U458" i="28"/>
  <c r="AB458" i="28" s="1"/>
  <c r="V458" i="28"/>
  <c r="AC458" i="28" s="1"/>
  <c r="Q459" i="28"/>
  <c r="X459" i="28" s="1"/>
  <c r="R459" i="28"/>
  <c r="Y459" i="28" s="1"/>
  <c r="S459" i="28"/>
  <c r="Z459" i="28" s="1"/>
  <c r="T459" i="28"/>
  <c r="AA459" i="28" s="1"/>
  <c r="U459" i="28"/>
  <c r="AB459" i="28" s="1"/>
  <c r="V459" i="28"/>
  <c r="AC459" i="28" s="1"/>
  <c r="Q460" i="28"/>
  <c r="X460" i="28" s="1"/>
  <c r="R460" i="28"/>
  <c r="Y460" i="28" s="1"/>
  <c r="S460" i="28"/>
  <c r="Z460" i="28" s="1"/>
  <c r="T460" i="28"/>
  <c r="AA460" i="28" s="1"/>
  <c r="U460" i="28"/>
  <c r="AB460" i="28" s="1"/>
  <c r="V460" i="28"/>
  <c r="AC460" i="28" s="1"/>
  <c r="Q461" i="28"/>
  <c r="X461" i="28" s="1"/>
  <c r="R461" i="28"/>
  <c r="Y461" i="28" s="1"/>
  <c r="S461" i="28"/>
  <c r="Z461" i="28" s="1"/>
  <c r="T461" i="28"/>
  <c r="AA461" i="28" s="1"/>
  <c r="U461" i="28"/>
  <c r="AB461" i="28" s="1"/>
  <c r="V461" i="28"/>
  <c r="AC461" i="28" s="1"/>
  <c r="Q462" i="28"/>
  <c r="X462" i="28" s="1"/>
  <c r="R462" i="28"/>
  <c r="Y462" i="28" s="1"/>
  <c r="S462" i="28"/>
  <c r="Z462" i="28" s="1"/>
  <c r="T462" i="28"/>
  <c r="AA462" i="28" s="1"/>
  <c r="U462" i="28"/>
  <c r="AB462" i="28" s="1"/>
  <c r="V462" i="28"/>
  <c r="AC462" i="28" s="1"/>
  <c r="Q463" i="28"/>
  <c r="X463" i="28" s="1"/>
  <c r="R463" i="28"/>
  <c r="Y463" i="28" s="1"/>
  <c r="S463" i="28"/>
  <c r="Z463" i="28" s="1"/>
  <c r="T463" i="28"/>
  <c r="AA463" i="28" s="1"/>
  <c r="U463" i="28"/>
  <c r="AB463" i="28" s="1"/>
  <c r="V463" i="28"/>
  <c r="AC463" i="28" s="1"/>
  <c r="Q464" i="28"/>
  <c r="X464" i="28" s="1"/>
  <c r="R464" i="28"/>
  <c r="Y464" i="28" s="1"/>
  <c r="S464" i="28"/>
  <c r="Z464" i="28" s="1"/>
  <c r="T464" i="28"/>
  <c r="AA464" i="28" s="1"/>
  <c r="U464" i="28"/>
  <c r="AB464" i="28" s="1"/>
  <c r="Q465" i="28"/>
  <c r="X465" i="28" s="1"/>
  <c r="R465" i="28"/>
  <c r="Y465" i="28" s="1"/>
  <c r="S465" i="28"/>
  <c r="Z465" i="28" s="1"/>
  <c r="T465" i="28"/>
  <c r="AA465" i="28" s="1"/>
  <c r="U465" i="28"/>
  <c r="AB465" i="28" s="1"/>
  <c r="V465" i="28"/>
  <c r="AC465" i="28" s="1"/>
  <c r="Q466" i="28"/>
  <c r="X466" i="28" s="1"/>
  <c r="R466" i="28"/>
  <c r="Y466" i="28" s="1"/>
  <c r="S466" i="28"/>
  <c r="Z466" i="28" s="1"/>
  <c r="T466" i="28"/>
  <c r="AA466" i="28" s="1"/>
  <c r="U466" i="28"/>
  <c r="AB466" i="28" s="1"/>
  <c r="V466" i="28"/>
  <c r="AC466" i="28" s="1"/>
  <c r="Q467" i="28"/>
  <c r="X467" i="28" s="1"/>
  <c r="R467" i="28"/>
  <c r="Y467" i="28" s="1"/>
  <c r="S467" i="28"/>
  <c r="Z467" i="28" s="1"/>
  <c r="T467" i="28"/>
  <c r="AA467" i="28" s="1"/>
  <c r="U467" i="28"/>
  <c r="AB467" i="28" s="1"/>
  <c r="V467" i="28"/>
  <c r="AC467" i="28" s="1"/>
  <c r="Q468" i="28"/>
  <c r="X468" i="28" s="1"/>
  <c r="R468" i="28"/>
  <c r="Y468" i="28" s="1"/>
  <c r="S468" i="28"/>
  <c r="Z468" i="28" s="1"/>
  <c r="T468" i="28"/>
  <c r="AA468" i="28" s="1"/>
  <c r="U468" i="28"/>
  <c r="AB468" i="28" s="1"/>
  <c r="V468" i="28"/>
  <c r="AC468" i="28" s="1"/>
  <c r="Q469" i="28"/>
  <c r="X469" i="28" s="1"/>
  <c r="R469" i="28"/>
  <c r="Y469" i="28" s="1"/>
  <c r="S469" i="28"/>
  <c r="Z469" i="28" s="1"/>
  <c r="T469" i="28"/>
  <c r="AA469" i="28" s="1"/>
  <c r="U469" i="28"/>
  <c r="AB469" i="28" s="1"/>
  <c r="V469" i="28"/>
  <c r="AC469" i="28" s="1"/>
  <c r="Q470" i="28"/>
  <c r="X470" i="28" s="1"/>
  <c r="R470" i="28"/>
  <c r="Y470" i="28" s="1"/>
  <c r="S470" i="28"/>
  <c r="Z470" i="28" s="1"/>
  <c r="T470" i="28"/>
  <c r="AA470" i="28" s="1"/>
  <c r="U470" i="28"/>
  <c r="AB470" i="28" s="1"/>
  <c r="V470" i="28"/>
  <c r="AC470" i="28" s="1"/>
  <c r="Q471" i="28"/>
  <c r="X471" i="28" s="1"/>
  <c r="R471" i="28"/>
  <c r="Y471" i="28" s="1"/>
  <c r="S471" i="28"/>
  <c r="Z471" i="28" s="1"/>
  <c r="T471" i="28"/>
  <c r="AA471" i="28" s="1"/>
  <c r="U471" i="28"/>
  <c r="AB471" i="28" s="1"/>
  <c r="V471" i="28"/>
  <c r="AC471" i="28" s="1"/>
  <c r="Q472" i="28"/>
  <c r="X472" i="28" s="1"/>
  <c r="R472" i="28"/>
  <c r="Y472" i="28" s="1"/>
  <c r="S472" i="28"/>
  <c r="Z472" i="28" s="1"/>
  <c r="T472" i="28"/>
  <c r="AA472" i="28" s="1"/>
  <c r="U472" i="28"/>
  <c r="AB472" i="28" s="1"/>
  <c r="Q473" i="28"/>
  <c r="X473" i="28" s="1"/>
  <c r="R473" i="28"/>
  <c r="Y473" i="28" s="1"/>
  <c r="S473" i="28"/>
  <c r="Z473" i="28" s="1"/>
  <c r="T473" i="28"/>
  <c r="AA473" i="28" s="1"/>
  <c r="U473" i="28"/>
  <c r="AB473" i="28" s="1"/>
  <c r="V473" i="28"/>
  <c r="AC473" i="28" s="1"/>
  <c r="Q474" i="28"/>
  <c r="X474" i="28" s="1"/>
  <c r="R474" i="28"/>
  <c r="Y474" i="28" s="1"/>
  <c r="S474" i="28"/>
  <c r="Z474" i="28" s="1"/>
  <c r="T474" i="28"/>
  <c r="AA474" i="28" s="1"/>
  <c r="U474" i="28"/>
  <c r="AB474" i="28" s="1"/>
  <c r="V474" i="28"/>
  <c r="AC474" i="28" s="1"/>
  <c r="Q475" i="28"/>
  <c r="X475" i="28" s="1"/>
  <c r="R475" i="28"/>
  <c r="Y475" i="28" s="1"/>
  <c r="S475" i="28"/>
  <c r="Z475" i="28" s="1"/>
  <c r="T475" i="28"/>
  <c r="AA475" i="28" s="1"/>
  <c r="U475" i="28"/>
  <c r="AB475" i="28" s="1"/>
  <c r="V475" i="28"/>
  <c r="AC475" i="28" s="1"/>
  <c r="Q476" i="28"/>
  <c r="X476" i="28" s="1"/>
  <c r="R476" i="28"/>
  <c r="Y476" i="28" s="1"/>
  <c r="S476" i="28"/>
  <c r="Z476" i="28" s="1"/>
  <c r="T476" i="28"/>
  <c r="AA476" i="28" s="1"/>
  <c r="U476" i="28"/>
  <c r="AB476" i="28" s="1"/>
  <c r="V476" i="28"/>
  <c r="AC476" i="28" s="1"/>
  <c r="Q477" i="28"/>
  <c r="X477" i="28" s="1"/>
  <c r="R477" i="28"/>
  <c r="Y477" i="28" s="1"/>
  <c r="S477" i="28"/>
  <c r="Z477" i="28" s="1"/>
  <c r="T477" i="28"/>
  <c r="AA477" i="28" s="1"/>
  <c r="U477" i="28"/>
  <c r="AB477" i="28" s="1"/>
  <c r="V477" i="28"/>
  <c r="AC477" i="28" s="1"/>
  <c r="Q478" i="28"/>
  <c r="X478" i="28" s="1"/>
  <c r="R478" i="28"/>
  <c r="Y478" i="28" s="1"/>
  <c r="S478" i="28"/>
  <c r="Z478" i="28" s="1"/>
  <c r="T478" i="28"/>
  <c r="AA478" i="28" s="1"/>
  <c r="U478" i="28"/>
  <c r="AB478" i="28" s="1"/>
  <c r="V478" i="28"/>
  <c r="AC478" i="28" s="1"/>
  <c r="Q479" i="28"/>
  <c r="X479" i="28" s="1"/>
  <c r="R479" i="28"/>
  <c r="Y479" i="28" s="1"/>
  <c r="S479" i="28"/>
  <c r="Z479" i="28" s="1"/>
  <c r="T479" i="28"/>
  <c r="AA479" i="28" s="1"/>
  <c r="U479" i="28"/>
  <c r="AB479" i="28" s="1"/>
  <c r="V479" i="28"/>
  <c r="AC479" i="28" s="1"/>
  <c r="Q480" i="28"/>
  <c r="X480" i="28" s="1"/>
  <c r="R480" i="28"/>
  <c r="Y480" i="28" s="1"/>
  <c r="S480" i="28"/>
  <c r="Z480" i="28" s="1"/>
  <c r="T480" i="28"/>
  <c r="AA480" i="28" s="1"/>
  <c r="U480" i="28"/>
  <c r="AB480" i="28" s="1"/>
  <c r="Q481" i="28"/>
  <c r="X481" i="28" s="1"/>
  <c r="R481" i="28"/>
  <c r="Y481" i="28" s="1"/>
  <c r="S481" i="28"/>
  <c r="Z481" i="28" s="1"/>
  <c r="T481" i="28"/>
  <c r="AA481" i="28" s="1"/>
  <c r="U481" i="28"/>
  <c r="AB481" i="28" s="1"/>
  <c r="V481" i="28"/>
  <c r="AC481" i="28" s="1"/>
  <c r="Q482" i="28"/>
  <c r="X482" i="28" s="1"/>
  <c r="R482" i="28"/>
  <c r="Y482" i="28" s="1"/>
  <c r="S482" i="28"/>
  <c r="Z482" i="28" s="1"/>
  <c r="T482" i="28"/>
  <c r="AA482" i="28" s="1"/>
  <c r="U482" i="28"/>
  <c r="AB482" i="28" s="1"/>
  <c r="V482" i="28"/>
  <c r="AC482" i="28" s="1"/>
  <c r="Q483" i="28"/>
  <c r="X483" i="28" s="1"/>
  <c r="R483" i="28"/>
  <c r="Y483" i="28" s="1"/>
  <c r="S483" i="28"/>
  <c r="Z483" i="28" s="1"/>
  <c r="T483" i="28"/>
  <c r="AA483" i="28" s="1"/>
  <c r="U483" i="28"/>
  <c r="AB483" i="28" s="1"/>
  <c r="V483" i="28"/>
  <c r="AC483" i="28" s="1"/>
  <c r="Q484" i="28"/>
  <c r="X484" i="28" s="1"/>
  <c r="R484" i="28"/>
  <c r="Y484" i="28" s="1"/>
  <c r="S484" i="28"/>
  <c r="Z484" i="28" s="1"/>
  <c r="T484" i="28"/>
  <c r="AA484" i="28" s="1"/>
  <c r="U484" i="28"/>
  <c r="AB484" i="28" s="1"/>
  <c r="V484" i="28"/>
  <c r="AC484" i="28" s="1"/>
  <c r="Q485" i="28"/>
  <c r="X485" i="28" s="1"/>
  <c r="R485" i="28"/>
  <c r="Y485" i="28" s="1"/>
  <c r="S485" i="28"/>
  <c r="Z485" i="28" s="1"/>
  <c r="T485" i="28"/>
  <c r="AA485" i="28" s="1"/>
  <c r="U485" i="28"/>
  <c r="AB485" i="28" s="1"/>
  <c r="V485" i="28"/>
  <c r="AC485" i="28" s="1"/>
  <c r="Q486" i="28"/>
  <c r="X486" i="28" s="1"/>
  <c r="R486" i="28"/>
  <c r="Y486" i="28" s="1"/>
  <c r="S486" i="28"/>
  <c r="Z486" i="28" s="1"/>
  <c r="T486" i="28"/>
  <c r="AA486" i="28" s="1"/>
  <c r="U486" i="28"/>
  <c r="AB486" i="28" s="1"/>
  <c r="V486" i="28"/>
  <c r="AC486" i="28" s="1"/>
  <c r="Q487" i="28"/>
  <c r="X487" i="28" s="1"/>
  <c r="R487" i="28"/>
  <c r="Y487" i="28" s="1"/>
  <c r="S487" i="28"/>
  <c r="Z487" i="28" s="1"/>
  <c r="T487" i="28"/>
  <c r="AA487" i="28" s="1"/>
  <c r="U487" i="28"/>
  <c r="AB487" i="28" s="1"/>
  <c r="V487" i="28"/>
  <c r="AC487" i="28" s="1"/>
  <c r="Q488" i="28"/>
  <c r="X488" i="28" s="1"/>
  <c r="R488" i="28"/>
  <c r="Y488" i="28" s="1"/>
  <c r="S488" i="28"/>
  <c r="Z488" i="28" s="1"/>
  <c r="T488" i="28"/>
  <c r="AA488" i="28" s="1"/>
  <c r="U488" i="28"/>
  <c r="AB488" i="28" s="1"/>
  <c r="Q489" i="28"/>
  <c r="X489" i="28" s="1"/>
  <c r="R489" i="28"/>
  <c r="Y489" i="28" s="1"/>
  <c r="S489" i="28"/>
  <c r="Z489" i="28" s="1"/>
  <c r="T489" i="28"/>
  <c r="AA489" i="28" s="1"/>
  <c r="U489" i="28"/>
  <c r="AB489" i="28" s="1"/>
  <c r="V489" i="28"/>
  <c r="AC489" i="28" s="1"/>
  <c r="Q490" i="28"/>
  <c r="X490" i="28" s="1"/>
  <c r="R490" i="28"/>
  <c r="Y490" i="28" s="1"/>
  <c r="S490" i="28"/>
  <c r="Z490" i="28" s="1"/>
  <c r="T490" i="28"/>
  <c r="AA490" i="28" s="1"/>
  <c r="U490" i="28"/>
  <c r="AB490" i="28" s="1"/>
  <c r="V490" i="28"/>
  <c r="AC490" i="28" s="1"/>
  <c r="Q491" i="28"/>
  <c r="X491" i="28" s="1"/>
  <c r="R491" i="28"/>
  <c r="Y491" i="28" s="1"/>
  <c r="S491" i="28"/>
  <c r="Z491" i="28" s="1"/>
  <c r="T491" i="28"/>
  <c r="AA491" i="28" s="1"/>
  <c r="U491" i="28"/>
  <c r="AB491" i="28" s="1"/>
  <c r="V491" i="28"/>
  <c r="AC491" i="28" s="1"/>
  <c r="Q492" i="28"/>
  <c r="X492" i="28" s="1"/>
  <c r="R492" i="28"/>
  <c r="Y492" i="28" s="1"/>
  <c r="S492" i="28"/>
  <c r="Z492" i="28" s="1"/>
  <c r="T492" i="28"/>
  <c r="AA492" i="28" s="1"/>
  <c r="U492" i="28"/>
  <c r="AB492" i="28" s="1"/>
  <c r="V492" i="28"/>
  <c r="AC492" i="28" s="1"/>
  <c r="Q493" i="28"/>
  <c r="X493" i="28" s="1"/>
  <c r="R493" i="28"/>
  <c r="Y493" i="28" s="1"/>
  <c r="S493" i="28"/>
  <c r="Z493" i="28" s="1"/>
  <c r="T493" i="28"/>
  <c r="AA493" i="28" s="1"/>
  <c r="U493" i="28"/>
  <c r="AB493" i="28" s="1"/>
  <c r="V493" i="28"/>
  <c r="AC493" i="28" s="1"/>
  <c r="Q494" i="28"/>
  <c r="X494" i="28" s="1"/>
  <c r="R494" i="28"/>
  <c r="Y494" i="28" s="1"/>
  <c r="S494" i="28"/>
  <c r="Z494" i="28" s="1"/>
  <c r="T494" i="28"/>
  <c r="AA494" i="28" s="1"/>
  <c r="U494" i="28"/>
  <c r="AB494" i="28" s="1"/>
  <c r="V494" i="28"/>
  <c r="AC494" i="28" s="1"/>
  <c r="Q495" i="28"/>
  <c r="X495" i="28" s="1"/>
  <c r="R495" i="28"/>
  <c r="Y495" i="28" s="1"/>
  <c r="S495" i="28"/>
  <c r="Z495" i="28" s="1"/>
  <c r="T495" i="28"/>
  <c r="AA495" i="28" s="1"/>
  <c r="U495" i="28"/>
  <c r="AB495" i="28" s="1"/>
  <c r="V495" i="28"/>
  <c r="AC495" i="28" s="1"/>
  <c r="Q496" i="28"/>
  <c r="X496" i="28" s="1"/>
  <c r="R496" i="28"/>
  <c r="Y496" i="28" s="1"/>
  <c r="S496" i="28"/>
  <c r="Z496" i="28" s="1"/>
  <c r="T496" i="28"/>
  <c r="AA496" i="28" s="1"/>
  <c r="U496" i="28"/>
  <c r="AB496" i="28" s="1"/>
  <c r="Q497" i="28"/>
  <c r="X497" i="28" s="1"/>
  <c r="R497" i="28"/>
  <c r="Y497" i="28" s="1"/>
  <c r="S497" i="28"/>
  <c r="Z497" i="28" s="1"/>
  <c r="T497" i="28"/>
  <c r="AA497" i="28" s="1"/>
  <c r="U497" i="28"/>
  <c r="AB497" i="28" s="1"/>
  <c r="V497" i="28"/>
  <c r="AC497" i="28" s="1"/>
  <c r="Q498" i="28"/>
  <c r="X498" i="28" s="1"/>
  <c r="R498" i="28"/>
  <c r="Y498" i="28" s="1"/>
  <c r="S498" i="28"/>
  <c r="Z498" i="28" s="1"/>
  <c r="T498" i="28"/>
  <c r="AA498" i="28" s="1"/>
  <c r="U498" i="28"/>
  <c r="AB498" i="28" s="1"/>
  <c r="V498" i="28"/>
  <c r="AC498" i="28" s="1"/>
  <c r="Q499" i="28"/>
  <c r="X499" i="28" s="1"/>
  <c r="R499" i="28"/>
  <c r="Y499" i="28" s="1"/>
  <c r="S499" i="28"/>
  <c r="Z499" i="28" s="1"/>
  <c r="T499" i="28"/>
  <c r="AA499" i="28" s="1"/>
  <c r="U499" i="28"/>
  <c r="AB499" i="28" s="1"/>
  <c r="V499" i="28"/>
  <c r="AC499" i="28" s="1"/>
  <c r="Q500" i="28"/>
  <c r="X500" i="28" s="1"/>
  <c r="R500" i="28"/>
  <c r="Y500" i="28" s="1"/>
  <c r="S500" i="28"/>
  <c r="Z500" i="28" s="1"/>
  <c r="T500" i="28"/>
  <c r="AA500" i="28" s="1"/>
  <c r="U500" i="28"/>
  <c r="AB500" i="28" s="1"/>
  <c r="V500" i="28"/>
  <c r="AC500" i="28" s="1"/>
  <c r="Q501" i="28"/>
  <c r="X501" i="28" s="1"/>
  <c r="R501" i="28"/>
  <c r="Y501" i="28" s="1"/>
  <c r="S501" i="28"/>
  <c r="Z501" i="28" s="1"/>
  <c r="T501" i="28"/>
  <c r="AA501" i="28" s="1"/>
  <c r="U501" i="28"/>
  <c r="AB501" i="28" s="1"/>
  <c r="V501" i="28"/>
  <c r="AC501" i="28" s="1"/>
  <c r="Q502" i="28"/>
  <c r="X502" i="28" s="1"/>
  <c r="R502" i="28"/>
  <c r="Y502" i="28" s="1"/>
  <c r="S502" i="28"/>
  <c r="Z502" i="28" s="1"/>
  <c r="T502" i="28"/>
  <c r="AA502" i="28" s="1"/>
  <c r="U502" i="28"/>
  <c r="AB502" i="28" s="1"/>
  <c r="V502" i="28"/>
  <c r="AC502" i="28" s="1"/>
  <c r="Q503" i="28"/>
  <c r="X503" i="28" s="1"/>
  <c r="R503" i="28"/>
  <c r="Y503" i="28" s="1"/>
  <c r="S503" i="28"/>
  <c r="Z503" i="28" s="1"/>
  <c r="T503" i="28"/>
  <c r="AA503" i="28" s="1"/>
  <c r="U503" i="28"/>
  <c r="AB503" i="28" s="1"/>
  <c r="V503" i="28"/>
  <c r="AC503" i="28" s="1"/>
  <c r="Q504" i="28"/>
  <c r="X504" i="28" s="1"/>
  <c r="R504" i="28"/>
  <c r="Y504" i="28" s="1"/>
  <c r="S504" i="28"/>
  <c r="Z504" i="28" s="1"/>
  <c r="T504" i="28"/>
  <c r="AA504" i="28" s="1"/>
  <c r="U504" i="28"/>
  <c r="AB504" i="28" s="1"/>
  <c r="Q505" i="28"/>
  <c r="X505" i="28" s="1"/>
  <c r="R505" i="28"/>
  <c r="Y505" i="28" s="1"/>
  <c r="S505" i="28"/>
  <c r="Z505" i="28" s="1"/>
  <c r="T505" i="28"/>
  <c r="AA505" i="28" s="1"/>
  <c r="U505" i="28"/>
  <c r="AB505" i="28" s="1"/>
  <c r="V505" i="28"/>
  <c r="AC505" i="28" s="1"/>
  <c r="Q506" i="28"/>
  <c r="X506" i="28" s="1"/>
  <c r="R506" i="28"/>
  <c r="Y506" i="28" s="1"/>
  <c r="S506" i="28"/>
  <c r="Z506" i="28" s="1"/>
  <c r="T506" i="28"/>
  <c r="AA506" i="28" s="1"/>
  <c r="U506" i="28"/>
  <c r="AB506" i="28" s="1"/>
  <c r="V506" i="28"/>
  <c r="AC506" i="28" s="1"/>
  <c r="Q507" i="28"/>
  <c r="X507" i="28" s="1"/>
  <c r="R507" i="28"/>
  <c r="Y507" i="28" s="1"/>
  <c r="S507" i="28"/>
  <c r="Z507" i="28" s="1"/>
  <c r="T507" i="28"/>
  <c r="AA507" i="28" s="1"/>
  <c r="U507" i="28"/>
  <c r="AB507" i="28" s="1"/>
  <c r="V507" i="28"/>
  <c r="AC507" i="28" s="1"/>
  <c r="Q508" i="28"/>
  <c r="X508" i="28" s="1"/>
  <c r="R508" i="28"/>
  <c r="Y508" i="28" s="1"/>
  <c r="S508" i="28"/>
  <c r="Z508" i="28" s="1"/>
  <c r="T508" i="28"/>
  <c r="AA508" i="28" s="1"/>
  <c r="U508" i="28"/>
  <c r="AB508" i="28" s="1"/>
  <c r="V508" i="28"/>
  <c r="AC508" i="28" s="1"/>
  <c r="Q509" i="28"/>
  <c r="X509" i="28" s="1"/>
  <c r="R509" i="28"/>
  <c r="Y509" i="28" s="1"/>
  <c r="S509" i="28"/>
  <c r="Z509" i="28" s="1"/>
  <c r="T509" i="28"/>
  <c r="AA509" i="28" s="1"/>
  <c r="U509" i="28"/>
  <c r="AB509" i="28" s="1"/>
  <c r="V509" i="28"/>
  <c r="AC509" i="28" s="1"/>
  <c r="Q510" i="28"/>
  <c r="X510" i="28" s="1"/>
  <c r="R510" i="28"/>
  <c r="Y510" i="28" s="1"/>
  <c r="S510" i="28"/>
  <c r="Z510" i="28" s="1"/>
  <c r="T510" i="28"/>
  <c r="AA510" i="28" s="1"/>
  <c r="U510" i="28"/>
  <c r="AB510" i="28" s="1"/>
  <c r="V510" i="28"/>
  <c r="AC510" i="28" s="1"/>
  <c r="Q511" i="28"/>
  <c r="X511" i="28" s="1"/>
  <c r="R511" i="28"/>
  <c r="Y511" i="28" s="1"/>
  <c r="S511" i="28"/>
  <c r="Z511" i="28" s="1"/>
  <c r="T511" i="28"/>
  <c r="AA511" i="28" s="1"/>
  <c r="U511" i="28"/>
  <c r="AB511" i="28" s="1"/>
  <c r="V511" i="28"/>
  <c r="AC511" i="28" s="1"/>
  <c r="Q512" i="28"/>
  <c r="X512" i="28" s="1"/>
  <c r="R512" i="28"/>
  <c r="Y512" i="28" s="1"/>
  <c r="S512" i="28"/>
  <c r="Z512" i="28" s="1"/>
  <c r="T512" i="28"/>
  <c r="AA512" i="28" s="1"/>
  <c r="U512" i="28"/>
  <c r="AB512" i="28" s="1"/>
  <c r="Q513" i="28"/>
  <c r="X513" i="28" s="1"/>
  <c r="R513" i="28"/>
  <c r="Y513" i="28" s="1"/>
  <c r="S513" i="28"/>
  <c r="Z513" i="28" s="1"/>
  <c r="T513" i="28"/>
  <c r="AA513" i="28" s="1"/>
  <c r="U513" i="28"/>
  <c r="AB513" i="28" s="1"/>
  <c r="V513" i="28"/>
  <c r="AC513" i="28" s="1"/>
  <c r="Q514" i="28"/>
  <c r="X514" i="28" s="1"/>
  <c r="R514" i="28"/>
  <c r="Y514" i="28" s="1"/>
  <c r="S514" i="28"/>
  <c r="Z514" i="28" s="1"/>
  <c r="T514" i="28"/>
  <c r="AA514" i="28" s="1"/>
  <c r="U514" i="28"/>
  <c r="AB514" i="28" s="1"/>
  <c r="V514" i="28"/>
  <c r="AC514" i="28" s="1"/>
  <c r="Q515" i="28"/>
  <c r="X515" i="28" s="1"/>
  <c r="R515" i="28"/>
  <c r="Y515" i="28" s="1"/>
  <c r="S515" i="28"/>
  <c r="Z515" i="28" s="1"/>
  <c r="T515" i="28"/>
  <c r="AA515" i="28" s="1"/>
  <c r="U515" i="28"/>
  <c r="AB515" i="28" s="1"/>
  <c r="V515" i="28"/>
  <c r="AC515" i="28" s="1"/>
  <c r="Q516" i="28"/>
  <c r="X516" i="28" s="1"/>
  <c r="R516" i="28"/>
  <c r="Y516" i="28" s="1"/>
  <c r="S516" i="28"/>
  <c r="Z516" i="28" s="1"/>
  <c r="T516" i="28"/>
  <c r="AA516" i="28" s="1"/>
  <c r="U516" i="28"/>
  <c r="AB516" i="28" s="1"/>
  <c r="V516" i="28"/>
  <c r="AC516" i="28" s="1"/>
  <c r="Q517" i="28"/>
  <c r="X517" i="28" s="1"/>
  <c r="R517" i="28"/>
  <c r="Y517" i="28" s="1"/>
  <c r="S517" i="28"/>
  <c r="Z517" i="28" s="1"/>
  <c r="T517" i="28"/>
  <c r="AA517" i="28" s="1"/>
  <c r="U517" i="28"/>
  <c r="AB517" i="28" s="1"/>
  <c r="V517" i="28"/>
  <c r="AC517" i="28" s="1"/>
  <c r="Q518" i="28"/>
  <c r="X518" i="28" s="1"/>
  <c r="R518" i="28"/>
  <c r="Y518" i="28" s="1"/>
  <c r="S518" i="28"/>
  <c r="Z518" i="28" s="1"/>
  <c r="T518" i="28"/>
  <c r="AA518" i="28" s="1"/>
  <c r="U518" i="28"/>
  <c r="AB518" i="28" s="1"/>
  <c r="V518" i="28"/>
  <c r="AC518" i="28" s="1"/>
  <c r="Q519" i="28"/>
  <c r="X519" i="28" s="1"/>
  <c r="R519" i="28"/>
  <c r="Y519" i="28" s="1"/>
  <c r="S519" i="28"/>
  <c r="Z519" i="28" s="1"/>
  <c r="T519" i="28"/>
  <c r="AA519" i="28" s="1"/>
  <c r="U519" i="28"/>
  <c r="AB519" i="28" s="1"/>
  <c r="V519" i="28"/>
  <c r="AC519" i="28" s="1"/>
  <c r="Q520" i="28"/>
  <c r="X520" i="28" s="1"/>
  <c r="R520" i="28"/>
  <c r="Y520" i="28" s="1"/>
  <c r="S520" i="28"/>
  <c r="Z520" i="28" s="1"/>
  <c r="T520" i="28"/>
  <c r="AA520" i="28" s="1"/>
  <c r="U520" i="28"/>
  <c r="AB520" i="28" s="1"/>
  <c r="Q521" i="28"/>
  <c r="X521" i="28" s="1"/>
  <c r="R521" i="28"/>
  <c r="Y521" i="28" s="1"/>
  <c r="S521" i="28"/>
  <c r="Z521" i="28" s="1"/>
  <c r="T521" i="28"/>
  <c r="AA521" i="28" s="1"/>
  <c r="U521" i="28"/>
  <c r="AB521" i="28" s="1"/>
  <c r="V521" i="28"/>
  <c r="AC521" i="28" s="1"/>
  <c r="Q522" i="28"/>
  <c r="X522" i="28" s="1"/>
  <c r="R522" i="28"/>
  <c r="Y522" i="28" s="1"/>
  <c r="S522" i="28"/>
  <c r="Z522" i="28" s="1"/>
  <c r="T522" i="28"/>
  <c r="AA522" i="28" s="1"/>
  <c r="U522" i="28"/>
  <c r="AB522" i="28" s="1"/>
  <c r="V522" i="28"/>
  <c r="AC522" i="28" s="1"/>
  <c r="Q523" i="28"/>
  <c r="X523" i="28" s="1"/>
  <c r="R523" i="28"/>
  <c r="Y523" i="28" s="1"/>
  <c r="S523" i="28"/>
  <c r="Z523" i="28" s="1"/>
  <c r="T523" i="28"/>
  <c r="AA523" i="28" s="1"/>
  <c r="U523" i="28"/>
  <c r="AB523" i="28" s="1"/>
  <c r="V523" i="28"/>
  <c r="AC523" i="28" s="1"/>
  <c r="Q524" i="28"/>
  <c r="X524" i="28" s="1"/>
  <c r="R524" i="28"/>
  <c r="Y524" i="28" s="1"/>
  <c r="S524" i="28"/>
  <c r="Z524" i="28" s="1"/>
  <c r="T524" i="28"/>
  <c r="AA524" i="28" s="1"/>
  <c r="U524" i="28"/>
  <c r="AB524" i="28" s="1"/>
  <c r="V524" i="28"/>
  <c r="AC524" i="28" s="1"/>
  <c r="Q525" i="28"/>
  <c r="X525" i="28" s="1"/>
  <c r="R525" i="28"/>
  <c r="Y525" i="28" s="1"/>
  <c r="S525" i="28"/>
  <c r="Z525" i="28" s="1"/>
  <c r="T525" i="28"/>
  <c r="AA525" i="28" s="1"/>
  <c r="U525" i="28"/>
  <c r="AB525" i="28" s="1"/>
  <c r="V525" i="28"/>
  <c r="AC525" i="28" s="1"/>
  <c r="Q526" i="28"/>
  <c r="X526" i="28" s="1"/>
  <c r="R526" i="28"/>
  <c r="Y526" i="28" s="1"/>
  <c r="S526" i="28"/>
  <c r="Z526" i="28" s="1"/>
  <c r="T526" i="28"/>
  <c r="AA526" i="28" s="1"/>
  <c r="U526" i="28"/>
  <c r="AB526" i="28" s="1"/>
  <c r="V526" i="28"/>
  <c r="AC526" i="28" s="1"/>
  <c r="Q527" i="28"/>
  <c r="X527" i="28" s="1"/>
  <c r="R527" i="28"/>
  <c r="Y527" i="28" s="1"/>
  <c r="S527" i="28"/>
  <c r="Z527" i="28" s="1"/>
  <c r="T527" i="28"/>
  <c r="AA527" i="28" s="1"/>
  <c r="U527" i="28"/>
  <c r="AB527" i="28" s="1"/>
  <c r="V527" i="28"/>
  <c r="AC527" i="28" s="1"/>
  <c r="Q528" i="28"/>
  <c r="X528" i="28" s="1"/>
  <c r="R528" i="28"/>
  <c r="Y528" i="28" s="1"/>
  <c r="S528" i="28"/>
  <c r="Z528" i="28" s="1"/>
  <c r="T528" i="28"/>
  <c r="AA528" i="28" s="1"/>
  <c r="U528" i="28"/>
  <c r="AB528" i="28" s="1"/>
  <c r="Q529" i="28"/>
  <c r="X529" i="28" s="1"/>
  <c r="R529" i="28"/>
  <c r="Y529" i="28" s="1"/>
  <c r="S529" i="28"/>
  <c r="Z529" i="28" s="1"/>
  <c r="T529" i="28"/>
  <c r="AA529" i="28" s="1"/>
  <c r="U529" i="28"/>
  <c r="AB529" i="28" s="1"/>
  <c r="V529" i="28"/>
  <c r="AC529" i="28" s="1"/>
  <c r="Q530" i="28"/>
  <c r="X530" i="28" s="1"/>
  <c r="R530" i="28"/>
  <c r="Y530" i="28" s="1"/>
  <c r="S530" i="28"/>
  <c r="Z530" i="28" s="1"/>
  <c r="T530" i="28"/>
  <c r="AA530" i="28" s="1"/>
  <c r="U530" i="28"/>
  <c r="AB530" i="28" s="1"/>
  <c r="V530" i="28"/>
  <c r="AC530" i="28" s="1"/>
  <c r="Q531" i="28"/>
  <c r="X531" i="28" s="1"/>
  <c r="R531" i="28"/>
  <c r="Y531" i="28" s="1"/>
  <c r="S531" i="28"/>
  <c r="Z531" i="28" s="1"/>
  <c r="T531" i="28"/>
  <c r="AA531" i="28" s="1"/>
  <c r="U531" i="28"/>
  <c r="AB531" i="28" s="1"/>
  <c r="V531" i="28"/>
  <c r="AC531" i="28" s="1"/>
  <c r="Q532" i="28"/>
  <c r="X532" i="28" s="1"/>
  <c r="R532" i="28"/>
  <c r="Y532" i="28" s="1"/>
  <c r="S532" i="28"/>
  <c r="Z532" i="28" s="1"/>
  <c r="T532" i="28"/>
  <c r="AA532" i="28" s="1"/>
  <c r="U532" i="28"/>
  <c r="AB532" i="28" s="1"/>
  <c r="V532" i="28"/>
  <c r="AC532" i="28" s="1"/>
  <c r="Q533" i="28"/>
  <c r="X533" i="28" s="1"/>
  <c r="R533" i="28"/>
  <c r="Y533" i="28" s="1"/>
  <c r="S533" i="28"/>
  <c r="Z533" i="28" s="1"/>
  <c r="T533" i="28"/>
  <c r="AA533" i="28" s="1"/>
  <c r="U533" i="28"/>
  <c r="AB533" i="28" s="1"/>
  <c r="V533" i="28"/>
  <c r="AC533" i="28" s="1"/>
  <c r="Q534" i="28"/>
  <c r="X534" i="28" s="1"/>
  <c r="R534" i="28"/>
  <c r="Y534" i="28" s="1"/>
  <c r="S534" i="28"/>
  <c r="Z534" i="28" s="1"/>
  <c r="T534" i="28"/>
  <c r="AA534" i="28" s="1"/>
  <c r="U534" i="28"/>
  <c r="AB534" i="28" s="1"/>
  <c r="V534" i="28"/>
  <c r="AC534" i="28" s="1"/>
  <c r="Q535" i="28"/>
  <c r="X535" i="28" s="1"/>
  <c r="R535" i="28"/>
  <c r="Y535" i="28" s="1"/>
  <c r="S535" i="28"/>
  <c r="Z535" i="28" s="1"/>
  <c r="T535" i="28"/>
  <c r="AA535" i="28" s="1"/>
  <c r="U535" i="28"/>
  <c r="AB535" i="28" s="1"/>
  <c r="V535" i="28"/>
  <c r="AC535" i="28" s="1"/>
  <c r="Q536" i="28"/>
  <c r="X536" i="28" s="1"/>
  <c r="R536" i="28"/>
  <c r="Y536" i="28" s="1"/>
  <c r="S536" i="28"/>
  <c r="Z536" i="28" s="1"/>
  <c r="T536" i="28"/>
  <c r="AA536" i="28" s="1"/>
  <c r="U536" i="28"/>
  <c r="AB536" i="28" s="1"/>
  <c r="Q537" i="28"/>
  <c r="X537" i="28" s="1"/>
  <c r="R537" i="28"/>
  <c r="Y537" i="28" s="1"/>
  <c r="S537" i="28"/>
  <c r="Z537" i="28" s="1"/>
  <c r="T537" i="28"/>
  <c r="AA537" i="28" s="1"/>
  <c r="U537" i="28"/>
  <c r="AB537" i="28" s="1"/>
  <c r="V537" i="28"/>
  <c r="AC537" i="28" s="1"/>
  <c r="Q538" i="28"/>
  <c r="X538" i="28" s="1"/>
  <c r="R538" i="28"/>
  <c r="Y538" i="28" s="1"/>
  <c r="S538" i="28"/>
  <c r="Z538" i="28" s="1"/>
  <c r="T538" i="28"/>
  <c r="AA538" i="28" s="1"/>
  <c r="U538" i="28"/>
  <c r="AB538" i="28" s="1"/>
  <c r="V538" i="28"/>
  <c r="AC538" i="28" s="1"/>
  <c r="Q539" i="28"/>
  <c r="X539" i="28" s="1"/>
  <c r="R539" i="28"/>
  <c r="Y539" i="28" s="1"/>
  <c r="S539" i="28"/>
  <c r="Z539" i="28" s="1"/>
  <c r="T539" i="28"/>
  <c r="AA539" i="28" s="1"/>
  <c r="U539" i="28"/>
  <c r="AB539" i="28" s="1"/>
  <c r="V539" i="28"/>
  <c r="AC539" i="28" s="1"/>
  <c r="Q540" i="28"/>
  <c r="X540" i="28" s="1"/>
  <c r="R540" i="28"/>
  <c r="Y540" i="28" s="1"/>
  <c r="S540" i="28"/>
  <c r="Z540" i="28" s="1"/>
  <c r="T540" i="28"/>
  <c r="AA540" i="28" s="1"/>
  <c r="U540" i="28"/>
  <c r="AB540" i="28" s="1"/>
  <c r="V540" i="28"/>
  <c r="AC540" i="28" s="1"/>
  <c r="Q541" i="28"/>
  <c r="X541" i="28" s="1"/>
  <c r="R541" i="28"/>
  <c r="Y541" i="28" s="1"/>
  <c r="S541" i="28"/>
  <c r="Z541" i="28" s="1"/>
  <c r="T541" i="28"/>
  <c r="AA541" i="28" s="1"/>
  <c r="U541" i="28"/>
  <c r="AB541" i="28" s="1"/>
  <c r="V541" i="28"/>
  <c r="AC541" i="28" s="1"/>
  <c r="Q542" i="28"/>
  <c r="X542" i="28" s="1"/>
  <c r="R542" i="28"/>
  <c r="Y542" i="28" s="1"/>
  <c r="S542" i="28"/>
  <c r="Z542" i="28" s="1"/>
  <c r="T542" i="28"/>
  <c r="AA542" i="28" s="1"/>
  <c r="U542" i="28"/>
  <c r="AB542" i="28" s="1"/>
  <c r="V542" i="28"/>
  <c r="AC542" i="28" s="1"/>
  <c r="Q543" i="28"/>
  <c r="X543" i="28" s="1"/>
  <c r="R543" i="28"/>
  <c r="Y543" i="28" s="1"/>
  <c r="S543" i="28"/>
  <c r="Z543" i="28" s="1"/>
  <c r="T543" i="28"/>
  <c r="AA543" i="28" s="1"/>
  <c r="U543" i="28"/>
  <c r="AB543" i="28" s="1"/>
  <c r="V543" i="28"/>
  <c r="AC543" i="28" s="1"/>
  <c r="Q544" i="28"/>
  <c r="X544" i="28" s="1"/>
  <c r="R544" i="28"/>
  <c r="Y544" i="28" s="1"/>
  <c r="S544" i="28"/>
  <c r="Z544" i="28" s="1"/>
  <c r="T544" i="28"/>
  <c r="AA544" i="28" s="1"/>
  <c r="U544" i="28"/>
  <c r="AB544" i="28" s="1"/>
  <c r="Q545" i="28"/>
  <c r="X545" i="28" s="1"/>
  <c r="R545" i="28"/>
  <c r="Y545" i="28" s="1"/>
  <c r="S545" i="28"/>
  <c r="Z545" i="28" s="1"/>
  <c r="T545" i="28"/>
  <c r="AA545" i="28" s="1"/>
  <c r="U545" i="28"/>
  <c r="AB545" i="28" s="1"/>
  <c r="V545" i="28"/>
  <c r="AC545" i="28" s="1"/>
  <c r="Q546" i="28"/>
  <c r="X546" i="28" s="1"/>
  <c r="R546" i="28"/>
  <c r="Y546" i="28" s="1"/>
  <c r="S546" i="28"/>
  <c r="Z546" i="28" s="1"/>
  <c r="T546" i="28"/>
  <c r="AA546" i="28" s="1"/>
  <c r="U546" i="28"/>
  <c r="AB546" i="28" s="1"/>
  <c r="V546" i="28"/>
  <c r="AC546" i="28" s="1"/>
  <c r="Q547" i="28"/>
  <c r="X547" i="28" s="1"/>
  <c r="R547" i="28"/>
  <c r="Y547" i="28" s="1"/>
  <c r="S547" i="28"/>
  <c r="Z547" i="28" s="1"/>
  <c r="T547" i="28"/>
  <c r="AA547" i="28" s="1"/>
  <c r="U547" i="28"/>
  <c r="AB547" i="28" s="1"/>
  <c r="V547" i="28"/>
  <c r="AC547" i="28" s="1"/>
  <c r="Q548" i="28"/>
  <c r="X548" i="28" s="1"/>
  <c r="R548" i="28"/>
  <c r="Y548" i="28" s="1"/>
  <c r="S548" i="28"/>
  <c r="Z548" i="28" s="1"/>
  <c r="T548" i="28"/>
  <c r="AA548" i="28" s="1"/>
  <c r="U548" i="28"/>
  <c r="AB548" i="28" s="1"/>
  <c r="V548" i="28"/>
  <c r="AC548" i="28" s="1"/>
  <c r="Q549" i="28"/>
  <c r="X549" i="28" s="1"/>
  <c r="R549" i="28"/>
  <c r="Y549" i="28" s="1"/>
  <c r="S549" i="28"/>
  <c r="Z549" i="28" s="1"/>
  <c r="T549" i="28"/>
  <c r="AA549" i="28" s="1"/>
  <c r="U549" i="28"/>
  <c r="AB549" i="28" s="1"/>
  <c r="V549" i="28"/>
  <c r="AC549" i="28" s="1"/>
  <c r="Q550" i="28"/>
  <c r="X550" i="28" s="1"/>
  <c r="R550" i="28"/>
  <c r="Y550" i="28" s="1"/>
  <c r="S550" i="28"/>
  <c r="Z550" i="28" s="1"/>
  <c r="T550" i="28"/>
  <c r="AA550" i="28" s="1"/>
  <c r="U550" i="28"/>
  <c r="AB550" i="28" s="1"/>
  <c r="V550" i="28"/>
  <c r="AC550" i="28" s="1"/>
  <c r="Q551" i="28"/>
  <c r="X551" i="28" s="1"/>
  <c r="R551" i="28"/>
  <c r="Y551" i="28" s="1"/>
  <c r="S551" i="28"/>
  <c r="Z551" i="28" s="1"/>
  <c r="T551" i="28"/>
  <c r="AA551" i="28" s="1"/>
  <c r="U551" i="28"/>
  <c r="AB551" i="28" s="1"/>
  <c r="V551" i="28"/>
  <c r="AC551" i="28" s="1"/>
  <c r="Q552" i="28"/>
  <c r="X552" i="28" s="1"/>
  <c r="R552" i="28"/>
  <c r="Y552" i="28" s="1"/>
  <c r="S552" i="28"/>
  <c r="Z552" i="28" s="1"/>
  <c r="T552" i="28"/>
  <c r="AA552" i="28" s="1"/>
  <c r="U552" i="28"/>
  <c r="AB552" i="28" s="1"/>
  <c r="Q553" i="28"/>
  <c r="X553" i="28" s="1"/>
  <c r="R553" i="28"/>
  <c r="Y553" i="28" s="1"/>
  <c r="S553" i="28"/>
  <c r="Z553" i="28" s="1"/>
  <c r="T553" i="28"/>
  <c r="AA553" i="28" s="1"/>
  <c r="U553" i="28"/>
  <c r="AB553" i="28" s="1"/>
  <c r="V553" i="28"/>
  <c r="AC553" i="28" s="1"/>
  <c r="Q554" i="28"/>
  <c r="X554" i="28" s="1"/>
  <c r="R554" i="28"/>
  <c r="Y554" i="28" s="1"/>
  <c r="S554" i="28"/>
  <c r="Z554" i="28" s="1"/>
  <c r="T554" i="28"/>
  <c r="AA554" i="28" s="1"/>
  <c r="U554" i="28"/>
  <c r="AB554" i="28" s="1"/>
  <c r="V554" i="28"/>
  <c r="AC554" i="28" s="1"/>
  <c r="Q555" i="28"/>
  <c r="X555" i="28" s="1"/>
  <c r="R555" i="28"/>
  <c r="Y555" i="28" s="1"/>
  <c r="S555" i="28"/>
  <c r="Z555" i="28" s="1"/>
  <c r="T555" i="28"/>
  <c r="AA555" i="28" s="1"/>
  <c r="U555" i="28"/>
  <c r="AB555" i="28" s="1"/>
  <c r="V555" i="28"/>
  <c r="AC555" i="28" s="1"/>
  <c r="Q556" i="28"/>
  <c r="X556" i="28" s="1"/>
  <c r="R556" i="28"/>
  <c r="Y556" i="28" s="1"/>
  <c r="S556" i="28"/>
  <c r="Z556" i="28" s="1"/>
  <c r="T556" i="28"/>
  <c r="AA556" i="28" s="1"/>
  <c r="U556" i="28"/>
  <c r="AB556" i="28" s="1"/>
  <c r="V556" i="28"/>
  <c r="AC556" i="28" s="1"/>
  <c r="Q557" i="28"/>
  <c r="X557" i="28" s="1"/>
  <c r="R557" i="28"/>
  <c r="Y557" i="28" s="1"/>
  <c r="S557" i="28"/>
  <c r="Z557" i="28" s="1"/>
  <c r="T557" i="28"/>
  <c r="AA557" i="28" s="1"/>
  <c r="U557" i="28"/>
  <c r="AB557" i="28" s="1"/>
  <c r="V557" i="28"/>
  <c r="AC557" i="28" s="1"/>
  <c r="Q558" i="28"/>
  <c r="X558" i="28" s="1"/>
  <c r="R558" i="28"/>
  <c r="Y558" i="28" s="1"/>
  <c r="S558" i="28"/>
  <c r="Z558" i="28" s="1"/>
  <c r="T558" i="28"/>
  <c r="AA558" i="28" s="1"/>
  <c r="U558" i="28"/>
  <c r="AB558" i="28" s="1"/>
  <c r="V558" i="28"/>
  <c r="AC558" i="28" s="1"/>
  <c r="Q559" i="28"/>
  <c r="X559" i="28" s="1"/>
  <c r="R559" i="28"/>
  <c r="Y559" i="28" s="1"/>
  <c r="S559" i="28"/>
  <c r="Z559" i="28" s="1"/>
  <c r="T559" i="28"/>
  <c r="AA559" i="28" s="1"/>
  <c r="U559" i="28"/>
  <c r="AB559" i="28" s="1"/>
  <c r="V559" i="28"/>
  <c r="AC559" i="28" s="1"/>
  <c r="Q560" i="28"/>
  <c r="X560" i="28" s="1"/>
  <c r="R560" i="28"/>
  <c r="Y560" i="28" s="1"/>
  <c r="S560" i="28"/>
  <c r="Z560" i="28" s="1"/>
  <c r="T560" i="28"/>
  <c r="AA560" i="28" s="1"/>
  <c r="U560" i="28"/>
  <c r="AB560" i="28" s="1"/>
  <c r="Q561" i="28"/>
  <c r="X561" i="28" s="1"/>
  <c r="R561" i="28"/>
  <c r="Y561" i="28" s="1"/>
  <c r="S561" i="28"/>
  <c r="Z561" i="28" s="1"/>
  <c r="T561" i="28"/>
  <c r="AA561" i="28" s="1"/>
  <c r="U561" i="28"/>
  <c r="AB561" i="28" s="1"/>
  <c r="V561" i="28"/>
  <c r="AC561" i="28" s="1"/>
  <c r="Q562" i="28"/>
  <c r="X562" i="28" s="1"/>
  <c r="R562" i="28"/>
  <c r="Y562" i="28" s="1"/>
  <c r="S562" i="28"/>
  <c r="Z562" i="28" s="1"/>
  <c r="T562" i="28"/>
  <c r="AA562" i="28" s="1"/>
  <c r="U562" i="28"/>
  <c r="AB562" i="28" s="1"/>
  <c r="V562" i="28"/>
  <c r="AC562" i="28" s="1"/>
  <c r="Q563" i="28"/>
  <c r="X563" i="28" s="1"/>
  <c r="R563" i="28"/>
  <c r="Y563" i="28" s="1"/>
  <c r="S563" i="28"/>
  <c r="Z563" i="28" s="1"/>
  <c r="T563" i="28"/>
  <c r="AA563" i="28" s="1"/>
  <c r="U563" i="28"/>
  <c r="AB563" i="28" s="1"/>
  <c r="V563" i="28"/>
  <c r="AC563" i="28" s="1"/>
  <c r="Q564" i="28"/>
  <c r="X564" i="28" s="1"/>
  <c r="R564" i="28"/>
  <c r="Y564" i="28" s="1"/>
  <c r="S564" i="28"/>
  <c r="Z564" i="28" s="1"/>
  <c r="T564" i="28"/>
  <c r="AA564" i="28" s="1"/>
  <c r="U564" i="28"/>
  <c r="AB564" i="28" s="1"/>
  <c r="V564" i="28"/>
  <c r="AC564" i="28" s="1"/>
  <c r="Q565" i="28"/>
  <c r="X565" i="28" s="1"/>
  <c r="R565" i="28"/>
  <c r="Y565" i="28" s="1"/>
  <c r="S565" i="28"/>
  <c r="Z565" i="28" s="1"/>
  <c r="T565" i="28"/>
  <c r="AA565" i="28" s="1"/>
  <c r="U565" i="28"/>
  <c r="AB565" i="28" s="1"/>
  <c r="V565" i="28"/>
  <c r="AC565" i="28" s="1"/>
  <c r="Q566" i="28"/>
  <c r="X566" i="28" s="1"/>
  <c r="R566" i="28"/>
  <c r="Y566" i="28" s="1"/>
  <c r="S566" i="28"/>
  <c r="Z566" i="28" s="1"/>
  <c r="T566" i="28"/>
  <c r="AA566" i="28" s="1"/>
  <c r="U566" i="28"/>
  <c r="AB566" i="28" s="1"/>
  <c r="V566" i="28"/>
  <c r="AC566" i="28" s="1"/>
  <c r="Q567" i="28"/>
  <c r="X567" i="28" s="1"/>
  <c r="R567" i="28"/>
  <c r="Y567" i="28" s="1"/>
  <c r="S567" i="28"/>
  <c r="Z567" i="28" s="1"/>
  <c r="T567" i="28"/>
  <c r="AA567" i="28" s="1"/>
  <c r="U567" i="28"/>
  <c r="AB567" i="28" s="1"/>
  <c r="V567" i="28"/>
  <c r="AC567" i="28" s="1"/>
  <c r="Q568" i="28"/>
  <c r="X568" i="28" s="1"/>
  <c r="R568" i="28"/>
  <c r="Y568" i="28" s="1"/>
  <c r="S568" i="28"/>
  <c r="Z568" i="28" s="1"/>
  <c r="T568" i="28"/>
  <c r="AA568" i="28" s="1"/>
  <c r="U568" i="28"/>
  <c r="AB568" i="28" s="1"/>
  <c r="Q569" i="28"/>
  <c r="X569" i="28" s="1"/>
  <c r="R569" i="28"/>
  <c r="Y569" i="28" s="1"/>
  <c r="S569" i="28"/>
  <c r="Z569" i="28" s="1"/>
  <c r="T569" i="28"/>
  <c r="AA569" i="28" s="1"/>
  <c r="U569" i="28"/>
  <c r="AB569" i="28" s="1"/>
  <c r="V569" i="28"/>
  <c r="AC569" i="28" s="1"/>
  <c r="Q570" i="28"/>
  <c r="X570" i="28" s="1"/>
  <c r="R570" i="28"/>
  <c r="Y570" i="28" s="1"/>
  <c r="S570" i="28"/>
  <c r="Z570" i="28" s="1"/>
  <c r="T570" i="28"/>
  <c r="AA570" i="28" s="1"/>
  <c r="U570" i="28"/>
  <c r="AB570" i="28" s="1"/>
  <c r="V570" i="28"/>
  <c r="AC570" i="28" s="1"/>
  <c r="Q571" i="28"/>
  <c r="X571" i="28" s="1"/>
  <c r="R571" i="28"/>
  <c r="Y571" i="28" s="1"/>
  <c r="S571" i="28"/>
  <c r="Z571" i="28" s="1"/>
  <c r="T571" i="28"/>
  <c r="AA571" i="28" s="1"/>
  <c r="U571" i="28"/>
  <c r="AB571" i="28" s="1"/>
  <c r="V571" i="28"/>
  <c r="AC571" i="28" s="1"/>
  <c r="Q572" i="28"/>
  <c r="X572" i="28" s="1"/>
  <c r="R572" i="28"/>
  <c r="Y572" i="28" s="1"/>
  <c r="S572" i="28"/>
  <c r="Z572" i="28" s="1"/>
  <c r="T572" i="28"/>
  <c r="AA572" i="28" s="1"/>
  <c r="U572" i="28"/>
  <c r="AB572" i="28" s="1"/>
  <c r="V572" i="28"/>
  <c r="AC572" i="28" s="1"/>
  <c r="Q573" i="28"/>
  <c r="X573" i="28" s="1"/>
  <c r="R573" i="28"/>
  <c r="Y573" i="28" s="1"/>
  <c r="S573" i="28"/>
  <c r="Z573" i="28" s="1"/>
  <c r="T573" i="28"/>
  <c r="AA573" i="28" s="1"/>
  <c r="U573" i="28"/>
  <c r="AB573" i="28" s="1"/>
  <c r="V573" i="28"/>
  <c r="AC573" i="28" s="1"/>
  <c r="Q574" i="28"/>
  <c r="X574" i="28" s="1"/>
  <c r="R574" i="28"/>
  <c r="Y574" i="28" s="1"/>
  <c r="S574" i="28"/>
  <c r="Z574" i="28" s="1"/>
  <c r="T574" i="28"/>
  <c r="AA574" i="28" s="1"/>
  <c r="U574" i="28"/>
  <c r="AB574" i="28" s="1"/>
  <c r="V574" i="28"/>
  <c r="AC574" i="28" s="1"/>
  <c r="Q575" i="28"/>
  <c r="X575" i="28" s="1"/>
  <c r="R575" i="28"/>
  <c r="Y575" i="28" s="1"/>
  <c r="S575" i="28"/>
  <c r="Z575" i="28" s="1"/>
  <c r="T575" i="28"/>
  <c r="AA575" i="28" s="1"/>
  <c r="U575" i="28"/>
  <c r="AB575" i="28" s="1"/>
  <c r="V575" i="28"/>
  <c r="AC575" i="28" s="1"/>
  <c r="Q576" i="28"/>
  <c r="X576" i="28" s="1"/>
  <c r="R576" i="28"/>
  <c r="Y576" i="28" s="1"/>
  <c r="S576" i="28"/>
  <c r="Z576" i="28" s="1"/>
  <c r="T576" i="28"/>
  <c r="AA576" i="28" s="1"/>
  <c r="U576" i="28"/>
  <c r="AB576" i="28" s="1"/>
  <c r="Q577" i="28"/>
  <c r="X577" i="28" s="1"/>
  <c r="R577" i="28"/>
  <c r="Y577" i="28" s="1"/>
  <c r="S577" i="28"/>
  <c r="Z577" i="28" s="1"/>
  <c r="T577" i="28"/>
  <c r="AA577" i="28" s="1"/>
  <c r="U577" i="28"/>
  <c r="AB577" i="28" s="1"/>
  <c r="V577" i="28"/>
  <c r="AC577" i="28" s="1"/>
  <c r="Q578" i="28"/>
  <c r="X578" i="28" s="1"/>
  <c r="R578" i="28"/>
  <c r="Y578" i="28" s="1"/>
  <c r="S578" i="28"/>
  <c r="Z578" i="28" s="1"/>
  <c r="T578" i="28"/>
  <c r="AA578" i="28" s="1"/>
  <c r="U578" i="28"/>
  <c r="AB578" i="28" s="1"/>
  <c r="V578" i="28"/>
  <c r="AC578" i="28" s="1"/>
  <c r="Q579" i="28"/>
  <c r="X579" i="28" s="1"/>
  <c r="R579" i="28"/>
  <c r="Y579" i="28" s="1"/>
  <c r="S579" i="28"/>
  <c r="Z579" i="28" s="1"/>
  <c r="T579" i="28"/>
  <c r="AA579" i="28" s="1"/>
  <c r="U579" i="28"/>
  <c r="AB579" i="28" s="1"/>
  <c r="V579" i="28"/>
  <c r="AC579" i="28" s="1"/>
  <c r="Q580" i="28"/>
  <c r="X580" i="28" s="1"/>
  <c r="R580" i="28"/>
  <c r="Y580" i="28" s="1"/>
  <c r="S580" i="28"/>
  <c r="Z580" i="28" s="1"/>
  <c r="T580" i="28"/>
  <c r="AA580" i="28" s="1"/>
  <c r="U580" i="28"/>
  <c r="AB580" i="28" s="1"/>
  <c r="V580" i="28"/>
  <c r="AC580" i="28" s="1"/>
  <c r="Q581" i="28"/>
  <c r="X581" i="28" s="1"/>
  <c r="R581" i="28"/>
  <c r="Y581" i="28" s="1"/>
  <c r="S581" i="28"/>
  <c r="Z581" i="28" s="1"/>
  <c r="T581" i="28"/>
  <c r="AA581" i="28" s="1"/>
  <c r="U581" i="28"/>
  <c r="AB581" i="28" s="1"/>
  <c r="V581" i="28"/>
  <c r="AC581" i="28" s="1"/>
  <c r="Q582" i="28"/>
  <c r="X582" i="28" s="1"/>
  <c r="R582" i="28"/>
  <c r="Y582" i="28" s="1"/>
  <c r="S582" i="28"/>
  <c r="Z582" i="28" s="1"/>
  <c r="T582" i="28"/>
  <c r="AA582" i="28" s="1"/>
  <c r="U582" i="28"/>
  <c r="AB582" i="28" s="1"/>
  <c r="V582" i="28"/>
  <c r="AC582" i="28" s="1"/>
  <c r="Q583" i="28"/>
  <c r="X583" i="28" s="1"/>
  <c r="R583" i="28"/>
  <c r="Y583" i="28" s="1"/>
  <c r="S583" i="28"/>
  <c r="Z583" i="28" s="1"/>
  <c r="T583" i="28"/>
  <c r="AA583" i="28" s="1"/>
  <c r="U583" i="28"/>
  <c r="AB583" i="28" s="1"/>
  <c r="V583" i="28"/>
  <c r="AC583" i="28" s="1"/>
  <c r="Q584" i="28"/>
  <c r="X584" i="28" s="1"/>
  <c r="R584" i="28"/>
  <c r="Y584" i="28" s="1"/>
  <c r="S584" i="28"/>
  <c r="Z584" i="28" s="1"/>
  <c r="T584" i="28"/>
  <c r="AA584" i="28" s="1"/>
  <c r="U584" i="28"/>
  <c r="AB584" i="28" s="1"/>
  <c r="Q585" i="28"/>
  <c r="X585" i="28" s="1"/>
  <c r="R585" i="28"/>
  <c r="Y585" i="28" s="1"/>
  <c r="S585" i="28"/>
  <c r="Z585" i="28" s="1"/>
  <c r="T585" i="28"/>
  <c r="AA585" i="28" s="1"/>
  <c r="U585" i="28"/>
  <c r="AB585" i="28" s="1"/>
  <c r="V585" i="28"/>
  <c r="AC585" i="28" s="1"/>
  <c r="Q586" i="28"/>
  <c r="X586" i="28" s="1"/>
  <c r="R586" i="28"/>
  <c r="Y586" i="28" s="1"/>
  <c r="S586" i="28"/>
  <c r="Z586" i="28" s="1"/>
  <c r="T586" i="28"/>
  <c r="AA586" i="28" s="1"/>
  <c r="U586" i="28"/>
  <c r="AB586" i="28" s="1"/>
  <c r="V586" i="28"/>
  <c r="AC586" i="28" s="1"/>
  <c r="Q587" i="28"/>
  <c r="X587" i="28" s="1"/>
  <c r="R587" i="28"/>
  <c r="Y587" i="28" s="1"/>
  <c r="S587" i="28"/>
  <c r="Z587" i="28" s="1"/>
  <c r="T587" i="28"/>
  <c r="AA587" i="28" s="1"/>
  <c r="U587" i="28"/>
  <c r="AB587" i="28" s="1"/>
  <c r="V587" i="28"/>
  <c r="AC587" i="28" s="1"/>
  <c r="Q588" i="28"/>
  <c r="X588" i="28" s="1"/>
  <c r="R588" i="28"/>
  <c r="Y588" i="28" s="1"/>
  <c r="S588" i="28"/>
  <c r="Z588" i="28" s="1"/>
  <c r="T588" i="28"/>
  <c r="AA588" i="28" s="1"/>
  <c r="U588" i="28"/>
  <c r="AB588" i="28" s="1"/>
  <c r="V588" i="28"/>
  <c r="AC588" i="28" s="1"/>
  <c r="Q589" i="28"/>
  <c r="X589" i="28" s="1"/>
  <c r="R589" i="28"/>
  <c r="Y589" i="28" s="1"/>
  <c r="S589" i="28"/>
  <c r="Z589" i="28" s="1"/>
  <c r="T589" i="28"/>
  <c r="AA589" i="28" s="1"/>
  <c r="U589" i="28"/>
  <c r="AB589" i="28" s="1"/>
  <c r="V589" i="28"/>
  <c r="AC589" i="28" s="1"/>
  <c r="Q590" i="28"/>
  <c r="X590" i="28" s="1"/>
  <c r="R590" i="28"/>
  <c r="Y590" i="28" s="1"/>
  <c r="S590" i="28"/>
  <c r="Z590" i="28" s="1"/>
  <c r="T590" i="28"/>
  <c r="AA590" i="28" s="1"/>
  <c r="U590" i="28"/>
  <c r="AB590" i="28" s="1"/>
  <c r="V590" i="28"/>
  <c r="AC590" i="28" s="1"/>
  <c r="Q591" i="28"/>
  <c r="X591" i="28" s="1"/>
  <c r="R591" i="28"/>
  <c r="Y591" i="28" s="1"/>
  <c r="S591" i="28"/>
  <c r="Z591" i="28" s="1"/>
  <c r="T591" i="28"/>
  <c r="AA591" i="28" s="1"/>
  <c r="U591" i="28"/>
  <c r="AB591" i="28" s="1"/>
  <c r="V591" i="28"/>
  <c r="AC591" i="28" s="1"/>
  <c r="Q592" i="28"/>
  <c r="X592" i="28" s="1"/>
  <c r="R592" i="28"/>
  <c r="Y592" i="28" s="1"/>
  <c r="S592" i="28"/>
  <c r="Z592" i="28" s="1"/>
  <c r="T592" i="28"/>
  <c r="AA592" i="28" s="1"/>
  <c r="U592" i="28"/>
  <c r="AB592" i="28" s="1"/>
  <c r="Q593" i="28"/>
  <c r="X593" i="28" s="1"/>
  <c r="R593" i="28"/>
  <c r="Y593" i="28" s="1"/>
  <c r="S593" i="28"/>
  <c r="Z593" i="28" s="1"/>
  <c r="T593" i="28"/>
  <c r="AA593" i="28" s="1"/>
  <c r="U593" i="28"/>
  <c r="AB593" i="28" s="1"/>
  <c r="V593" i="28"/>
  <c r="AC593" i="28" s="1"/>
  <c r="Q594" i="28"/>
  <c r="X594" i="28" s="1"/>
  <c r="R594" i="28"/>
  <c r="Y594" i="28" s="1"/>
  <c r="S594" i="28"/>
  <c r="Z594" i="28" s="1"/>
  <c r="T594" i="28"/>
  <c r="AA594" i="28" s="1"/>
  <c r="U594" i="28"/>
  <c r="AB594" i="28" s="1"/>
  <c r="V594" i="28"/>
  <c r="AC594" i="28" s="1"/>
  <c r="Q595" i="28"/>
  <c r="X595" i="28" s="1"/>
  <c r="R595" i="28"/>
  <c r="Y595" i="28" s="1"/>
  <c r="S595" i="28"/>
  <c r="Z595" i="28" s="1"/>
  <c r="T595" i="28"/>
  <c r="AA595" i="28" s="1"/>
  <c r="U595" i="28"/>
  <c r="AB595" i="28" s="1"/>
  <c r="V595" i="28"/>
  <c r="AC595" i="28" s="1"/>
  <c r="Q596" i="28"/>
  <c r="X596" i="28" s="1"/>
  <c r="R596" i="28"/>
  <c r="Y596" i="28" s="1"/>
  <c r="S596" i="28"/>
  <c r="Z596" i="28" s="1"/>
  <c r="T596" i="28"/>
  <c r="AA596" i="28" s="1"/>
  <c r="U596" i="28"/>
  <c r="AB596" i="28" s="1"/>
  <c r="V596" i="28"/>
  <c r="AC596" i="28" s="1"/>
  <c r="Q597" i="28"/>
  <c r="X597" i="28" s="1"/>
  <c r="R597" i="28"/>
  <c r="Y597" i="28" s="1"/>
  <c r="S597" i="28"/>
  <c r="Z597" i="28" s="1"/>
  <c r="T597" i="28"/>
  <c r="AA597" i="28" s="1"/>
  <c r="U597" i="28"/>
  <c r="AB597" i="28" s="1"/>
  <c r="V597" i="28"/>
  <c r="AC597" i="28" s="1"/>
  <c r="Q598" i="28"/>
  <c r="X598" i="28" s="1"/>
  <c r="R598" i="28"/>
  <c r="Y598" i="28" s="1"/>
  <c r="S598" i="28"/>
  <c r="Z598" i="28" s="1"/>
  <c r="T598" i="28"/>
  <c r="AA598" i="28" s="1"/>
  <c r="U598" i="28"/>
  <c r="AB598" i="28" s="1"/>
  <c r="V598" i="28"/>
  <c r="AC598" i="28" s="1"/>
  <c r="Q599" i="28"/>
  <c r="X599" i="28" s="1"/>
  <c r="R599" i="28"/>
  <c r="Y599" i="28" s="1"/>
  <c r="S599" i="28"/>
  <c r="Z599" i="28" s="1"/>
  <c r="T599" i="28"/>
  <c r="AA599" i="28" s="1"/>
  <c r="U599" i="28"/>
  <c r="AB599" i="28" s="1"/>
  <c r="V599" i="28"/>
  <c r="AC599" i="28" s="1"/>
  <c r="Q600" i="28"/>
  <c r="X600" i="28" s="1"/>
  <c r="R600" i="28"/>
  <c r="Y600" i="28" s="1"/>
  <c r="S600" i="28"/>
  <c r="Z600" i="28" s="1"/>
  <c r="T600" i="28"/>
  <c r="AA600" i="28" s="1"/>
  <c r="U600" i="28"/>
  <c r="AB600" i="28" s="1"/>
  <c r="Q601" i="28"/>
  <c r="X601" i="28" s="1"/>
  <c r="R601" i="28"/>
  <c r="Y601" i="28" s="1"/>
  <c r="S601" i="28"/>
  <c r="Z601" i="28" s="1"/>
  <c r="T601" i="28"/>
  <c r="AA601" i="28" s="1"/>
  <c r="U601" i="28"/>
  <c r="AB601" i="28" s="1"/>
  <c r="V601" i="28"/>
  <c r="AC601" i="28" s="1"/>
  <c r="Q602" i="28"/>
  <c r="X602" i="28" s="1"/>
  <c r="R602" i="28"/>
  <c r="Y602" i="28" s="1"/>
  <c r="S602" i="28"/>
  <c r="Z602" i="28" s="1"/>
  <c r="T602" i="28"/>
  <c r="AA602" i="28" s="1"/>
  <c r="U602" i="28"/>
  <c r="AB602" i="28" s="1"/>
  <c r="V602" i="28"/>
  <c r="AC602" i="28" s="1"/>
  <c r="Q603" i="28"/>
  <c r="X603" i="28" s="1"/>
  <c r="R603" i="28"/>
  <c r="Y603" i="28" s="1"/>
  <c r="S603" i="28"/>
  <c r="Z603" i="28" s="1"/>
  <c r="T603" i="28"/>
  <c r="AA603" i="28" s="1"/>
  <c r="U603" i="28"/>
  <c r="AB603" i="28" s="1"/>
  <c r="V603" i="28"/>
  <c r="AC603" i="28" s="1"/>
  <c r="Q604" i="28"/>
  <c r="X604" i="28" s="1"/>
  <c r="R604" i="28"/>
  <c r="Y604" i="28" s="1"/>
  <c r="S604" i="28"/>
  <c r="Z604" i="28" s="1"/>
  <c r="T604" i="28"/>
  <c r="AA604" i="28" s="1"/>
  <c r="U604" i="28"/>
  <c r="AB604" i="28" s="1"/>
  <c r="V604" i="28"/>
  <c r="AC604" i="28" s="1"/>
  <c r="Q605" i="28"/>
  <c r="X605" i="28" s="1"/>
  <c r="R605" i="28"/>
  <c r="Y605" i="28" s="1"/>
  <c r="S605" i="28"/>
  <c r="Z605" i="28" s="1"/>
  <c r="T605" i="28"/>
  <c r="AA605" i="28" s="1"/>
  <c r="U605" i="28"/>
  <c r="AB605" i="28" s="1"/>
  <c r="V605" i="28"/>
  <c r="AC605" i="28" s="1"/>
  <c r="Q606" i="28"/>
  <c r="X606" i="28" s="1"/>
  <c r="R606" i="28"/>
  <c r="Y606" i="28" s="1"/>
  <c r="S606" i="28"/>
  <c r="Z606" i="28" s="1"/>
  <c r="T606" i="28"/>
  <c r="AA606" i="28" s="1"/>
  <c r="U606" i="28"/>
  <c r="AB606" i="28" s="1"/>
  <c r="V606" i="28"/>
  <c r="AC606" i="28" s="1"/>
  <c r="Q607" i="28"/>
  <c r="X607" i="28" s="1"/>
  <c r="R607" i="28"/>
  <c r="Y607" i="28" s="1"/>
  <c r="S607" i="28"/>
  <c r="Z607" i="28" s="1"/>
  <c r="T607" i="28"/>
  <c r="AA607" i="28" s="1"/>
  <c r="U607" i="28"/>
  <c r="AB607" i="28" s="1"/>
  <c r="V607" i="28"/>
  <c r="AC607" i="28" s="1"/>
  <c r="Q608" i="28"/>
  <c r="X608" i="28" s="1"/>
  <c r="R608" i="28"/>
  <c r="Y608" i="28" s="1"/>
  <c r="S608" i="28"/>
  <c r="Z608" i="28" s="1"/>
  <c r="T608" i="28"/>
  <c r="AA608" i="28" s="1"/>
  <c r="U608" i="28"/>
  <c r="AB608" i="28" s="1"/>
  <c r="Q609" i="28"/>
  <c r="X609" i="28" s="1"/>
  <c r="R609" i="28"/>
  <c r="Y609" i="28" s="1"/>
  <c r="S609" i="28"/>
  <c r="Z609" i="28" s="1"/>
  <c r="T609" i="28"/>
  <c r="AA609" i="28" s="1"/>
  <c r="U609" i="28"/>
  <c r="AB609" i="28" s="1"/>
  <c r="V609" i="28"/>
  <c r="AC609" i="28" s="1"/>
  <c r="Q610" i="28"/>
  <c r="X610" i="28" s="1"/>
  <c r="R610" i="28"/>
  <c r="Y610" i="28" s="1"/>
  <c r="S610" i="28"/>
  <c r="Z610" i="28" s="1"/>
  <c r="T610" i="28"/>
  <c r="AA610" i="28" s="1"/>
  <c r="U610" i="28"/>
  <c r="AB610" i="28" s="1"/>
  <c r="V610" i="28"/>
  <c r="AC610" i="28" s="1"/>
  <c r="Q611" i="28"/>
  <c r="X611" i="28" s="1"/>
  <c r="R611" i="28"/>
  <c r="Y611" i="28" s="1"/>
  <c r="S611" i="28"/>
  <c r="Z611" i="28" s="1"/>
  <c r="T611" i="28"/>
  <c r="AA611" i="28" s="1"/>
  <c r="U611" i="28"/>
  <c r="AB611" i="28" s="1"/>
  <c r="V611" i="28"/>
  <c r="AC611" i="28" s="1"/>
  <c r="Q612" i="28"/>
  <c r="X612" i="28" s="1"/>
  <c r="R612" i="28"/>
  <c r="Y612" i="28" s="1"/>
  <c r="S612" i="28"/>
  <c r="Z612" i="28" s="1"/>
  <c r="T612" i="28"/>
  <c r="AA612" i="28" s="1"/>
  <c r="U612" i="28"/>
  <c r="AB612" i="28" s="1"/>
  <c r="V612" i="28"/>
  <c r="AC612" i="28" s="1"/>
  <c r="Q613" i="28"/>
  <c r="X613" i="28" s="1"/>
  <c r="R613" i="28"/>
  <c r="Y613" i="28" s="1"/>
  <c r="S613" i="28"/>
  <c r="Z613" i="28" s="1"/>
  <c r="T613" i="28"/>
  <c r="AA613" i="28" s="1"/>
  <c r="U613" i="28"/>
  <c r="AB613" i="28" s="1"/>
  <c r="V613" i="28"/>
  <c r="AC613" i="28" s="1"/>
  <c r="Q614" i="28"/>
  <c r="X614" i="28" s="1"/>
  <c r="R614" i="28"/>
  <c r="Y614" i="28" s="1"/>
  <c r="S614" i="28"/>
  <c r="Z614" i="28" s="1"/>
  <c r="T614" i="28"/>
  <c r="AA614" i="28" s="1"/>
  <c r="U614" i="28"/>
  <c r="AB614" i="28" s="1"/>
  <c r="V614" i="28"/>
  <c r="AC614" i="28" s="1"/>
  <c r="Q615" i="28"/>
  <c r="X615" i="28" s="1"/>
  <c r="R615" i="28"/>
  <c r="Y615" i="28" s="1"/>
  <c r="S615" i="28"/>
  <c r="Z615" i="28" s="1"/>
  <c r="T615" i="28"/>
  <c r="AA615" i="28" s="1"/>
  <c r="U615" i="28"/>
  <c r="AB615" i="28" s="1"/>
  <c r="V615" i="28"/>
  <c r="AC615" i="28" s="1"/>
  <c r="Q616" i="28"/>
  <c r="X616" i="28" s="1"/>
  <c r="R616" i="28"/>
  <c r="Y616" i="28" s="1"/>
  <c r="S616" i="28"/>
  <c r="Z616" i="28" s="1"/>
  <c r="T616" i="28"/>
  <c r="AA616" i="28" s="1"/>
  <c r="U616" i="28"/>
  <c r="AB616" i="28" s="1"/>
  <c r="Q617" i="28"/>
  <c r="X617" i="28" s="1"/>
  <c r="R617" i="28"/>
  <c r="Y617" i="28" s="1"/>
  <c r="S617" i="28"/>
  <c r="Z617" i="28" s="1"/>
  <c r="T617" i="28"/>
  <c r="AA617" i="28" s="1"/>
  <c r="U617" i="28"/>
  <c r="AB617" i="28" s="1"/>
  <c r="V617" i="28"/>
  <c r="AC617" i="28" s="1"/>
  <c r="Q618" i="28"/>
  <c r="X618" i="28" s="1"/>
  <c r="R618" i="28"/>
  <c r="Y618" i="28" s="1"/>
  <c r="S618" i="28"/>
  <c r="Z618" i="28" s="1"/>
  <c r="T618" i="28"/>
  <c r="AA618" i="28" s="1"/>
  <c r="U618" i="28"/>
  <c r="AB618" i="28" s="1"/>
  <c r="V618" i="28"/>
  <c r="AC618" i="28" s="1"/>
  <c r="Q619" i="28"/>
  <c r="X619" i="28" s="1"/>
  <c r="R619" i="28"/>
  <c r="Y619" i="28" s="1"/>
  <c r="S619" i="28"/>
  <c r="Z619" i="28" s="1"/>
  <c r="T619" i="28"/>
  <c r="AA619" i="28" s="1"/>
  <c r="U619" i="28"/>
  <c r="AB619" i="28" s="1"/>
  <c r="V619" i="28"/>
  <c r="AC619" i="28" s="1"/>
  <c r="Q620" i="28"/>
  <c r="X620" i="28" s="1"/>
  <c r="R620" i="28"/>
  <c r="Y620" i="28" s="1"/>
  <c r="S620" i="28"/>
  <c r="Z620" i="28" s="1"/>
  <c r="T620" i="28"/>
  <c r="AA620" i="28" s="1"/>
  <c r="U620" i="28"/>
  <c r="AB620" i="28" s="1"/>
  <c r="V620" i="28"/>
  <c r="AC620" i="28" s="1"/>
  <c r="Q621" i="28"/>
  <c r="X621" i="28" s="1"/>
  <c r="R621" i="28"/>
  <c r="Y621" i="28" s="1"/>
  <c r="S621" i="28"/>
  <c r="Z621" i="28" s="1"/>
  <c r="T621" i="28"/>
  <c r="AA621" i="28" s="1"/>
  <c r="U621" i="28"/>
  <c r="AB621" i="28" s="1"/>
  <c r="V621" i="28"/>
  <c r="AC621" i="28" s="1"/>
  <c r="Q622" i="28"/>
  <c r="X622" i="28" s="1"/>
  <c r="R622" i="28"/>
  <c r="Y622" i="28" s="1"/>
  <c r="S622" i="28"/>
  <c r="Z622" i="28" s="1"/>
  <c r="T622" i="28"/>
  <c r="AA622" i="28" s="1"/>
  <c r="U622" i="28"/>
  <c r="AB622" i="28" s="1"/>
  <c r="V622" i="28"/>
  <c r="AC622" i="28" s="1"/>
  <c r="Q623" i="28"/>
  <c r="X623" i="28" s="1"/>
  <c r="R623" i="28"/>
  <c r="Y623" i="28" s="1"/>
  <c r="S623" i="28"/>
  <c r="Z623" i="28" s="1"/>
  <c r="T623" i="28"/>
  <c r="AA623" i="28" s="1"/>
  <c r="U623" i="28"/>
  <c r="AB623" i="28" s="1"/>
  <c r="V623" i="28"/>
  <c r="AC623" i="28" s="1"/>
  <c r="Q624" i="28"/>
  <c r="X624" i="28" s="1"/>
  <c r="R624" i="28"/>
  <c r="Y624" i="28" s="1"/>
  <c r="S624" i="28"/>
  <c r="Z624" i="28" s="1"/>
  <c r="T624" i="28"/>
  <c r="AA624" i="28" s="1"/>
  <c r="U624" i="28"/>
  <c r="AB624" i="28" s="1"/>
  <c r="Q625" i="28"/>
  <c r="X625" i="28" s="1"/>
  <c r="R625" i="28"/>
  <c r="Y625" i="28" s="1"/>
  <c r="S625" i="28"/>
  <c r="Z625" i="28" s="1"/>
  <c r="T625" i="28"/>
  <c r="AA625" i="28" s="1"/>
  <c r="U625" i="28"/>
  <c r="AB625" i="28" s="1"/>
  <c r="V625" i="28"/>
  <c r="AC625" i="28" s="1"/>
  <c r="Q626" i="28"/>
  <c r="X626" i="28" s="1"/>
  <c r="R626" i="28"/>
  <c r="Y626" i="28" s="1"/>
  <c r="S626" i="28"/>
  <c r="Z626" i="28" s="1"/>
  <c r="T626" i="28"/>
  <c r="AA626" i="28" s="1"/>
  <c r="U626" i="28"/>
  <c r="AB626" i="28" s="1"/>
  <c r="V626" i="28"/>
  <c r="AC626" i="28" s="1"/>
  <c r="Q627" i="28"/>
  <c r="X627" i="28" s="1"/>
  <c r="R627" i="28"/>
  <c r="Y627" i="28" s="1"/>
  <c r="S627" i="28"/>
  <c r="Z627" i="28" s="1"/>
  <c r="T627" i="28"/>
  <c r="AA627" i="28" s="1"/>
  <c r="U627" i="28"/>
  <c r="AB627" i="28" s="1"/>
  <c r="V627" i="28"/>
  <c r="AC627" i="28" s="1"/>
  <c r="Q628" i="28"/>
  <c r="X628" i="28" s="1"/>
  <c r="R628" i="28"/>
  <c r="Y628" i="28" s="1"/>
  <c r="S628" i="28"/>
  <c r="Z628" i="28" s="1"/>
  <c r="T628" i="28"/>
  <c r="AA628" i="28" s="1"/>
  <c r="U628" i="28"/>
  <c r="AB628" i="28" s="1"/>
  <c r="V628" i="28"/>
  <c r="AC628" i="28" s="1"/>
  <c r="Q629" i="28"/>
  <c r="X629" i="28" s="1"/>
  <c r="R629" i="28"/>
  <c r="Y629" i="28" s="1"/>
  <c r="S629" i="28"/>
  <c r="Z629" i="28" s="1"/>
  <c r="T629" i="28"/>
  <c r="AA629" i="28" s="1"/>
  <c r="U629" i="28"/>
  <c r="AB629" i="28" s="1"/>
  <c r="V629" i="28"/>
  <c r="AC629" i="28" s="1"/>
  <c r="Q630" i="28"/>
  <c r="X630" i="28" s="1"/>
  <c r="R630" i="28"/>
  <c r="Y630" i="28" s="1"/>
  <c r="S630" i="28"/>
  <c r="Z630" i="28" s="1"/>
  <c r="T630" i="28"/>
  <c r="AA630" i="28" s="1"/>
  <c r="U630" i="28"/>
  <c r="AB630" i="28" s="1"/>
  <c r="V630" i="28"/>
  <c r="AC630" i="28" s="1"/>
  <c r="Q631" i="28"/>
  <c r="X631" i="28" s="1"/>
  <c r="R631" i="28"/>
  <c r="Y631" i="28" s="1"/>
  <c r="S631" i="28"/>
  <c r="Z631" i="28" s="1"/>
  <c r="T631" i="28"/>
  <c r="AA631" i="28" s="1"/>
  <c r="U631" i="28"/>
  <c r="AB631" i="28" s="1"/>
  <c r="V631" i="28"/>
  <c r="AC631" i="28" s="1"/>
  <c r="Q632" i="28"/>
  <c r="X632" i="28" s="1"/>
  <c r="R632" i="28"/>
  <c r="Y632" i="28" s="1"/>
  <c r="S632" i="28"/>
  <c r="Z632" i="28" s="1"/>
  <c r="T632" i="28"/>
  <c r="AA632" i="28" s="1"/>
  <c r="U632" i="28"/>
  <c r="AB632" i="28" s="1"/>
  <c r="Q633" i="28"/>
  <c r="X633" i="28" s="1"/>
  <c r="R633" i="28"/>
  <c r="Y633" i="28" s="1"/>
  <c r="S633" i="28"/>
  <c r="Z633" i="28" s="1"/>
  <c r="T633" i="28"/>
  <c r="AA633" i="28" s="1"/>
  <c r="U633" i="28"/>
  <c r="AB633" i="28" s="1"/>
  <c r="V633" i="28"/>
  <c r="AC633" i="28" s="1"/>
  <c r="Q634" i="28"/>
  <c r="X634" i="28" s="1"/>
  <c r="R634" i="28"/>
  <c r="Y634" i="28" s="1"/>
  <c r="S634" i="28"/>
  <c r="Z634" i="28" s="1"/>
  <c r="T634" i="28"/>
  <c r="AA634" i="28" s="1"/>
  <c r="U634" i="28"/>
  <c r="AB634" i="28" s="1"/>
  <c r="V634" i="28"/>
  <c r="AC634" i="28" s="1"/>
  <c r="Q635" i="28"/>
  <c r="X635" i="28" s="1"/>
  <c r="R635" i="28"/>
  <c r="Y635" i="28" s="1"/>
  <c r="S635" i="28"/>
  <c r="Z635" i="28" s="1"/>
  <c r="T635" i="28"/>
  <c r="AA635" i="28" s="1"/>
  <c r="U635" i="28"/>
  <c r="AB635" i="28" s="1"/>
  <c r="V635" i="28"/>
  <c r="AC635" i="28" s="1"/>
  <c r="Q636" i="28"/>
  <c r="X636" i="28" s="1"/>
  <c r="R636" i="28"/>
  <c r="Y636" i="28" s="1"/>
  <c r="S636" i="28"/>
  <c r="Z636" i="28" s="1"/>
  <c r="T636" i="28"/>
  <c r="AA636" i="28" s="1"/>
  <c r="U636" i="28"/>
  <c r="AB636" i="28" s="1"/>
  <c r="V636" i="28"/>
  <c r="AC636" i="28" s="1"/>
  <c r="Q637" i="28"/>
  <c r="X637" i="28" s="1"/>
  <c r="R637" i="28"/>
  <c r="Y637" i="28" s="1"/>
  <c r="S637" i="28"/>
  <c r="Z637" i="28" s="1"/>
  <c r="T637" i="28"/>
  <c r="AA637" i="28" s="1"/>
  <c r="U637" i="28"/>
  <c r="AB637" i="28" s="1"/>
  <c r="V637" i="28"/>
  <c r="AC637" i="28" s="1"/>
  <c r="Q638" i="28"/>
  <c r="X638" i="28" s="1"/>
  <c r="R638" i="28"/>
  <c r="Y638" i="28" s="1"/>
  <c r="S638" i="28"/>
  <c r="Z638" i="28" s="1"/>
  <c r="T638" i="28"/>
  <c r="AA638" i="28" s="1"/>
  <c r="U638" i="28"/>
  <c r="AB638" i="28" s="1"/>
  <c r="V638" i="28"/>
  <c r="AC638" i="28" s="1"/>
  <c r="Q639" i="28"/>
  <c r="X639" i="28" s="1"/>
  <c r="R639" i="28"/>
  <c r="Y639" i="28" s="1"/>
  <c r="S639" i="28"/>
  <c r="Z639" i="28" s="1"/>
  <c r="T639" i="28"/>
  <c r="AA639" i="28" s="1"/>
  <c r="U639" i="28"/>
  <c r="AB639" i="28" s="1"/>
  <c r="V639" i="28"/>
  <c r="AC639" i="28" s="1"/>
  <c r="Q640" i="28"/>
  <c r="X640" i="28" s="1"/>
  <c r="R640" i="28"/>
  <c r="Y640" i="28" s="1"/>
  <c r="S640" i="28"/>
  <c r="Z640" i="28" s="1"/>
  <c r="T640" i="28"/>
  <c r="AA640" i="28" s="1"/>
  <c r="U640" i="28"/>
  <c r="AB640" i="28" s="1"/>
  <c r="Q641" i="28"/>
  <c r="X641" i="28" s="1"/>
  <c r="R641" i="28"/>
  <c r="Y641" i="28" s="1"/>
  <c r="S641" i="28"/>
  <c r="Z641" i="28" s="1"/>
  <c r="T641" i="28"/>
  <c r="AA641" i="28" s="1"/>
  <c r="U641" i="28"/>
  <c r="AB641" i="28" s="1"/>
  <c r="V641" i="28"/>
  <c r="AC641" i="28" s="1"/>
  <c r="Q642" i="28"/>
  <c r="X642" i="28" s="1"/>
  <c r="R642" i="28"/>
  <c r="Y642" i="28" s="1"/>
  <c r="S642" i="28"/>
  <c r="Z642" i="28" s="1"/>
  <c r="T642" i="28"/>
  <c r="AA642" i="28" s="1"/>
  <c r="U642" i="28"/>
  <c r="AB642" i="28" s="1"/>
  <c r="V642" i="28"/>
  <c r="AC642" i="28" s="1"/>
  <c r="Q643" i="28"/>
  <c r="X643" i="28" s="1"/>
  <c r="R643" i="28"/>
  <c r="Y643" i="28" s="1"/>
  <c r="S643" i="28"/>
  <c r="Z643" i="28" s="1"/>
  <c r="T643" i="28"/>
  <c r="AA643" i="28" s="1"/>
  <c r="U643" i="28"/>
  <c r="AB643" i="28" s="1"/>
  <c r="V643" i="28"/>
  <c r="AC643" i="28" s="1"/>
  <c r="Q644" i="28"/>
  <c r="X644" i="28" s="1"/>
  <c r="R644" i="28"/>
  <c r="Y644" i="28" s="1"/>
  <c r="S644" i="28"/>
  <c r="Z644" i="28" s="1"/>
  <c r="T644" i="28"/>
  <c r="AA644" i="28" s="1"/>
  <c r="U644" i="28"/>
  <c r="AB644" i="28" s="1"/>
  <c r="V644" i="28"/>
  <c r="AC644" i="28" s="1"/>
  <c r="Q645" i="28"/>
  <c r="X645" i="28" s="1"/>
  <c r="R645" i="28"/>
  <c r="Y645" i="28" s="1"/>
  <c r="S645" i="28"/>
  <c r="Z645" i="28" s="1"/>
  <c r="T645" i="28"/>
  <c r="AA645" i="28" s="1"/>
  <c r="U645" i="28"/>
  <c r="AB645" i="28" s="1"/>
  <c r="V645" i="28"/>
  <c r="AC645" i="28" s="1"/>
  <c r="Q646" i="28"/>
  <c r="X646" i="28" s="1"/>
  <c r="R646" i="28"/>
  <c r="Y646" i="28" s="1"/>
  <c r="S646" i="28"/>
  <c r="Z646" i="28" s="1"/>
  <c r="T646" i="28"/>
  <c r="AA646" i="28" s="1"/>
  <c r="U646" i="28"/>
  <c r="AB646" i="28" s="1"/>
  <c r="V646" i="28"/>
  <c r="AC646" i="28" s="1"/>
  <c r="Q647" i="28"/>
  <c r="X647" i="28" s="1"/>
  <c r="R647" i="28"/>
  <c r="Y647" i="28" s="1"/>
  <c r="S647" i="28"/>
  <c r="Z647" i="28" s="1"/>
  <c r="T647" i="28"/>
  <c r="AA647" i="28" s="1"/>
  <c r="U647" i="28"/>
  <c r="AB647" i="28" s="1"/>
  <c r="V647" i="28"/>
  <c r="AC647" i="28" s="1"/>
  <c r="Q648" i="28"/>
  <c r="X648" i="28" s="1"/>
  <c r="R648" i="28"/>
  <c r="Y648" i="28" s="1"/>
  <c r="S648" i="28"/>
  <c r="Z648" i="28" s="1"/>
  <c r="T648" i="28"/>
  <c r="AA648" i="28" s="1"/>
  <c r="U648" i="28"/>
  <c r="AB648" i="28" s="1"/>
  <c r="Q649" i="28"/>
  <c r="X649" i="28" s="1"/>
  <c r="R649" i="28"/>
  <c r="Y649" i="28" s="1"/>
  <c r="S649" i="28"/>
  <c r="Z649" i="28" s="1"/>
  <c r="T649" i="28"/>
  <c r="AA649" i="28" s="1"/>
  <c r="U649" i="28"/>
  <c r="AB649" i="28" s="1"/>
  <c r="V649" i="28"/>
  <c r="AC649" i="28" s="1"/>
  <c r="Q650" i="28"/>
  <c r="X650" i="28" s="1"/>
  <c r="R650" i="28"/>
  <c r="Y650" i="28" s="1"/>
  <c r="S650" i="28"/>
  <c r="Z650" i="28" s="1"/>
  <c r="T650" i="28"/>
  <c r="AA650" i="28" s="1"/>
  <c r="U650" i="28"/>
  <c r="AB650" i="28" s="1"/>
  <c r="V650" i="28"/>
  <c r="AC650" i="28" s="1"/>
  <c r="Q651" i="28"/>
  <c r="X651" i="28" s="1"/>
  <c r="R651" i="28"/>
  <c r="Y651" i="28" s="1"/>
  <c r="S651" i="28"/>
  <c r="Z651" i="28" s="1"/>
  <c r="T651" i="28"/>
  <c r="AA651" i="28" s="1"/>
  <c r="U651" i="28"/>
  <c r="AB651" i="28" s="1"/>
  <c r="V651" i="28"/>
  <c r="AC651" i="28" s="1"/>
  <c r="Q652" i="28"/>
  <c r="X652" i="28" s="1"/>
  <c r="R652" i="28"/>
  <c r="Y652" i="28" s="1"/>
  <c r="S652" i="28"/>
  <c r="Z652" i="28" s="1"/>
  <c r="T652" i="28"/>
  <c r="AA652" i="28" s="1"/>
  <c r="U652" i="28"/>
  <c r="AB652" i="28" s="1"/>
  <c r="V652" i="28"/>
  <c r="AC652" i="28" s="1"/>
  <c r="Q653" i="28"/>
  <c r="X653" i="28" s="1"/>
  <c r="R653" i="28"/>
  <c r="Y653" i="28" s="1"/>
  <c r="S653" i="28"/>
  <c r="Z653" i="28" s="1"/>
  <c r="T653" i="28"/>
  <c r="AA653" i="28" s="1"/>
  <c r="U653" i="28"/>
  <c r="AB653" i="28" s="1"/>
  <c r="V653" i="28"/>
  <c r="AC653" i="28" s="1"/>
  <c r="Q654" i="28"/>
  <c r="X654" i="28" s="1"/>
  <c r="R654" i="28"/>
  <c r="Y654" i="28" s="1"/>
  <c r="S654" i="28"/>
  <c r="Z654" i="28" s="1"/>
  <c r="T654" i="28"/>
  <c r="AA654" i="28" s="1"/>
  <c r="U654" i="28"/>
  <c r="AB654" i="28" s="1"/>
  <c r="V654" i="28"/>
  <c r="AC654" i="28" s="1"/>
  <c r="Q655" i="28"/>
  <c r="X655" i="28" s="1"/>
  <c r="R655" i="28"/>
  <c r="Y655" i="28" s="1"/>
  <c r="S655" i="28"/>
  <c r="Z655" i="28" s="1"/>
  <c r="T655" i="28"/>
  <c r="AA655" i="28" s="1"/>
  <c r="U655" i="28"/>
  <c r="AB655" i="28" s="1"/>
  <c r="V655" i="28"/>
  <c r="AC655" i="28" s="1"/>
  <c r="Q656" i="28"/>
  <c r="X656" i="28" s="1"/>
  <c r="R656" i="28"/>
  <c r="Y656" i="28" s="1"/>
  <c r="S656" i="28"/>
  <c r="Z656" i="28" s="1"/>
  <c r="T656" i="28"/>
  <c r="AA656" i="28" s="1"/>
  <c r="U656" i="28"/>
  <c r="AB656" i="28" s="1"/>
  <c r="Q657" i="28"/>
  <c r="X657" i="28" s="1"/>
  <c r="R657" i="28"/>
  <c r="Y657" i="28" s="1"/>
  <c r="S657" i="28"/>
  <c r="Z657" i="28" s="1"/>
  <c r="T657" i="28"/>
  <c r="AA657" i="28" s="1"/>
  <c r="U657" i="28"/>
  <c r="AB657" i="28" s="1"/>
  <c r="V657" i="28"/>
  <c r="AC657" i="28" s="1"/>
  <c r="Q658" i="28"/>
  <c r="X658" i="28" s="1"/>
  <c r="R658" i="28"/>
  <c r="Y658" i="28" s="1"/>
  <c r="S658" i="28"/>
  <c r="Z658" i="28" s="1"/>
  <c r="T658" i="28"/>
  <c r="AA658" i="28" s="1"/>
  <c r="U658" i="28"/>
  <c r="AB658" i="28" s="1"/>
  <c r="V658" i="28"/>
  <c r="AC658" i="28" s="1"/>
  <c r="Q659" i="28"/>
  <c r="X659" i="28" s="1"/>
  <c r="R659" i="28"/>
  <c r="Y659" i="28" s="1"/>
  <c r="S659" i="28"/>
  <c r="Z659" i="28" s="1"/>
  <c r="T659" i="28"/>
  <c r="AA659" i="28" s="1"/>
  <c r="U659" i="28"/>
  <c r="AB659" i="28" s="1"/>
  <c r="V659" i="28"/>
  <c r="AC659" i="28" s="1"/>
  <c r="Q660" i="28"/>
  <c r="X660" i="28" s="1"/>
  <c r="R660" i="28"/>
  <c r="Y660" i="28" s="1"/>
  <c r="S660" i="28"/>
  <c r="Z660" i="28" s="1"/>
  <c r="T660" i="28"/>
  <c r="AA660" i="28" s="1"/>
  <c r="U660" i="28"/>
  <c r="AB660" i="28" s="1"/>
  <c r="V660" i="28"/>
  <c r="AC660" i="28" s="1"/>
  <c r="Q661" i="28"/>
  <c r="X661" i="28" s="1"/>
  <c r="R661" i="28"/>
  <c r="Y661" i="28" s="1"/>
  <c r="S661" i="28"/>
  <c r="Z661" i="28" s="1"/>
  <c r="T661" i="28"/>
  <c r="AA661" i="28" s="1"/>
  <c r="U661" i="28"/>
  <c r="AB661" i="28" s="1"/>
  <c r="V661" i="28"/>
  <c r="AC661" i="28" s="1"/>
  <c r="Q662" i="28"/>
  <c r="X662" i="28" s="1"/>
  <c r="R662" i="28"/>
  <c r="Y662" i="28" s="1"/>
  <c r="S662" i="28"/>
  <c r="Z662" i="28" s="1"/>
  <c r="T662" i="28"/>
  <c r="AA662" i="28" s="1"/>
  <c r="U662" i="28"/>
  <c r="AB662" i="28" s="1"/>
  <c r="V662" i="28"/>
  <c r="AC662" i="28" s="1"/>
  <c r="Q663" i="28"/>
  <c r="X663" i="28" s="1"/>
  <c r="R663" i="28"/>
  <c r="Y663" i="28" s="1"/>
  <c r="S663" i="28"/>
  <c r="Z663" i="28" s="1"/>
  <c r="T663" i="28"/>
  <c r="AA663" i="28" s="1"/>
  <c r="U663" i="28"/>
  <c r="AB663" i="28" s="1"/>
  <c r="V663" i="28"/>
  <c r="AC663" i="28" s="1"/>
  <c r="Q664" i="28"/>
  <c r="X664" i="28" s="1"/>
  <c r="R664" i="28"/>
  <c r="Y664" i="28" s="1"/>
  <c r="S664" i="28"/>
  <c r="Z664" i="28" s="1"/>
  <c r="T664" i="28"/>
  <c r="AA664" i="28" s="1"/>
  <c r="U664" i="28"/>
  <c r="AB664" i="28" s="1"/>
  <c r="Q665" i="28"/>
  <c r="X665" i="28" s="1"/>
  <c r="R665" i="28"/>
  <c r="Y665" i="28" s="1"/>
  <c r="S665" i="28"/>
  <c r="Z665" i="28" s="1"/>
  <c r="T665" i="28"/>
  <c r="AA665" i="28" s="1"/>
  <c r="U665" i="28"/>
  <c r="AB665" i="28" s="1"/>
  <c r="V665" i="28"/>
  <c r="AC665" i="28" s="1"/>
  <c r="Q666" i="28"/>
  <c r="X666" i="28" s="1"/>
  <c r="R666" i="28"/>
  <c r="Y666" i="28" s="1"/>
  <c r="S666" i="28"/>
  <c r="Z666" i="28" s="1"/>
  <c r="T666" i="28"/>
  <c r="AA666" i="28" s="1"/>
  <c r="U666" i="28"/>
  <c r="AB666" i="28" s="1"/>
  <c r="V666" i="28"/>
  <c r="AC666" i="28" s="1"/>
  <c r="Q667" i="28"/>
  <c r="X667" i="28" s="1"/>
  <c r="R667" i="28"/>
  <c r="Y667" i="28" s="1"/>
  <c r="S667" i="28"/>
  <c r="Z667" i="28" s="1"/>
  <c r="T667" i="28"/>
  <c r="AA667" i="28" s="1"/>
  <c r="U667" i="28"/>
  <c r="AB667" i="28" s="1"/>
  <c r="V667" i="28"/>
  <c r="AC667" i="28" s="1"/>
  <c r="Q668" i="28"/>
  <c r="X668" i="28" s="1"/>
  <c r="R668" i="28"/>
  <c r="Y668" i="28" s="1"/>
  <c r="S668" i="28"/>
  <c r="Z668" i="28" s="1"/>
  <c r="T668" i="28"/>
  <c r="AA668" i="28" s="1"/>
  <c r="U668" i="28"/>
  <c r="AB668" i="28" s="1"/>
  <c r="V668" i="28"/>
  <c r="AC668" i="28" s="1"/>
  <c r="Q669" i="28"/>
  <c r="X669" i="28" s="1"/>
  <c r="R669" i="28"/>
  <c r="Y669" i="28" s="1"/>
  <c r="S669" i="28"/>
  <c r="Z669" i="28" s="1"/>
  <c r="T669" i="28"/>
  <c r="AA669" i="28" s="1"/>
  <c r="U669" i="28"/>
  <c r="AB669" i="28" s="1"/>
  <c r="V669" i="28"/>
  <c r="AC669" i="28" s="1"/>
  <c r="Q670" i="28"/>
  <c r="X670" i="28" s="1"/>
  <c r="R670" i="28"/>
  <c r="Y670" i="28" s="1"/>
  <c r="S670" i="28"/>
  <c r="Z670" i="28" s="1"/>
  <c r="T670" i="28"/>
  <c r="AA670" i="28" s="1"/>
  <c r="U670" i="28"/>
  <c r="AB670" i="28" s="1"/>
  <c r="V670" i="28"/>
  <c r="AC670" i="28" s="1"/>
  <c r="Q671" i="28"/>
  <c r="X671" i="28" s="1"/>
  <c r="R671" i="28"/>
  <c r="Y671" i="28" s="1"/>
  <c r="S671" i="28"/>
  <c r="Z671" i="28" s="1"/>
  <c r="T671" i="28"/>
  <c r="AA671" i="28" s="1"/>
  <c r="U671" i="28"/>
  <c r="AB671" i="28" s="1"/>
  <c r="V671" i="28"/>
  <c r="AC671" i="28" s="1"/>
  <c r="Q672" i="28"/>
  <c r="X672" i="28" s="1"/>
  <c r="R672" i="28"/>
  <c r="Y672" i="28" s="1"/>
  <c r="S672" i="28"/>
  <c r="Z672" i="28" s="1"/>
  <c r="T672" i="28"/>
  <c r="AA672" i="28" s="1"/>
  <c r="U672" i="28"/>
  <c r="AB672" i="28" s="1"/>
  <c r="Q673" i="28"/>
  <c r="X673" i="28" s="1"/>
  <c r="R673" i="28"/>
  <c r="Y673" i="28" s="1"/>
  <c r="S673" i="28"/>
  <c r="Z673" i="28" s="1"/>
  <c r="T673" i="28"/>
  <c r="AA673" i="28" s="1"/>
  <c r="U673" i="28"/>
  <c r="AB673" i="28" s="1"/>
  <c r="V673" i="28"/>
  <c r="AC673" i="28" s="1"/>
  <c r="Q674" i="28"/>
  <c r="X674" i="28" s="1"/>
  <c r="R674" i="28"/>
  <c r="Y674" i="28" s="1"/>
  <c r="S674" i="28"/>
  <c r="Z674" i="28" s="1"/>
  <c r="T674" i="28"/>
  <c r="AA674" i="28" s="1"/>
  <c r="U674" i="28"/>
  <c r="AB674" i="28" s="1"/>
  <c r="V674" i="28"/>
  <c r="AC674" i="28" s="1"/>
  <c r="Q675" i="28"/>
  <c r="X675" i="28" s="1"/>
  <c r="R675" i="28"/>
  <c r="Y675" i="28" s="1"/>
  <c r="S675" i="28"/>
  <c r="Z675" i="28" s="1"/>
  <c r="T675" i="28"/>
  <c r="AA675" i="28" s="1"/>
  <c r="U675" i="28"/>
  <c r="AB675" i="28" s="1"/>
  <c r="V675" i="28"/>
  <c r="AC675" i="28" s="1"/>
  <c r="Q676" i="28"/>
  <c r="X676" i="28" s="1"/>
  <c r="R676" i="28"/>
  <c r="Y676" i="28" s="1"/>
  <c r="S676" i="28"/>
  <c r="Z676" i="28" s="1"/>
  <c r="T676" i="28"/>
  <c r="AA676" i="28" s="1"/>
  <c r="U676" i="28"/>
  <c r="AB676" i="28" s="1"/>
  <c r="V676" i="28"/>
  <c r="AC676" i="28" s="1"/>
  <c r="Q677" i="28"/>
  <c r="X677" i="28" s="1"/>
  <c r="R677" i="28"/>
  <c r="Y677" i="28" s="1"/>
  <c r="S677" i="28"/>
  <c r="Z677" i="28" s="1"/>
  <c r="T677" i="28"/>
  <c r="AA677" i="28" s="1"/>
  <c r="U677" i="28"/>
  <c r="AB677" i="28" s="1"/>
  <c r="V677" i="28"/>
  <c r="AC677" i="28" s="1"/>
  <c r="Q678" i="28"/>
  <c r="X678" i="28" s="1"/>
  <c r="R678" i="28"/>
  <c r="Y678" i="28" s="1"/>
  <c r="S678" i="28"/>
  <c r="Z678" i="28" s="1"/>
  <c r="T678" i="28"/>
  <c r="AA678" i="28" s="1"/>
  <c r="U678" i="28"/>
  <c r="AB678" i="28" s="1"/>
  <c r="V678" i="28"/>
  <c r="AC678" i="28" s="1"/>
  <c r="Q679" i="28"/>
  <c r="X679" i="28" s="1"/>
  <c r="R679" i="28"/>
  <c r="Y679" i="28" s="1"/>
  <c r="S679" i="28"/>
  <c r="Z679" i="28" s="1"/>
  <c r="T679" i="28"/>
  <c r="AA679" i="28" s="1"/>
  <c r="U679" i="28"/>
  <c r="AB679" i="28" s="1"/>
  <c r="V679" i="28"/>
  <c r="AC679" i="28" s="1"/>
  <c r="Q680" i="28"/>
  <c r="X680" i="28" s="1"/>
  <c r="R680" i="28"/>
  <c r="Y680" i="28" s="1"/>
  <c r="S680" i="28"/>
  <c r="Z680" i="28" s="1"/>
  <c r="T680" i="28"/>
  <c r="AA680" i="28" s="1"/>
  <c r="U680" i="28"/>
  <c r="AB680" i="28" s="1"/>
  <c r="Q681" i="28"/>
  <c r="X681" i="28" s="1"/>
  <c r="R681" i="28"/>
  <c r="Y681" i="28" s="1"/>
  <c r="S681" i="28"/>
  <c r="Z681" i="28" s="1"/>
  <c r="T681" i="28"/>
  <c r="AA681" i="28" s="1"/>
  <c r="U681" i="28"/>
  <c r="AB681" i="28" s="1"/>
  <c r="V681" i="28"/>
  <c r="AC681" i="28" s="1"/>
  <c r="Q682" i="28"/>
  <c r="X682" i="28" s="1"/>
  <c r="R682" i="28"/>
  <c r="Y682" i="28" s="1"/>
  <c r="S682" i="28"/>
  <c r="Z682" i="28" s="1"/>
  <c r="T682" i="28"/>
  <c r="AA682" i="28" s="1"/>
  <c r="U682" i="28"/>
  <c r="AB682" i="28" s="1"/>
  <c r="V682" i="28"/>
  <c r="AC682" i="28" s="1"/>
  <c r="Q683" i="28"/>
  <c r="X683" i="28" s="1"/>
  <c r="R683" i="28"/>
  <c r="Y683" i="28" s="1"/>
  <c r="S683" i="28"/>
  <c r="Z683" i="28" s="1"/>
  <c r="T683" i="28"/>
  <c r="AA683" i="28" s="1"/>
  <c r="U683" i="28"/>
  <c r="AB683" i="28" s="1"/>
  <c r="V683" i="28"/>
  <c r="AC683" i="28" s="1"/>
  <c r="Q684" i="28"/>
  <c r="X684" i="28" s="1"/>
  <c r="R684" i="28"/>
  <c r="Y684" i="28" s="1"/>
  <c r="S684" i="28"/>
  <c r="Z684" i="28" s="1"/>
  <c r="T684" i="28"/>
  <c r="AA684" i="28" s="1"/>
  <c r="U684" i="28"/>
  <c r="AB684" i="28" s="1"/>
  <c r="V684" i="28"/>
  <c r="AC684" i="28" s="1"/>
  <c r="Q685" i="28"/>
  <c r="X685" i="28" s="1"/>
  <c r="R685" i="28"/>
  <c r="Y685" i="28" s="1"/>
  <c r="S685" i="28"/>
  <c r="Z685" i="28" s="1"/>
  <c r="T685" i="28"/>
  <c r="AA685" i="28" s="1"/>
  <c r="U685" i="28"/>
  <c r="AB685" i="28" s="1"/>
  <c r="V685" i="28"/>
  <c r="AC685" i="28" s="1"/>
  <c r="Q686" i="28"/>
  <c r="X686" i="28" s="1"/>
  <c r="R686" i="28"/>
  <c r="Y686" i="28" s="1"/>
  <c r="S686" i="28"/>
  <c r="Z686" i="28" s="1"/>
  <c r="T686" i="28"/>
  <c r="AA686" i="28" s="1"/>
  <c r="U686" i="28"/>
  <c r="AB686" i="28" s="1"/>
  <c r="V686" i="28"/>
  <c r="AC686" i="28" s="1"/>
  <c r="Q687" i="28"/>
  <c r="X687" i="28" s="1"/>
  <c r="R687" i="28"/>
  <c r="Y687" i="28" s="1"/>
  <c r="S687" i="28"/>
  <c r="Z687" i="28" s="1"/>
  <c r="T687" i="28"/>
  <c r="AA687" i="28" s="1"/>
  <c r="U687" i="28"/>
  <c r="AB687" i="28" s="1"/>
  <c r="V687" i="28"/>
  <c r="AC687" i="28" s="1"/>
  <c r="Q688" i="28"/>
  <c r="X688" i="28" s="1"/>
  <c r="R688" i="28"/>
  <c r="Y688" i="28" s="1"/>
  <c r="S688" i="28"/>
  <c r="Z688" i="28" s="1"/>
  <c r="T688" i="28"/>
  <c r="AA688" i="28" s="1"/>
  <c r="U688" i="28"/>
  <c r="AB688" i="28" s="1"/>
  <c r="Q689" i="28"/>
  <c r="X689" i="28" s="1"/>
  <c r="R689" i="28"/>
  <c r="Y689" i="28" s="1"/>
  <c r="S689" i="28"/>
  <c r="Z689" i="28" s="1"/>
  <c r="T689" i="28"/>
  <c r="AA689" i="28" s="1"/>
  <c r="U689" i="28"/>
  <c r="AB689" i="28" s="1"/>
  <c r="V689" i="28"/>
  <c r="AC689" i="28" s="1"/>
  <c r="Q690" i="28"/>
  <c r="X690" i="28" s="1"/>
  <c r="R690" i="28"/>
  <c r="Y690" i="28" s="1"/>
  <c r="S690" i="28"/>
  <c r="Z690" i="28" s="1"/>
  <c r="T690" i="28"/>
  <c r="AA690" i="28" s="1"/>
  <c r="U690" i="28"/>
  <c r="AB690" i="28" s="1"/>
  <c r="V690" i="28"/>
  <c r="AC690" i="28" s="1"/>
  <c r="Q691" i="28"/>
  <c r="X691" i="28" s="1"/>
  <c r="R691" i="28"/>
  <c r="Y691" i="28" s="1"/>
  <c r="S691" i="28"/>
  <c r="Z691" i="28" s="1"/>
  <c r="T691" i="28"/>
  <c r="AA691" i="28" s="1"/>
  <c r="U691" i="28"/>
  <c r="AB691" i="28" s="1"/>
  <c r="V691" i="28"/>
  <c r="AC691" i="28" s="1"/>
  <c r="Q692" i="28"/>
  <c r="X692" i="28" s="1"/>
  <c r="R692" i="28"/>
  <c r="Y692" i="28" s="1"/>
  <c r="S692" i="28"/>
  <c r="Z692" i="28" s="1"/>
  <c r="T692" i="28"/>
  <c r="AA692" i="28" s="1"/>
  <c r="U692" i="28"/>
  <c r="AB692" i="28" s="1"/>
  <c r="V692" i="28"/>
  <c r="AC692" i="28" s="1"/>
  <c r="Q693" i="28"/>
  <c r="X693" i="28" s="1"/>
  <c r="R693" i="28"/>
  <c r="Y693" i="28" s="1"/>
  <c r="S693" i="28"/>
  <c r="Z693" i="28" s="1"/>
  <c r="T693" i="28"/>
  <c r="AA693" i="28" s="1"/>
  <c r="U693" i="28"/>
  <c r="AB693" i="28" s="1"/>
  <c r="V693" i="28"/>
  <c r="AC693" i="28" s="1"/>
  <c r="Q694" i="28"/>
  <c r="X694" i="28" s="1"/>
  <c r="R694" i="28"/>
  <c r="Y694" i="28" s="1"/>
  <c r="S694" i="28"/>
  <c r="Z694" i="28" s="1"/>
  <c r="T694" i="28"/>
  <c r="AA694" i="28" s="1"/>
  <c r="U694" i="28"/>
  <c r="AB694" i="28" s="1"/>
  <c r="V694" i="28"/>
  <c r="AC694" i="28" s="1"/>
  <c r="Q695" i="28"/>
  <c r="X695" i="28" s="1"/>
  <c r="R695" i="28"/>
  <c r="Y695" i="28" s="1"/>
  <c r="S695" i="28"/>
  <c r="Z695" i="28" s="1"/>
  <c r="T695" i="28"/>
  <c r="AA695" i="28" s="1"/>
  <c r="U695" i="28"/>
  <c r="AB695" i="28" s="1"/>
  <c r="V695" i="28"/>
  <c r="AC695" i="28" s="1"/>
  <c r="Q696" i="28"/>
  <c r="X696" i="28" s="1"/>
  <c r="R696" i="28"/>
  <c r="Y696" i="28" s="1"/>
  <c r="S696" i="28"/>
  <c r="Z696" i="28" s="1"/>
  <c r="T696" i="28"/>
  <c r="AA696" i="28" s="1"/>
  <c r="U696" i="28"/>
  <c r="AB696" i="28" s="1"/>
  <c r="Q697" i="28"/>
  <c r="X697" i="28" s="1"/>
  <c r="R697" i="28"/>
  <c r="Y697" i="28" s="1"/>
  <c r="S697" i="28"/>
  <c r="Z697" i="28" s="1"/>
  <c r="T697" i="28"/>
  <c r="AA697" i="28" s="1"/>
  <c r="U697" i="28"/>
  <c r="AB697" i="28" s="1"/>
  <c r="V697" i="28"/>
  <c r="AC697" i="28" s="1"/>
  <c r="Q698" i="28"/>
  <c r="X698" i="28" s="1"/>
  <c r="R698" i="28"/>
  <c r="Y698" i="28" s="1"/>
  <c r="S698" i="28"/>
  <c r="Z698" i="28" s="1"/>
  <c r="T698" i="28"/>
  <c r="AA698" i="28" s="1"/>
  <c r="U698" i="28"/>
  <c r="AB698" i="28" s="1"/>
  <c r="V698" i="28"/>
  <c r="AC698" i="28" s="1"/>
  <c r="Q699" i="28"/>
  <c r="X699" i="28" s="1"/>
  <c r="R699" i="28"/>
  <c r="Y699" i="28" s="1"/>
  <c r="S699" i="28"/>
  <c r="Z699" i="28" s="1"/>
  <c r="T699" i="28"/>
  <c r="AA699" i="28" s="1"/>
  <c r="U699" i="28"/>
  <c r="AB699" i="28" s="1"/>
  <c r="V699" i="28"/>
  <c r="AC699" i="28" s="1"/>
  <c r="Q700" i="28"/>
  <c r="X700" i="28" s="1"/>
  <c r="R700" i="28"/>
  <c r="Y700" i="28" s="1"/>
  <c r="S700" i="28"/>
  <c r="Z700" i="28" s="1"/>
  <c r="T700" i="28"/>
  <c r="AA700" i="28" s="1"/>
  <c r="U700" i="28"/>
  <c r="AB700" i="28" s="1"/>
  <c r="V700" i="28"/>
  <c r="AC700" i="28" s="1"/>
  <c r="Q701" i="28"/>
  <c r="X701" i="28" s="1"/>
  <c r="R701" i="28"/>
  <c r="Y701" i="28" s="1"/>
  <c r="S701" i="28"/>
  <c r="Z701" i="28" s="1"/>
  <c r="T701" i="28"/>
  <c r="AA701" i="28" s="1"/>
  <c r="U701" i="28"/>
  <c r="AB701" i="28" s="1"/>
  <c r="V701" i="28"/>
  <c r="AC701" i="28" s="1"/>
  <c r="Q702" i="28"/>
  <c r="X702" i="28" s="1"/>
  <c r="R702" i="28"/>
  <c r="Y702" i="28" s="1"/>
  <c r="S702" i="28"/>
  <c r="Z702" i="28" s="1"/>
  <c r="T702" i="28"/>
  <c r="AA702" i="28" s="1"/>
  <c r="U702" i="28"/>
  <c r="AB702" i="28" s="1"/>
  <c r="V702" i="28"/>
  <c r="AC702" i="28" s="1"/>
  <c r="Q703" i="28"/>
  <c r="X703" i="28" s="1"/>
  <c r="R703" i="28"/>
  <c r="Y703" i="28" s="1"/>
  <c r="S703" i="28"/>
  <c r="Z703" i="28" s="1"/>
  <c r="T703" i="28"/>
  <c r="AA703" i="28" s="1"/>
  <c r="U703" i="28"/>
  <c r="AB703" i="28" s="1"/>
  <c r="V703" i="28"/>
  <c r="AC703" i="28" s="1"/>
  <c r="Q704" i="28"/>
  <c r="X704" i="28" s="1"/>
  <c r="R704" i="28"/>
  <c r="Y704" i="28" s="1"/>
  <c r="S704" i="28"/>
  <c r="Z704" i="28" s="1"/>
  <c r="T704" i="28"/>
  <c r="AA704" i="28" s="1"/>
  <c r="U704" i="28"/>
  <c r="AB704" i="28" s="1"/>
  <c r="Q705" i="28"/>
  <c r="X705" i="28" s="1"/>
  <c r="R705" i="28"/>
  <c r="Y705" i="28" s="1"/>
  <c r="S705" i="28"/>
  <c r="Z705" i="28" s="1"/>
  <c r="T705" i="28"/>
  <c r="AA705" i="28" s="1"/>
  <c r="U705" i="28"/>
  <c r="AB705" i="28" s="1"/>
  <c r="V705" i="28"/>
  <c r="AC705" i="28" s="1"/>
  <c r="Q706" i="28"/>
  <c r="X706" i="28" s="1"/>
  <c r="R706" i="28"/>
  <c r="Y706" i="28" s="1"/>
  <c r="S706" i="28"/>
  <c r="Z706" i="28" s="1"/>
  <c r="T706" i="28"/>
  <c r="AA706" i="28" s="1"/>
  <c r="U706" i="28"/>
  <c r="AB706" i="28" s="1"/>
  <c r="V706" i="28"/>
  <c r="AC706" i="28" s="1"/>
  <c r="Q707" i="28"/>
  <c r="X707" i="28" s="1"/>
  <c r="R707" i="28"/>
  <c r="Y707" i="28" s="1"/>
  <c r="S707" i="28"/>
  <c r="Z707" i="28" s="1"/>
  <c r="T707" i="28"/>
  <c r="AA707" i="28" s="1"/>
  <c r="U707" i="28"/>
  <c r="AB707" i="28" s="1"/>
  <c r="V707" i="28"/>
  <c r="AC707" i="28" s="1"/>
  <c r="Q708" i="28"/>
  <c r="X708" i="28" s="1"/>
  <c r="R708" i="28"/>
  <c r="Y708" i="28" s="1"/>
  <c r="S708" i="28"/>
  <c r="Z708" i="28" s="1"/>
  <c r="T708" i="28"/>
  <c r="AA708" i="28" s="1"/>
  <c r="U708" i="28"/>
  <c r="AB708" i="28" s="1"/>
  <c r="V708" i="28"/>
  <c r="AC708" i="28" s="1"/>
  <c r="Q709" i="28"/>
  <c r="X709" i="28" s="1"/>
  <c r="R709" i="28"/>
  <c r="Y709" i="28" s="1"/>
  <c r="S709" i="28"/>
  <c r="Z709" i="28" s="1"/>
  <c r="T709" i="28"/>
  <c r="AA709" i="28" s="1"/>
  <c r="U709" i="28"/>
  <c r="AB709" i="28" s="1"/>
  <c r="V709" i="28"/>
  <c r="AC709" i="28" s="1"/>
  <c r="Q710" i="28"/>
  <c r="X710" i="28" s="1"/>
  <c r="R710" i="28"/>
  <c r="Y710" i="28" s="1"/>
  <c r="S710" i="28"/>
  <c r="Z710" i="28" s="1"/>
  <c r="T710" i="28"/>
  <c r="AA710" i="28" s="1"/>
  <c r="U710" i="28"/>
  <c r="AB710" i="28" s="1"/>
  <c r="V710" i="28"/>
  <c r="AC710" i="28" s="1"/>
  <c r="Q711" i="28"/>
  <c r="X711" i="28" s="1"/>
  <c r="R711" i="28"/>
  <c r="Y711" i="28" s="1"/>
  <c r="S711" i="28"/>
  <c r="Z711" i="28" s="1"/>
  <c r="T711" i="28"/>
  <c r="AA711" i="28" s="1"/>
  <c r="U711" i="28"/>
  <c r="AB711" i="28" s="1"/>
  <c r="V711" i="28"/>
  <c r="AC711" i="28" s="1"/>
  <c r="Q712" i="28"/>
  <c r="X712" i="28" s="1"/>
  <c r="R712" i="28"/>
  <c r="Y712" i="28" s="1"/>
  <c r="S712" i="28"/>
  <c r="Z712" i="28" s="1"/>
  <c r="T712" i="28"/>
  <c r="AA712" i="28" s="1"/>
  <c r="U712" i="28"/>
  <c r="AB712" i="28" s="1"/>
  <c r="Q713" i="28"/>
  <c r="X713" i="28" s="1"/>
  <c r="R713" i="28"/>
  <c r="Y713" i="28" s="1"/>
  <c r="S713" i="28"/>
  <c r="Z713" i="28" s="1"/>
  <c r="T713" i="28"/>
  <c r="AA713" i="28" s="1"/>
  <c r="U713" i="28"/>
  <c r="AB713" i="28" s="1"/>
  <c r="V713" i="28"/>
  <c r="AC713" i="28" s="1"/>
  <c r="Q714" i="28"/>
  <c r="X714" i="28" s="1"/>
  <c r="R714" i="28"/>
  <c r="Y714" i="28" s="1"/>
  <c r="S714" i="28"/>
  <c r="Z714" i="28" s="1"/>
  <c r="T714" i="28"/>
  <c r="AA714" i="28" s="1"/>
  <c r="U714" i="28"/>
  <c r="AB714" i="28" s="1"/>
  <c r="V714" i="28"/>
  <c r="AC714" i="28" s="1"/>
  <c r="Q715" i="28"/>
  <c r="X715" i="28" s="1"/>
  <c r="R715" i="28"/>
  <c r="Y715" i="28" s="1"/>
  <c r="S715" i="28"/>
  <c r="Z715" i="28" s="1"/>
  <c r="T715" i="28"/>
  <c r="AA715" i="28" s="1"/>
  <c r="U715" i="28"/>
  <c r="AB715" i="28" s="1"/>
  <c r="V715" i="28"/>
  <c r="AC715" i="28" s="1"/>
  <c r="Q716" i="28"/>
  <c r="X716" i="28" s="1"/>
  <c r="R716" i="28"/>
  <c r="Y716" i="28" s="1"/>
  <c r="S716" i="28"/>
  <c r="Z716" i="28" s="1"/>
  <c r="T716" i="28"/>
  <c r="AA716" i="28" s="1"/>
  <c r="U716" i="28"/>
  <c r="AB716" i="28" s="1"/>
  <c r="V716" i="28"/>
  <c r="AC716" i="28" s="1"/>
  <c r="Q717" i="28"/>
  <c r="X717" i="28" s="1"/>
  <c r="R717" i="28"/>
  <c r="Y717" i="28" s="1"/>
  <c r="S717" i="28"/>
  <c r="Z717" i="28" s="1"/>
  <c r="T717" i="28"/>
  <c r="AA717" i="28" s="1"/>
  <c r="U717" i="28"/>
  <c r="AB717" i="28" s="1"/>
  <c r="V717" i="28"/>
  <c r="AC717" i="28" s="1"/>
  <c r="Q718" i="28"/>
  <c r="X718" i="28" s="1"/>
  <c r="R718" i="28"/>
  <c r="Y718" i="28" s="1"/>
  <c r="S718" i="28"/>
  <c r="Z718" i="28" s="1"/>
  <c r="T718" i="28"/>
  <c r="AA718" i="28" s="1"/>
  <c r="U718" i="28"/>
  <c r="AB718" i="28" s="1"/>
  <c r="V718" i="28"/>
  <c r="AC718" i="28" s="1"/>
  <c r="Q719" i="28"/>
  <c r="X719" i="28" s="1"/>
  <c r="R719" i="28"/>
  <c r="Y719" i="28" s="1"/>
  <c r="S719" i="28"/>
  <c r="Z719" i="28" s="1"/>
  <c r="T719" i="28"/>
  <c r="AA719" i="28" s="1"/>
  <c r="U719" i="28"/>
  <c r="AB719" i="28" s="1"/>
  <c r="V719" i="28"/>
  <c r="AC719" i="28" s="1"/>
  <c r="Q720" i="28"/>
  <c r="X720" i="28" s="1"/>
  <c r="R720" i="28"/>
  <c r="Y720" i="28" s="1"/>
  <c r="S720" i="28"/>
  <c r="Z720" i="28" s="1"/>
  <c r="T720" i="28"/>
  <c r="AA720" i="28" s="1"/>
  <c r="U720" i="28"/>
  <c r="AB720" i="28" s="1"/>
  <c r="Q721" i="28"/>
  <c r="X721" i="28" s="1"/>
  <c r="R721" i="28"/>
  <c r="Y721" i="28" s="1"/>
  <c r="S721" i="28"/>
  <c r="Z721" i="28" s="1"/>
  <c r="T721" i="28"/>
  <c r="AA721" i="28" s="1"/>
  <c r="U721" i="28"/>
  <c r="AB721" i="28" s="1"/>
  <c r="V721" i="28"/>
  <c r="AC721" i="28" s="1"/>
  <c r="Q722" i="28"/>
  <c r="X722" i="28" s="1"/>
  <c r="R722" i="28"/>
  <c r="Y722" i="28" s="1"/>
  <c r="S722" i="28"/>
  <c r="Z722" i="28" s="1"/>
  <c r="T722" i="28"/>
  <c r="AA722" i="28" s="1"/>
  <c r="U722" i="28"/>
  <c r="AB722" i="28" s="1"/>
  <c r="V722" i="28"/>
  <c r="AC722" i="28" s="1"/>
  <c r="Q723" i="28"/>
  <c r="X723" i="28" s="1"/>
  <c r="R723" i="28"/>
  <c r="Y723" i="28" s="1"/>
  <c r="S723" i="28"/>
  <c r="Z723" i="28" s="1"/>
  <c r="T723" i="28"/>
  <c r="AA723" i="28" s="1"/>
  <c r="U723" i="28"/>
  <c r="AB723" i="28" s="1"/>
  <c r="V723" i="28"/>
  <c r="AC723" i="28" s="1"/>
  <c r="Q724" i="28"/>
  <c r="X724" i="28" s="1"/>
  <c r="R724" i="28"/>
  <c r="Y724" i="28" s="1"/>
  <c r="S724" i="28"/>
  <c r="Z724" i="28" s="1"/>
  <c r="T724" i="28"/>
  <c r="AA724" i="28" s="1"/>
  <c r="U724" i="28"/>
  <c r="AB724" i="28" s="1"/>
  <c r="V724" i="28"/>
  <c r="AC724" i="28" s="1"/>
  <c r="Q725" i="28"/>
  <c r="X725" i="28" s="1"/>
  <c r="R725" i="28"/>
  <c r="Y725" i="28" s="1"/>
  <c r="S725" i="28"/>
  <c r="Z725" i="28" s="1"/>
  <c r="T725" i="28"/>
  <c r="AA725" i="28" s="1"/>
  <c r="U725" i="28"/>
  <c r="AB725" i="28" s="1"/>
  <c r="V725" i="28"/>
  <c r="AC725" i="28" s="1"/>
  <c r="Q726" i="28"/>
  <c r="X726" i="28" s="1"/>
  <c r="R726" i="28"/>
  <c r="Y726" i="28" s="1"/>
  <c r="S726" i="28"/>
  <c r="Z726" i="28" s="1"/>
  <c r="T726" i="28"/>
  <c r="AA726" i="28" s="1"/>
  <c r="U726" i="28"/>
  <c r="AB726" i="28" s="1"/>
  <c r="V726" i="28"/>
  <c r="AC726" i="28" s="1"/>
  <c r="Q727" i="28"/>
  <c r="X727" i="28" s="1"/>
  <c r="R727" i="28"/>
  <c r="Y727" i="28" s="1"/>
  <c r="S727" i="28"/>
  <c r="Z727" i="28" s="1"/>
  <c r="T727" i="28"/>
  <c r="AA727" i="28" s="1"/>
  <c r="U727" i="28"/>
  <c r="AB727" i="28" s="1"/>
  <c r="V727" i="28"/>
  <c r="AC727" i="28" s="1"/>
  <c r="Q728" i="28"/>
  <c r="X728" i="28" s="1"/>
  <c r="R728" i="28"/>
  <c r="Y728" i="28" s="1"/>
  <c r="S728" i="28"/>
  <c r="Z728" i="28" s="1"/>
  <c r="T728" i="28"/>
  <c r="AA728" i="28" s="1"/>
  <c r="U728" i="28"/>
  <c r="AB728" i="28" s="1"/>
  <c r="Q729" i="28"/>
  <c r="X729" i="28" s="1"/>
  <c r="R729" i="28"/>
  <c r="Y729" i="28" s="1"/>
  <c r="S729" i="28"/>
  <c r="Z729" i="28" s="1"/>
  <c r="T729" i="28"/>
  <c r="AA729" i="28" s="1"/>
  <c r="U729" i="28"/>
  <c r="AB729" i="28" s="1"/>
  <c r="V729" i="28"/>
  <c r="AC729" i="28" s="1"/>
  <c r="Q730" i="28"/>
  <c r="X730" i="28" s="1"/>
  <c r="R730" i="28"/>
  <c r="Y730" i="28" s="1"/>
  <c r="S730" i="28"/>
  <c r="Z730" i="28" s="1"/>
  <c r="T730" i="28"/>
  <c r="AA730" i="28" s="1"/>
  <c r="U730" i="28"/>
  <c r="AB730" i="28" s="1"/>
  <c r="V730" i="28"/>
  <c r="AC730" i="28" s="1"/>
  <c r="Q731" i="28"/>
  <c r="X731" i="28" s="1"/>
  <c r="R731" i="28"/>
  <c r="Y731" i="28" s="1"/>
  <c r="S731" i="28"/>
  <c r="Z731" i="28" s="1"/>
  <c r="T731" i="28"/>
  <c r="AA731" i="28" s="1"/>
  <c r="U731" i="28"/>
  <c r="AB731" i="28" s="1"/>
  <c r="V731" i="28"/>
  <c r="AC731" i="28" s="1"/>
  <c r="Q732" i="28"/>
  <c r="X732" i="28" s="1"/>
  <c r="R732" i="28"/>
  <c r="Y732" i="28" s="1"/>
  <c r="S732" i="28"/>
  <c r="Z732" i="28" s="1"/>
  <c r="T732" i="28"/>
  <c r="AA732" i="28" s="1"/>
  <c r="U732" i="28"/>
  <c r="AB732" i="28" s="1"/>
  <c r="V732" i="28"/>
  <c r="AC732" i="28" s="1"/>
  <c r="Q733" i="28"/>
  <c r="X733" i="28" s="1"/>
  <c r="R733" i="28"/>
  <c r="Y733" i="28" s="1"/>
  <c r="S733" i="28"/>
  <c r="Z733" i="28" s="1"/>
  <c r="T733" i="28"/>
  <c r="AA733" i="28" s="1"/>
  <c r="U733" i="28"/>
  <c r="AB733" i="28" s="1"/>
  <c r="V733" i="28"/>
  <c r="AC733" i="28" s="1"/>
  <c r="Q734" i="28"/>
  <c r="X734" i="28" s="1"/>
  <c r="R734" i="28"/>
  <c r="Y734" i="28" s="1"/>
  <c r="S734" i="28"/>
  <c r="Z734" i="28" s="1"/>
  <c r="T734" i="28"/>
  <c r="AA734" i="28" s="1"/>
  <c r="U734" i="28"/>
  <c r="AB734" i="28" s="1"/>
  <c r="V734" i="28"/>
  <c r="AC734" i="28" s="1"/>
  <c r="Q735" i="28"/>
  <c r="X735" i="28" s="1"/>
  <c r="R735" i="28"/>
  <c r="Y735" i="28" s="1"/>
  <c r="S735" i="28"/>
  <c r="Z735" i="28" s="1"/>
  <c r="T735" i="28"/>
  <c r="AA735" i="28" s="1"/>
  <c r="U735" i="28"/>
  <c r="AB735" i="28" s="1"/>
  <c r="V735" i="28"/>
  <c r="AC735" i="28" s="1"/>
  <c r="Q736" i="28"/>
  <c r="X736" i="28" s="1"/>
  <c r="R736" i="28"/>
  <c r="Y736" i="28" s="1"/>
  <c r="S736" i="28"/>
  <c r="Z736" i="28" s="1"/>
  <c r="T736" i="28"/>
  <c r="AA736" i="28" s="1"/>
  <c r="U736" i="28"/>
  <c r="AB736" i="28" s="1"/>
  <c r="Q737" i="28"/>
  <c r="X737" i="28" s="1"/>
  <c r="R737" i="28"/>
  <c r="Y737" i="28" s="1"/>
  <c r="S737" i="28"/>
  <c r="Z737" i="28" s="1"/>
  <c r="T737" i="28"/>
  <c r="AA737" i="28" s="1"/>
  <c r="U737" i="28"/>
  <c r="AB737" i="28" s="1"/>
  <c r="V737" i="28"/>
  <c r="AC737" i="28" s="1"/>
  <c r="Q738" i="28"/>
  <c r="X738" i="28" s="1"/>
  <c r="R738" i="28"/>
  <c r="Y738" i="28" s="1"/>
  <c r="S738" i="28"/>
  <c r="Z738" i="28" s="1"/>
  <c r="T738" i="28"/>
  <c r="AA738" i="28" s="1"/>
  <c r="U738" i="28"/>
  <c r="AB738" i="28" s="1"/>
  <c r="V738" i="28"/>
  <c r="AC738" i="28" s="1"/>
  <c r="Q739" i="28"/>
  <c r="X739" i="28" s="1"/>
  <c r="R739" i="28"/>
  <c r="Y739" i="28" s="1"/>
  <c r="S739" i="28"/>
  <c r="Z739" i="28" s="1"/>
  <c r="T739" i="28"/>
  <c r="AA739" i="28" s="1"/>
  <c r="U739" i="28"/>
  <c r="AB739" i="28" s="1"/>
  <c r="V739" i="28"/>
  <c r="AC739" i="28" s="1"/>
  <c r="Q740" i="28"/>
  <c r="X740" i="28" s="1"/>
  <c r="R740" i="28"/>
  <c r="Y740" i="28" s="1"/>
  <c r="S740" i="28"/>
  <c r="Z740" i="28" s="1"/>
  <c r="T740" i="28"/>
  <c r="AA740" i="28" s="1"/>
  <c r="U740" i="28"/>
  <c r="AB740" i="28" s="1"/>
  <c r="V740" i="28"/>
  <c r="AC740" i="28" s="1"/>
  <c r="Q741" i="28"/>
  <c r="X741" i="28" s="1"/>
  <c r="R741" i="28"/>
  <c r="Y741" i="28" s="1"/>
  <c r="S741" i="28"/>
  <c r="Z741" i="28" s="1"/>
  <c r="T741" i="28"/>
  <c r="AA741" i="28" s="1"/>
  <c r="U741" i="28"/>
  <c r="AB741" i="28" s="1"/>
  <c r="V741" i="28"/>
  <c r="AC741" i="28" s="1"/>
  <c r="Q742" i="28"/>
  <c r="X742" i="28" s="1"/>
  <c r="R742" i="28"/>
  <c r="Y742" i="28" s="1"/>
  <c r="S742" i="28"/>
  <c r="Z742" i="28" s="1"/>
  <c r="T742" i="28"/>
  <c r="AA742" i="28" s="1"/>
  <c r="U742" i="28"/>
  <c r="AB742" i="28" s="1"/>
  <c r="V742" i="28"/>
  <c r="AC742" i="28" s="1"/>
  <c r="Q743" i="28"/>
  <c r="X743" i="28" s="1"/>
  <c r="R743" i="28"/>
  <c r="Y743" i="28" s="1"/>
  <c r="S743" i="28"/>
  <c r="Z743" i="28" s="1"/>
  <c r="T743" i="28"/>
  <c r="AA743" i="28" s="1"/>
  <c r="U743" i="28"/>
  <c r="AB743" i="28" s="1"/>
  <c r="V743" i="28"/>
  <c r="AC743" i="28" s="1"/>
  <c r="Q744" i="28"/>
  <c r="X744" i="28" s="1"/>
  <c r="R744" i="28"/>
  <c r="Y744" i="28" s="1"/>
  <c r="S744" i="28"/>
  <c r="Z744" i="28" s="1"/>
  <c r="T744" i="28"/>
  <c r="AA744" i="28" s="1"/>
  <c r="U744" i="28"/>
  <c r="AB744" i="28" s="1"/>
  <c r="Q745" i="28"/>
  <c r="X745" i="28" s="1"/>
  <c r="R745" i="28"/>
  <c r="Y745" i="28" s="1"/>
  <c r="S745" i="28"/>
  <c r="Z745" i="28" s="1"/>
  <c r="T745" i="28"/>
  <c r="AA745" i="28" s="1"/>
  <c r="U745" i="28"/>
  <c r="AB745" i="28" s="1"/>
  <c r="V745" i="28"/>
  <c r="AC745" i="28" s="1"/>
  <c r="Q746" i="28"/>
  <c r="X746" i="28" s="1"/>
  <c r="R746" i="28"/>
  <c r="Y746" i="28" s="1"/>
  <c r="S746" i="28"/>
  <c r="Z746" i="28" s="1"/>
  <c r="T746" i="28"/>
  <c r="AA746" i="28" s="1"/>
  <c r="U746" i="28"/>
  <c r="AB746" i="28" s="1"/>
  <c r="V746" i="28"/>
  <c r="AC746" i="28" s="1"/>
  <c r="Q747" i="28"/>
  <c r="X747" i="28" s="1"/>
  <c r="R747" i="28"/>
  <c r="Y747" i="28" s="1"/>
  <c r="S747" i="28"/>
  <c r="Z747" i="28" s="1"/>
  <c r="T747" i="28"/>
  <c r="AA747" i="28" s="1"/>
  <c r="U747" i="28"/>
  <c r="AB747" i="28" s="1"/>
  <c r="V747" i="28"/>
  <c r="AC747" i="28" s="1"/>
  <c r="Q748" i="28"/>
  <c r="X748" i="28" s="1"/>
  <c r="R748" i="28"/>
  <c r="Y748" i="28" s="1"/>
  <c r="S748" i="28"/>
  <c r="Z748" i="28" s="1"/>
  <c r="T748" i="28"/>
  <c r="AA748" i="28" s="1"/>
  <c r="U748" i="28"/>
  <c r="AB748" i="28" s="1"/>
  <c r="V748" i="28"/>
  <c r="AC748" i="28" s="1"/>
  <c r="Q749" i="28"/>
  <c r="X749" i="28" s="1"/>
  <c r="R749" i="28"/>
  <c r="Y749" i="28" s="1"/>
  <c r="S749" i="28"/>
  <c r="Z749" i="28" s="1"/>
  <c r="T749" i="28"/>
  <c r="AA749" i="28" s="1"/>
  <c r="U749" i="28"/>
  <c r="AB749" i="28" s="1"/>
  <c r="V749" i="28"/>
  <c r="AC749" i="28" s="1"/>
  <c r="Q750" i="28"/>
  <c r="X750" i="28" s="1"/>
  <c r="R750" i="28"/>
  <c r="Y750" i="28" s="1"/>
  <c r="S750" i="28"/>
  <c r="Z750" i="28" s="1"/>
  <c r="T750" i="28"/>
  <c r="AA750" i="28" s="1"/>
  <c r="U750" i="28"/>
  <c r="AB750" i="28" s="1"/>
  <c r="V750" i="28"/>
  <c r="AC750" i="28" s="1"/>
  <c r="Q751" i="28"/>
  <c r="X751" i="28" s="1"/>
  <c r="R751" i="28"/>
  <c r="Y751" i="28" s="1"/>
  <c r="S751" i="28"/>
  <c r="Z751" i="28" s="1"/>
  <c r="T751" i="28"/>
  <c r="AA751" i="28" s="1"/>
  <c r="U751" i="28"/>
  <c r="AB751" i="28" s="1"/>
  <c r="V751" i="28"/>
  <c r="AC751" i="28" s="1"/>
  <c r="Q752" i="28"/>
  <c r="X752" i="28" s="1"/>
  <c r="R752" i="28"/>
  <c r="Y752" i="28" s="1"/>
  <c r="S752" i="28"/>
  <c r="Z752" i="28" s="1"/>
  <c r="T752" i="28"/>
  <c r="AA752" i="28" s="1"/>
  <c r="U752" i="28"/>
  <c r="AB752" i="28" s="1"/>
  <c r="Q753" i="28"/>
  <c r="X753" i="28" s="1"/>
  <c r="R753" i="28"/>
  <c r="Y753" i="28" s="1"/>
  <c r="S753" i="28"/>
  <c r="Z753" i="28" s="1"/>
  <c r="T753" i="28"/>
  <c r="AA753" i="28" s="1"/>
  <c r="U753" i="28"/>
  <c r="AB753" i="28" s="1"/>
  <c r="V753" i="28"/>
  <c r="AC753" i="28" s="1"/>
  <c r="Q754" i="28"/>
  <c r="X754" i="28" s="1"/>
  <c r="R754" i="28"/>
  <c r="Y754" i="28" s="1"/>
  <c r="S754" i="28"/>
  <c r="Z754" i="28" s="1"/>
  <c r="T754" i="28"/>
  <c r="AA754" i="28" s="1"/>
  <c r="U754" i="28"/>
  <c r="AB754" i="28" s="1"/>
  <c r="V754" i="28"/>
  <c r="AC754" i="28" s="1"/>
  <c r="Q755" i="28"/>
  <c r="X755" i="28" s="1"/>
  <c r="R755" i="28"/>
  <c r="Y755" i="28" s="1"/>
  <c r="S755" i="28"/>
  <c r="Z755" i="28" s="1"/>
  <c r="T755" i="28"/>
  <c r="AA755" i="28" s="1"/>
  <c r="U755" i="28"/>
  <c r="AB755" i="28" s="1"/>
  <c r="V755" i="28"/>
  <c r="AC755" i="28" s="1"/>
  <c r="Q756" i="28"/>
  <c r="X756" i="28" s="1"/>
  <c r="R756" i="28"/>
  <c r="Y756" i="28" s="1"/>
  <c r="S756" i="28"/>
  <c r="Z756" i="28" s="1"/>
  <c r="T756" i="28"/>
  <c r="AA756" i="28" s="1"/>
  <c r="U756" i="28"/>
  <c r="AB756" i="28" s="1"/>
  <c r="V756" i="28"/>
  <c r="AC756" i="28" s="1"/>
  <c r="Q757" i="28"/>
  <c r="X757" i="28" s="1"/>
  <c r="R757" i="28"/>
  <c r="Y757" i="28" s="1"/>
  <c r="S757" i="28"/>
  <c r="Z757" i="28" s="1"/>
  <c r="T757" i="28"/>
  <c r="AA757" i="28" s="1"/>
  <c r="U757" i="28"/>
  <c r="AB757" i="28" s="1"/>
  <c r="V757" i="28"/>
  <c r="AC757" i="28" s="1"/>
  <c r="Q758" i="28"/>
  <c r="X758" i="28" s="1"/>
  <c r="R758" i="28"/>
  <c r="Y758" i="28" s="1"/>
  <c r="S758" i="28"/>
  <c r="Z758" i="28" s="1"/>
  <c r="T758" i="28"/>
  <c r="AA758" i="28" s="1"/>
  <c r="U758" i="28"/>
  <c r="AB758" i="28" s="1"/>
  <c r="V758" i="28"/>
  <c r="AC758" i="28" s="1"/>
  <c r="Q759" i="28"/>
  <c r="X759" i="28" s="1"/>
  <c r="R759" i="28"/>
  <c r="Y759" i="28" s="1"/>
  <c r="S759" i="28"/>
  <c r="Z759" i="28" s="1"/>
  <c r="T759" i="28"/>
  <c r="AA759" i="28" s="1"/>
  <c r="U759" i="28"/>
  <c r="AB759" i="28" s="1"/>
  <c r="V759" i="28"/>
  <c r="AC759" i="28" s="1"/>
  <c r="Q760" i="28"/>
  <c r="X760" i="28" s="1"/>
  <c r="R760" i="28"/>
  <c r="Y760" i="28" s="1"/>
  <c r="S760" i="28"/>
  <c r="Z760" i="28" s="1"/>
  <c r="T760" i="28"/>
  <c r="AA760" i="28" s="1"/>
  <c r="U760" i="28"/>
  <c r="AB760" i="28" s="1"/>
  <c r="Q761" i="28"/>
  <c r="X761" i="28" s="1"/>
  <c r="R761" i="28"/>
  <c r="Y761" i="28" s="1"/>
  <c r="S761" i="28"/>
  <c r="Z761" i="28" s="1"/>
  <c r="T761" i="28"/>
  <c r="AA761" i="28" s="1"/>
  <c r="U761" i="28"/>
  <c r="AB761" i="28" s="1"/>
  <c r="V761" i="28"/>
  <c r="AC761" i="28" s="1"/>
  <c r="Q762" i="28"/>
  <c r="X762" i="28" s="1"/>
  <c r="R762" i="28"/>
  <c r="Y762" i="28" s="1"/>
  <c r="S762" i="28"/>
  <c r="Z762" i="28" s="1"/>
  <c r="T762" i="28"/>
  <c r="AA762" i="28" s="1"/>
  <c r="U762" i="28"/>
  <c r="AB762" i="28" s="1"/>
  <c r="V762" i="28"/>
  <c r="AC762" i="28" s="1"/>
  <c r="Q763" i="28"/>
  <c r="X763" i="28" s="1"/>
  <c r="R763" i="28"/>
  <c r="Y763" i="28" s="1"/>
  <c r="S763" i="28"/>
  <c r="Z763" i="28" s="1"/>
  <c r="T763" i="28"/>
  <c r="AA763" i="28" s="1"/>
  <c r="U763" i="28"/>
  <c r="AB763" i="28" s="1"/>
  <c r="V763" i="28"/>
  <c r="AC763" i="28" s="1"/>
  <c r="Q764" i="28"/>
  <c r="X764" i="28" s="1"/>
  <c r="R764" i="28"/>
  <c r="Y764" i="28" s="1"/>
  <c r="S764" i="28"/>
  <c r="Z764" i="28" s="1"/>
  <c r="T764" i="28"/>
  <c r="AA764" i="28" s="1"/>
  <c r="U764" i="28"/>
  <c r="AB764" i="28" s="1"/>
  <c r="V764" i="28"/>
  <c r="AC764" i="28" s="1"/>
  <c r="Q765" i="28"/>
  <c r="X765" i="28" s="1"/>
  <c r="R765" i="28"/>
  <c r="Y765" i="28" s="1"/>
  <c r="S765" i="28"/>
  <c r="Z765" i="28" s="1"/>
  <c r="T765" i="28"/>
  <c r="AA765" i="28" s="1"/>
  <c r="U765" i="28"/>
  <c r="AB765" i="28" s="1"/>
  <c r="V765" i="28"/>
  <c r="AC765" i="28" s="1"/>
  <c r="Q766" i="28"/>
  <c r="X766" i="28" s="1"/>
  <c r="R766" i="28"/>
  <c r="Y766" i="28" s="1"/>
  <c r="S766" i="28"/>
  <c r="Z766" i="28" s="1"/>
  <c r="T766" i="28"/>
  <c r="AA766" i="28" s="1"/>
  <c r="U766" i="28"/>
  <c r="AB766" i="28" s="1"/>
  <c r="V766" i="28"/>
  <c r="AC766" i="28" s="1"/>
  <c r="Q767" i="28"/>
  <c r="X767" i="28" s="1"/>
  <c r="R767" i="28"/>
  <c r="Y767" i="28" s="1"/>
  <c r="S767" i="28"/>
  <c r="Z767" i="28" s="1"/>
  <c r="T767" i="28"/>
  <c r="AA767" i="28" s="1"/>
  <c r="U767" i="28"/>
  <c r="AB767" i="28" s="1"/>
  <c r="V767" i="28"/>
  <c r="AC767" i="28" s="1"/>
  <c r="Q768" i="28"/>
  <c r="X768" i="28" s="1"/>
  <c r="R768" i="28"/>
  <c r="Y768" i="28" s="1"/>
  <c r="S768" i="28"/>
  <c r="Z768" i="28" s="1"/>
  <c r="T768" i="28"/>
  <c r="AA768" i="28" s="1"/>
  <c r="U768" i="28"/>
  <c r="AB768" i="28" s="1"/>
  <c r="Q769" i="28"/>
  <c r="X769" i="28" s="1"/>
  <c r="R769" i="28"/>
  <c r="Y769" i="28" s="1"/>
  <c r="S769" i="28"/>
  <c r="Z769" i="28" s="1"/>
  <c r="T769" i="28"/>
  <c r="AA769" i="28" s="1"/>
  <c r="U769" i="28"/>
  <c r="AB769" i="28" s="1"/>
  <c r="V769" i="28"/>
  <c r="AC769" i="28" s="1"/>
  <c r="Q770" i="28"/>
  <c r="X770" i="28" s="1"/>
  <c r="R770" i="28"/>
  <c r="Y770" i="28" s="1"/>
  <c r="S770" i="28"/>
  <c r="Z770" i="28" s="1"/>
  <c r="T770" i="28"/>
  <c r="AA770" i="28" s="1"/>
  <c r="U770" i="28"/>
  <c r="AB770" i="28" s="1"/>
  <c r="V770" i="28"/>
  <c r="AC770" i="28" s="1"/>
  <c r="Q771" i="28"/>
  <c r="X771" i="28" s="1"/>
  <c r="R771" i="28"/>
  <c r="Y771" i="28" s="1"/>
  <c r="S771" i="28"/>
  <c r="Z771" i="28" s="1"/>
  <c r="T771" i="28"/>
  <c r="AA771" i="28" s="1"/>
  <c r="U771" i="28"/>
  <c r="AB771" i="28" s="1"/>
  <c r="V771" i="28"/>
  <c r="AC771" i="28" s="1"/>
  <c r="Q772" i="28"/>
  <c r="X772" i="28" s="1"/>
  <c r="R772" i="28"/>
  <c r="Y772" i="28" s="1"/>
  <c r="S772" i="28"/>
  <c r="Z772" i="28" s="1"/>
  <c r="T772" i="28"/>
  <c r="AA772" i="28" s="1"/>
  <c r="U772" i="28"/>
  <c r="AB772" i="28" s="1"/>
  <c r="V772" i="28"/>
  <c r="AC772" i="28" s="1"/>
  <c r="Q773" i="28"/>
  <c r="X773" i="28" s="1"/>
  <c r="R773" i="28"/>
  <c r="Y773" i="28" s="1"/>
  <c r="S773" i="28"/>
  <c r="Z773" i="28" s="1"/>
  <c r="T773" i="28"/>
  <c r="AA773" i="28" s="1"/>
  <c r="U773" i="28"/>
  <c r="AB773" i="28" s="1"/>
  <c r="V773" i="28"/>
  <c r="AC773" i="28" s="1"/>
  <c r="Q774" i="28"/>
  <c r="X774" i="28" s="1"/>
  <c r="R774" i="28"/>
  <c r="Y774" i="28" s="1"/>
  <c r="S774" i="28"/>
  <c r="Z774" i="28" s="1"/>
  <c r="T774" i="28"/>
  <c r="AA774" i="28" s="1"/>
  <c r="U774" i="28"/>
  <c r="AB774" i="28" s="1"/>
  <c r="V774" i="28"/>
  <c r="AC774" i="28" s="1"/>
  <c r="Q775" i="28"/>
  <c r="X775" i="28" s="1"/>
  <c r="R775" i="28"/>
  <c r="Y775" i="28" s="1"/>
  <c r="S775" i="28"/>
  <c r="Z775" i="28" s="1"/>
  <c r="T775" i="28"/>
  <c r="AA775" i="28" s="1"/>
  <c r="U775" i="28"/>
  <c r="AB775" i="28" s="1"/>
  <c r="V775" i="28"/>
  <c r="AC775" i="28" s="1"/>
  <c r="Q776" i="28"/>
  <c r="X776" i="28" s="1"/>
  <c r="R776" i="28"/>
  <c r="Y776" i="28" s="1"/>
  <c r="S776" i="28"/>
  <c r="Z776" i="28" s="1"/>
  <c r="T776" i="28"/>
  <c r="AA776" i="28" s="1"/>
  <c r="U776" i="28"/>
  <c r="AB776" i="28" s="1"/>
  <c r="Q777" i="28"/>
  <c r="X777" i="28" s="1"/>
  <c r="R777" i="28"/>
  <c r="Y777" i="28" s="1"/>
  <c r="S777" i="28"/>
  <c r="Z777" i="28" s="1"/>
  <c r="T777" i="28"/>
  <c r="AA777" i="28" s="1"/>
  <c r="U777" i="28"/>
  <c r="AB777" i="28" s="1"/>
  <c r="V777" i="28"/>
  <c r="AC777" i="28" s="1"/>
  <c r="Q778" i="28"/>
  <c r="X778" i="28" s="1"/>
  <c r="R778" i="28"/>
  <c r="Y778" i="28" s="1"/>
  <c r="S778" i="28"/>
  <c r="Z778" i="28" s="1"/>
  <c r="T778" i="28"/>
  <c r="AA778" i="28" s="1"/>
  <c r="U778" i="28"/>
  <c r="AB778" i="28" s="1"/>
  <c r="V778" i="28"/>
  <c r="AC778" i="28" s="1"/>
  <c r="Q779" i="28"/>
  <c r="X779" i="28" s="1"/>
  <c r="R779" i="28"/>
  <c r="Y779" i="28" s="1"/>
  <c r="S779" i="28"/>
  <c r="Z779" i="28" s="1"/>
  <c r="T779" i="28"/>
  <c r="AA779" i="28" s="1"/>
  <c r="U779" i="28"/>
  <c r="AB779" i="28" s="1"/>
  <c r="V779" i="28"/>
  <c r="AC779" i="28" s="1"/>
  <c r="Q780" i="28"/>
  <c r="X780" i="28" s="1"/>
  <c r="R780" i="28"/>
  <c r="Y780" i="28" s="1"/>
  <c r="S780" i="28"/>
  <c r="Z780" i="28" s="1"/>
  <c r="T780" i="28"/>
  <c r="AA780" i="28" s="1"/>
  <c r="U780" i="28"/>
  <c r="AB780" i="28" s="1"/>
  <c r="V780" i="28"/>
  <c r="AC780" i="28" s="1"/>
  <c r="Q781" i="28"/>
  <c r="X781" i="28" s="1"/>
  <c r="R781" i="28"/>
  <c r="Y781" i="28" s="1"/>
  <c r="S781" i="28"/>
  <c r="Z781" i="28" s="1"/>
  <c r="T781" i="28"/>
  <c r="AA781" i="28" s="1"/>
  <c r="U781" i="28"/>
  <c r="AB781" i="28" s="1"/>
  <c r="V781" i="28"/>
  <c r="AC781" i="28" s="1"/>
  <c r="Q782" i="28"/>
  <c r="X782" i="28" s="1"/>
  <c r="R782" i="28"/>
  <c r="Y782" i="28" s="1"/>
  <c r="S782" i="28"/>
  <c r="Z782" i="28" s="1"/>
  <c r="T782" i="28"/>
  <c r="AA782" i="28" s="1"/>
  <c r="U782" i="28"/>
  <c r="AB782" i="28" s="1"/>
  <c r="V782" i="28"/>
  <c r="AC782" i="28" s="1"/>
  <c r="Q783" i="28"/>
  <c r="X783" i="28" s="1"/>
  <c r="R783" i="28"/>
  <c r="Y783" i="28" s="1"/>
  <c r="S783" i="28"/>
  <c r="Z783" i="28" s="1"/>
  <c r="T783" i="28"/>
  <c r="AA783" i="28" s="1"/>
  <c r="U783" i="28"/>
  <c r="AB783" i="28" s="1"/>
  <c r="V783" i="28"/>
  <c r="AC783" i="28" s="1"/>
  <c r="Q784" i="28"/>
  <c r="X784" i="28" s="1"/>
  <c r="R784" i="28"/>
  <c r="Y784" i="28" s="1"/>
  <c r="S784" i="28"/>
  <c r="Z784" i="28" s="1"/>
  <c r="T784" i="28"/>
  <c r="AA784" i="28" s="1"/>
  <c r="U784" i="28"/>
  <c r="AB784" i="28" s="1"/>
  <c r="Q785" i="28"/>
  <c r="X785" i="28" s="1"/>
  <c r="R785" i="28"/>
  <c r="Y785" i="28" s="1"/>
  <c r="S785" i="28"/>
  <c r="Z785" i="28" s="1"/>
  <c r="T785" i="28"/>
  <c r="AA785" i="28" s="1"/>
  <c r="U785" i="28"/>
  <c r="AB785" i="28" s="1"/>
  <c r="V785" i="28"/>
  <c r="AC785" i="28" s="1"/>
  <c r="Q786" i="28"/>
  <c r="X786" i="28" s="1"/>
  <c r="R786" i="28"/>
  <c r="Y786" i="28" s="1"/>
  <c r="S786" i="28"/>
  <c r="Z786" i="28" s="1"/>
  <c r="T786" i="28"/>
  <c r="AA786" i="28" s="1"/>
  <c r="U786" i="28"/>
  <c r="AB786" i="28" s="1"/>
  <c r="V786" i="28"/>
  <c r="AC786" i="28" s="1"/>
  <c r="Q787" i="28"/>
  <c r="X787" i="28" s="1"/>
  <c r="R787" i="28"/>
  <c r="Y787" i="28" s="1"/>
  <c r="S787" i="28"/>
  <c r="Z787" i="28" s="1"/>
  <c r="T787" i="28"/>
  <c r="AA787" i="28" s="1"/>
  <c r="U787" i="28"/>
  <c r="AB787" i="28" s="1"/>
  <c r="V787" i="28"/>
  <c r="AC787" i="28" s="1"/>
  <c r="Q788" i="28"/>
  <c r="X788" i="28" s="1"/>
  <c r="R788" i="28"/>
  <c r="Y788" i="28" s="1"/>
  <c r="S788" i="28"/>
  <c r="Z788" i="28" s="1"/>
  <c r="T788" i="28"/>
  <c r="AA788" i="28" s="1"/>
  <c r="U788" i="28"/>
  <c r="AB788" i="28" s="1"/>
  <c r="V788" i="28"/>
  <c r="AC788" i="28" s="1"/>
  <c r="Q789" i="28"/>
  <c r="X789" i="28" s="1"/>
  <c r="R789" i="28"/>
  <c r="Y789" i="28" s="1"/>
  <c r="S789" i="28"/>
  <c r="Z789" i="28" s="1"/>
  <c r="T789" i="28"/>
  <c r="AA789" i="28" s="1"/>
  <c r="U789" i="28"/>
  <c r="AB789" i="28" s="1"/>
  <c r="V789" i="28"/>
  <c r="AC789" i="28" s="1"/>
  <c r="Q790" i="28"/>
  <c r="X790" i="28" s="1"/>
  <c r="R790" i="28"/>
  <c r="Y790" i="28" s="1"/>
  <c r="S790" i="28"/>
  <c r="Z790" i="28" s="1"/>
  <c r="T790" i="28"/>
  <c r="AA790" i="28" s="1"/>
  <c r="U790" i="28"/>
  <c r="AB790" i="28" s="1"/>
  <c r="V790" i="28"/>
  <c r="AC790" i="28" s="1"/>
  <c r="Q791" i="28"/>
  <c r="X791" i="28" s="1"/>
  <c r="R791" i="28"/>
  <c r="Y791" i="28" s="1"/>
  <c r="S791" i="28"/>
  <c r="Z791" i="28" s="1"/>
  <c r="T791" i="28"/>
  <c r="AA791" i="28" s="1"/>
  <c r="U791" i="28"/>
  <c r="AB791" i="28" s="1"/>
  <c r="V791" i="28"/>
  <c r="AC791" i="28" s="1"/>
  <c r="Q792" i="28"/>
  <c r="X792" i="28" s="1"/>
  <c r="R792" i="28"/>
  <c r="Y792" i="28" s="1"/>
  <c r="S792" i="28"/>
  <c r="Z792" i="28" s="1"/>
  <c r="T792" i="28"/>
  <c r="AA792" i="28" s="1"/>
  <c r="U792" i="28"/>
  <c r="AB792" i="28" s="1"/>
  <c r="Q793" i="28"/>
  <c r="X793" i="28" s="1"/>
  <c r="R793" i="28"/>
  <c r="Y793" i="28" s="1"/>
  <c r="S793" i="28"/>
  <c r="Z793" i="28" s="1"/>
  <c r="T793" i="28"/>
  <c r="AA793" i="28" s="1"/>
  <c r="U793" i="28"/>
  <c r="AB793" i="28" s="1"/>
  <c r="V793" i="28"/>
  <c r="AC793" i="28" s="1"/>
  <c r="Q794" i="28"/>
  <c r="X794" i="28" s="1"/>
  <c r="R794" i="28"/>
  <c r="Y794" i="28" s="1"/>
  <c r="S794" i="28"/>
  <c r="Z794" i="28" s="1"/>
  <c r="T794" i="28"/>
  <c r="AA794" i="28" s="1"/>
  <c r="U794" i="28"/>
  <c r="AB794" i="28" s="1"/>
  <c r="V794" i="28"/>
  <c r="AC794" i="28" s="1"/>
  <c r="Q795" i="28"/>
  <c r="X795" i="28" s="1"/>
  <c r="R795" i="28"/>
  <c r="Y795" i="28" s="1"/>
  <c r="S795" i="28"/>
  <c r="Z795" i="28" s="1"/>
  <c r="T795" i="28"/>
  <c r="AA795" i="28" s="1"/>
  <c r="U795" i="28"/>
  <c r="AB795" i="28" s="1"/>
  <c r="V795" i="28"/>
  <c r="AC795" i="28" s="1"/>
  <c r="Q796" i="28"/>
  <c r="X796" i="28" s="1"/>
  <c r="R796" i="28"/>
  <c r="Y796" i="28" s="1"/>
  <c r="S796" i="28"/>
  <c r="Z796" i="28" s="1"/>
  <c r="T796" i="28"/>
  <c r="AA796" i="28" s="1"/>
  <c r="U796" i="28"/>
  <c r="AB796" i="28" s="1"/>
  <c r="V796" i="28"/>
  <c r="AC796" i="28" s="1"/>
  <c r="Q797" i="28"/>
  <c r="X797" i="28" s="1"/>
  <c r="R797" i="28"/>
  <c r="Y797" i="28" s="1"/>
  <c r="S797" i="28"/>
  <c r="Z797" i="28" s="1"/>
  <c r="T797" i="28"/>
  <c r="AA797" i="28" s="1"/>
  <c r="U797" i="28"/>
  <c r="AB797" i="28" s="1"/>
  <c r="V797" i="28"/>
  <c r="AC797" i="28" s="1"/>
  <c r="Q798" i="28"/>
  <c r="X798" i="28" s="1"/>
  <c r="R798" i="28"/>
  <c r="Y798" i="28" s="1"/>
  <c r="S798" i="28"/>
  <c r="Z798" i="28" s="1"/>
  <c r="T798" i="28"/>
  <c r="AA798" i="28" s="1"/>
  <c r="U798" i="28"/>
  <c r="AB798" i="28" s="1"/>
  <c r="V798" i="28"/>
  <c r="AC798" i="28" s="1"/>
  <c r="Q799" i="28"/>
  <c r="X799" i="28" s="1"/>
  <c r="R799" i="28"/>
  <c r="Y799" i="28" s="1"/>
  <c r="S799" i="28"/>
  <c r="Z799" i="28" s="1"/>
  <c r="T799" i="28"/>
  <c r="AA799" i="28" s="1"/>
  <c r="U799" i="28"/>
  <c r="AB799" i="28" s="1"/>
  <c r="V799" i="28"/>
  <c r="AC799" i="28" s="1"/>
  <c r="Q800" i="28"/>
  <c r="X800" i="28" s="1"/>
  <c r="R800" i="28"/>
  <c r="Y800" i="28" s="1"/>
  <c r="S800" i="28"/>
  <c r="Z800" i="28" s="1"/>
  <c r="T800" i="28"/>
  <c r="AA800" i="28" s="1"/>
  <c r="U800" i="28"/>
  <c r="AB800" i="28" s="1"/>
  <c r="Q801" i="28"/>
  <c r="X801" i="28" s="1"/>
  <c r="R801" i="28"/>
  <c r="Y801" i="28" s="1"/>
  <c r="S801" i="28"/>
  <c r="Z801" i="28" s="1"/>
  <c r="T801" i="28"/>
  <c r="AA801" i="28" s="1"/>
  <c r="U801" i="28"/>
  <c r="AB801" i="28" s="1"/>
  <c r="V801" i="28"/>
  <c r="AC801" i="28" s="1"/>
  <c r="Q802" i="28"/>
  <c r="X802" i="28" s="1"/>
  <c r="R802" i="28"/>
  <c r="Y802" i="28" s="1"/>
  <c r="S802" i="28"/>
  <c r="Z802" i="28" s="1"/>
  <c r="T802" i="28"/>
  <c r="AA802" i="28" s="1"/>
  <c r="U802" i="28"/>
  <c r="AB802" i="28" s="1"/>
  <c r="V802" i="28"/>
  <c r="AC802" i="28" s="1"/>
  <c r="Q803" i="28"/>
  <c r="X803" i="28" s="1"/>
  <c r="R803" i="28"/>
  <c r="Y803" i="28" s="1"/>
  <c r="S803" i="28"/>
  <c r="Z803" i="28" s="1"/>
  <c r="T803" i="28"/>
  <c r="AA803" i="28" s="1"/>
  <c r="U803" i="28"/>
  <c r="AB803" i="28" s="1"/>
  <c r="V803" i="28"/>
  <c r="AC803" i="28" s="1"/>
  <c r="Q804" i="28"/>
  <c r="X804" i="28" s="1"/>
  <c r="R804" i="28"/>
  <c r="Y804" i="28" s="1"/>
  <c r="S804" i="28"/>
  <c r="Z804" i="28" s="1"/>
  <c r="T804" i="28"/>
  <c r="AA804" i="28" s="1"/>
  <c r="U804" i="28"/>
  <c r="AB804" i="28" s="1"/>
  <c r="V804" i="28"/>
  <c r="AC804" i="28" s="1"/>
  <c r="Q805" i="28"/>
  <c r="X805" i="28" s="1"/>
  <c r="R805" i="28"/>
  <c r="Y805" i="28" s="1"/>
  <c r="S805" i="28"/>
  <c r="Z805" i="28" s="1"/>
  <c r="T805" i="28"/>
  <c r="AA805" i="28" s="1"/>
  <c r="U805" i="28"/>
  <c r="AB805" i="28" s="1"/>
  <c r="V805" i="28"/>
  <c r="AC805" i="28" s="1"/>
  <c r="Q806" i="28"/>
  <c r="X806" i="28" s="1"/>
  <c r="R806" i="28"/>
  <c r="Y806" i="28" s="1"/>
  <c r="S806" i="28"/>
  <c r="Z806" i="28" s="1"/>
  <c r="T806" i="28"/>
  <c r="AA806" i="28" s="1"/>
  <c r="U806" i="28"/>
  <c r="AB806" i="28" s="1"/>
  <c r="V806" i="28"/>
  <c r="AC806" i="28" s="1"/>
  <c r="Q807" i="28"/>
  <c r="X807" i="28" s="1"/>
  <c r="R807" i="28"/>
  <c r="Y807" i="28" s="1"/>
  <c r="S807" i="28"/>
  <c r="Z807" i="28" s="1"/>
  <c r="T807" i="28"/>
  <c r="AA807" i="28" s="1"/>
  <c r="U807" i="28"/>
  <c r="AB807" i="28" s="1"/>
  <c r="V807" i="28"/>
  <c r="AC807" i="28" s="1"/>
  <c r="Q808" i="28"/>
  <c r="X808" i="28" s="1"/>
  <c r="R808" i="28"/>
  <c r="Y808" i="28" s="1"/>
  <c r="S808" i="28"/>
  <c r="Z808" i="28" s="1"/>
  <c r="T808" i="28"/>
  <c r="AA808" i="28" s="1"/>
  <c r="U808" i="28"/>
  <c r="AB808" i="28" s="1"/>
  <c r="Q809" i="28"/>
  <c r="X809" i="28" s="1"/>
  <c r="R809" i="28"/>
  <c r="Y809" i="28" s="1"/>
  <c r="S809" i="28"/>
  <c r="Z809" i="28" s="1"/>
  <c r="T809" i="28"/>
  <c r="AA809" i="28" s="1"/>
  <c r="U809" i="28"/>
  <c r="AB809" i="28" s="1"/>
  <c r="V809" i="28"/>
  <c r="AC809" i="28" s="1"/>
  <c r="Q810" i="28"/>
  <c r="X810" i="28" s="1"/>
  <c r="R810" i="28"/>
  <c r="Y810" i="28" s="1"/>
  <c r="S810" i="28"/>
  <c r="Z810" i="28" s="1"/>
  <c r="T810" i="28"/>
  <c r="AA810" i="28" s="1"/>
  <c r="U810" i="28"/>
  <c r="AB810" i="28" s="1"/>
  <c r="V810" i="28"/>
  <c r="AC810" i="28" s="1"/>
  <c r="Q811" i="28"/>
  <c r="X811" i="28" s="1"/>
  <c r="R811" i="28"/>
  <c r="Y811" i="28" s="1"/>
  <c r="S811" i="28"/>
  <c r="Z811" i="28" s="1"/>
  <c r="T811" i="28"/>
  <c r="AA811" i="28" s="1"/>
  <c r="U811" i="28"/>
  <c r="AB811" i="28" s="1"/>
  <c r="V811" i="28"/>
  <c r="AC811" i="28" s="1"/>
  <c r="Q812" i="28"/>
  <c r="X812" i="28" s="1"/>
  <c r="R812" i="28"/>
  <c r="Y812" i="28" s="1"/>
  <c r="S812" i="28"/>
  <c r="Z812" i="28" s="1"/>
  <c r="T812" i="28"/>
  <c r="AA812" i="28" s="1"/>
  <c r="U812" i="28"/>
  <c r="AB812" i="28" s="1"/>
  <c r="V812" i="28"/>
  <c r="AC812" i="28" s="1"/>
  <c r="Q813" i="28"/>
  <c r="X813" i="28" s="1"/>
  <c r="R813" i="28"/>
  <c r="Y813" i="28" s="1"/>
  <c r="S813" i="28"/>
  <c r="Z813" i="28" s="1"/>
  <c r="T813" i="28"/>
  <c r="AA813" i="28" s="1"/>
  <c r="U813" i="28"/>
  <c r="AB813" i="28" s="1"/>
  <c r="V813" i="28"/>
  <c r="AC813" i="28" s="1"/>
  <c r="Q814" i="28"/>
  <c r="X814" i="28" s="1"/>
  <c r="R814" i="28"/>
  <c r="Y814" i="28" s="1"/>
  <c r="S814" i="28"/>
  <c r="Z814" i="28" s="1"/>
  <c r="T814" i="28"/>
  <c r="AA814" i="28" s="1"/>
  <c r="U814" i="28"/>
  <c r="AB814" i="28" s="1"/>
  <c r="V814" i="28"/>
  <c r="AC814" i="28" s="1"/>
  <c r="Q815" i="28"/>
  <c r="X815" i="28" s="1"/>
  <c r="R815" i="28"/>
  <c r="Y815" i="28" s="1"/>
  <c r="S815" i="28"/>
  <c r="Z815" i="28" s="1"/>
  <c r="T815" i="28"/>
  <c r="AA815" i="28" s="1"/>
  <c r="U815" i="28"/>
  <c r="AB815" i="28" s="1"/>
  <c r="V815" i="28"/>
  <c r="AC815" i="28" s="1"/>
  <c r="Q816" i="28"/>
  <c r="X816" i="28" s="1"/>
  <c r="R816" i="28"/>
  <c r="Y816" i="28" s="1"/>
  <c r="S816" i="28"/>
  <c r="Z816" i="28" s="1"/>
  <c r="T816" i="28"/>
  <c r="AA816" i="28" s="1"/>
  <c r="U816" i="28"/>
  <c r="AB816" i="28" s="1"/>
  <c r="Q817" i="28"/>
  <c r="X817" i="28" s="1"/>
  <c r="R817" i="28"/>
  <c r="Y817" i="28" s="1"/>
  <c r="S817" i="28"/>
  <c r="Z817" i="28" s="1"/>
  <c r="T817" i="28"/>
  <c r="AA817" i="28" s="1"/>
  <c r="U817" i="28"/>
  <c r="AB817" i="28" s="1"/>
  <c r="V817" i="28"/>
  <c r="AC817" i="28" s="1"/>
  <c r="Q818" i="28"/>
  <c r="X818" i="28" s="1"/>
  <c r="R818" i="28"/>
  <c r="Y818" i="28" s="1"/>
  <c r="S818" i="28"/>
  <c r="Z818" i="28" s="1"/>
  <c r="T818" i="28"/>
  <c r="AA818" i="28" s="1"/>
  <c r="U818" i="28"/>
  <c r="AB818" i="28" s="1"/>
  <c r="V818" i="28"/>
  <c r="AC818" i="28" s="1"/>
  <c r="Q819" i="28"/>
  <c r="X819" i="28" s="1"/>
  <c r="R819" i="28"/>
  <c r="Y819" i="28" s="1"/>
  <c r="S819" i="28"/>
  <c r="Z819" i="28" s="1"/>
  <c r="T819" i="28"/>
  <c r="AA819" i="28" s="1"/>
  <c r="U819" i="28"/>
  <c r="AB819" i="28" s="1"/>
  <c r="V819" i="28"/>
  <c r="AC819" i="28" s="1"/>
  <c r="Q820" i="28"/>
  <c r="X820" i="28" s="1"/>
  <c r="R820" i="28"/>
  <c r="Y820" i="28" s="1"/>
  <c r="S820" i="28"/>
  <c r="Z820" i="28" s="1"/>
  <c r="T820" i="28"/>
  <c r="AA820" i="28" s="1"/>
  <c r="U820" i="28"/>
  <c r="AB820" i="28" s="1"/>
  <c r="V820" i="28"/>
  <c r="AC820" i="28" s="1"/>
  <c r="Q821" i="28"/>
  <c r="X821" i="28" s="1"/>
  <c r="R821" i="28"/>
  <c r="Y821" i="28" s="1"/>
  <c r="S821" i="28"/>
  <c r="Z821" i="28" s="1"/>
  <c r="T821" i="28"/>
  <c r="AA821" i="28" s="1"/>
  <c r="U821" i="28"/>
  <c r="AB821" i="28" s="1"/>
  <c r="V821" i="28"/>
  <c r="AC821" i="28" s="1"/>
  <c r="Q822" i="28"/>
  <c r="X822" i="28" s="1"/>
  <c r="R822" i="28"/>
  <c r="Y822" i="28" s="1"/>
  <c r="S822" i="28"/>
  <c r="Z822" i="28" s="1"/>
  <c r="T822" i="28"/>
  <c r="AA822" i="28" s="1"/>
  <c r="U822" i="28"/>
  <c r="AB822" i="28" s="1"/>
  <c r="V822" i="28"/>
  <c r="AC822" i="28" s="1"/>
  <c r="Q823" i="28"/>
  <c r="X823" i="28" s="1"/>
  <c r="R823" i="28"/>
  <c r="Y823" i="28" s="1"/>
  <c r="S823" i="28"/>
  <c r="Z823" i="28" s="1"/>
  <c r="T823" i="28"/>
  <c r="AA823" i="28" s="1"/>
  <c r="U823" i="28"/>
  <c r="AB823" i="28" s="1"/>
  <c r="V823" i="28"/>
  <c r="AC823" i="28" s="1"/>
  <c r="Q824" i="28"/>
  <c r="X824" i="28" s="1"/>
  <c r="R824" i="28"/>
  <c r="Y824" i="28" s="1"/>
  <c r="S824" i="28"/>
  <c r="Z824" i="28" s="1"/>
  <c r="T824" i="28"/>
  <c r="AA824" i="28" s="1"/>
  <c r="U824" i="28"/>
  <c r="AB824" i="28" s="1"/>
  <c r="Q825" i="28"/>
  <c r="X825" i="28" s="1"/>
  <c r="R825" i="28"/>
  <c r="Y825" i="28" s="1"/>
  <c r="S825" i="28"/>
  <c r="Z825" i="28" s="1"/>
  <c r="T825" i="28"/>
  <c r="AA825" i="28" s="1"/>
  <c r="U825" i="28"/>
  <c r="AB825" i="28" s="1"/>
  <c r="V825" i="28"/>
  <c r="AC825" i="28" s="1"/>
  <c r="Q826" i="28"/>
  <c r="X826" i="28" s="1"/>
  <c r="R826" i="28"/>
  <c r="Y826" i="28" s="1"/>
  <c r="S826" i="28"/>
  <c r="Z826" i="28" s="1"/>
  <c r="T826" i="28"/>
  <c r="AA826" i="28" s="1"/>
  <c r="U826" i="28"/>
  <c r="AB826" i="28" s="1"/>
  <c r="V826" i="28"/>
  <c r="AC826" i="28" s="1"/>
  <c r="Q827" i="28"/>
  <c r="X827" i="28" s="1"/>
  <c r="R827" i="28"/>
  <c r="Y827" i="28" s="1"/>
  <c r="S827" i="28"/>
  <c r="Z827" i="28" s="1"/>
  <c r="T827" i="28"/>
  <c r="AA827" i="28" s="1"/>
  <c r="U827" i="28"/>
  <c r="AB827" i="28" s="1"/>
  <c r="V827" i="28"/>
  <c r="AC827" i="28" s="1"/>
  <c r="Q828" i="28"/>
  <c r="X828" i="28" s="1"/>
  <c r="R828" i="28"/>
  <c r="Y828" i="28" s="1"/>
  <c r="S828" i="28"/>
  <c r="Z828" i="28" s="1"/>
  <c r="T828" i="28"/>
  <c r="AA828" i="28" s="1"/>
  <c r="U828" i="28"/>
  <c r="AB828" i="28" s="1"/>
  <c r="V828" i="28"/>
  <c r="AC828" i="28" s="1"/>
  <c r="Q829" i="28"/>
  <c r="X829" i="28" s="1"/>
  <c r="R829" i="28"/>
  <c r="Y829" i="28" s="1"/>
  <c r="S829" i="28"/>
  <c r="Z829" i="28" s="1"/>
  <c r="T829" i="28"/>
  <c r="AA829" i="28" s="1"/>
  <c r="U829" i="28"/>
  <c r="AB829" i="28" s="1"/>
  <c r="V829" i="28"/>
  <c r="AC829" i="28" s="1"/>
  <c r="Q830" i="28"/>
  <c r="X830" i="28" s="1"/>
  <c r="R830" i="28"/>
  <c r="Y830" i="28" s="1"/>
  <c r="S830" i="28"/>
  <c r="Z830" i="28" s="1"/>
  <c r="T830" i="28"/>
  <c r="AA830" i="28" s="1"/>
  <c r="U830" i="28"/>
  <c r="AB830" i="28" s="1"/>
  <c r="V830" i="28"/>
  <c r="AC830" i="28" s="1"/>
  <c r="Q831" i="28"/>
  <c r="X831" i="28" s="1"/>
  <c r="R831" i="28"/>
  <c r="Y831" i="28" s="1"/>
  <c r="S831" i="28"/>
  <c r="Z831" i="28" s="1"/>
  <c r="T831" i="28"/>
  <c r="AA831" i="28" s="1"/>
  <c r="U831" i="28"/>
  <c r="AB831" i="28" s="1"/>
  <c r="V831" i="28"/>
  <c r="AC831" i="28" s="1"/>
  <c r="Q832" i="28"/>
  <c r="X832" i="28" s="1"/>
  <c r="R832" i="28"/>
  <c r="Y832" i="28" s="1"/>
  <c r="S832" i="28"/>
  <c r="Z832" i="28" s="1"/>
  <c r="T832" i="28"/>
  <c r="AA832" i="28" s="1"/>
  <c r="U832" i="28"/>
  <c r="AB832" i="28" s="1"/>
  <c r="Q833" i="28"/>
  <c r="X833" i="28" s="1"/>
  <c r="R833" i="28"/>
  <c r="Y833" i="28" s="1"/>
  <c r="S833" i="28"/>
  <c r="Z833" i="28" s="1"/>
  <c r="T833" i="28"/>
  <c r="AA833" i="28" s="1"/>
  <c r="U833" i="28"/>
  <c r="AB833" i="28" s="1"/>
  <c r="V833" i="28"/>
  <c r="AC833" i="28" s="1"/>
  <c r="Q834" i="28"/>
  <c r="X834" i="28" s="1"/>
  <c r="R834" i="28"/>
  <c r="Y834" i="28" s="1"/>
  <c r="S834" i="28"/>
  <c r="Z834" i="28" s="1"/>
  <c r="T834" i="28"/>
  <c r="AA834" i="28" s="1"/>
  <c r="U834" i="28"/>
  <c r="AB834" i="28" s="1"/>
  <c r="V834" i="28"/>
  <c r="AC834" i="28" s="1"/>
  <c r="Q835" i="28"/>
  <c r="X835" i="28" s="1"/>
  <c r="R835" i="28"/>
  <c r="Y835" i="28" s="1"/>
  <c r="S835" i="28"/>
  <c r="Z835" i="28" s="1"/>
  <c r="T835" i="28"/>
  <c r="AA835" i="28" s="1"/>
  <c r="U835" i="28"/>
  <c r="AB835" i="28" s="1"/>
  <c r="V835" i="28"/>
  <c r="AC835" i="28" s="1"/>
  <c r="Q836" i="28"/>
  <c r="X836" i="28" s="1"/>
  <c r="R836" i="28"/>
  <c r="Y836" i="28" s="1"/>
  <c r="S836" i="28"/>
  <c r="Z836" i="28" s="1"/>
  <c r="T836" i="28"/>
  <c r="AA836" i="28" s="1"/>
  <c r="U836" i="28"/>
  <c r="AB836" i="28" s="1"/>
  <c r="V836" i="28"/>
  <c r="AC836" i="28" s="1"/>
  <c r="Q837" i="28"/>
  <c r="X837" i="28" s="1"/>
  <c r="R837" i="28"/>
  <c r="Y837" i="28" s="1"/>
  <c r="S837" i="28"/>
  <c r="Z837" i="28" s="1"/>
  <c r="T837" i="28"/>
  <c r="AA837" i="28" s="1"/>
  <c r="U837" i="28"/>
  <c r="AB837" i="28" s="1"/>
  <c r="V837" i="28"/>
  <c r="AC837" i="28" s="1"/>
  <c r="Q838" i="28"/>
  <c r="X838" i="28" s="1"/>
  <c r="R838" i="28"/>
  <c r="Y838" i="28" s="1"/>
  <c r="S838" i="28"/>
  <c r="Z838" i="28" s="1"/>
  <c r="T838" i="28"/>
  <c r="AA838" i="28" s="1"/>
  <c r="U838" i="28"/>
  <c r="AB838" i="28" s="1"/>
  <c r="V838" i="28"/>
  <c r="AC838" i="28" s="1"/>
  <c r="Q839" i="28"/>
  <c r="X839" i="28" s="1"/>
  <c r="R839" i="28"/>
  <c r="Y839" i="28" s="1"/>
  <c r="S839" i="28"/>
  <c r="Z839" i="28" s="1"/>
  <c r="T839" i="28"/>
  <c r="AA839" i="28" s="1"/>
  <c r="U839" i="28"/>
  <c r="AB839" i="28" s="1"/>
  <c r="V839" i="28"/>
  <c r="AC839" i="28" s="1"/>
  <c r="Q840" i="28"/>
  <c r="X840" i="28" s="1"/>
  <c r="R840" i="28"/>
  <c r="Y840" i="28" s="1"/>
  <c r="S840" i="28"/>
  <c r="Z840" i="28" s="1"/>
  <c r="T840" i="28"/>
  <c r="AA840" i="28" s="1"/>
  <c r="U840" i="28"/>
  <c r="AB840" i="28" s="1"/>
  <c r="Q841" i="28"/>
  <c r="X841" i="28" s="1"/>
  <c r="R841" i="28"/>
  <c r="Y841" i="28" s="1"/>
  <c r="S841" i="28"/>
  <c r="Z841" i="28" s="1"/>
  <c r="T841" i="28"/>
  <c r="AA841" i="28" s="1"/>
  <c r="U841" i="28"/>
  <c r="AB841" i="28" s="1"/>
  <c r="V841" i="28"/>
  <c r="AC841" i="28" s="1"/>
  <c r="Q842" i="28"/>
  <c r="X842" i="28" s="1"/>
  <c r="R842" i="28"/>
  <c r="Y842" i="28" s="1"/>
  <c r="S842" i="28"/>
  <c r="Z842" i="28" s="1"/>
  <c r="T842" i="28"/>
  <c r="AA842" i="28" s="1"/>
  <c r="U842" i="28"/>
  <c r="AB842" i="28" s="1"/>
  <c r="V842" i="28"/>
  <c r="AC842" i="28" s="1"/>
  <c r="Q843" i="28"/>
  <c r="X843" i="28" s="1"/>
  <c r="R843" i="28"/>
  <c r="Y843" i="28" s="1"/>
  <c r="S843" i="28"/>
  <c r="Z843" i="28" s="1"/>
  <c r="T843" i="28"/>
  <c r="AA843" i="28" s="1"/>
  <c r="U843" i="28"/>
  <c r="AB843" i="28" s="1"/>
  <c r="V843" i="28"/>
  <c r="AC843" i="28" s="1"/>
  <c r="Q844" i="28"/>
  <c r="X844" i="28" s="1"/>
  <c r="R844" i="28"/>
  <c r="Y844" i="28" s="1"/>
  <c r="S844" i="28"/>
  <c r="Z844" i="28" s="1"/>
  <c r="T844" i="28"/>
  <c r="AA844" i="28" s="1"/>
  <c r="U844" i="28"/>
  <c r="AB844" i="28" s="1"/>
  <c r="V844" i="28"/>
  <c r="AC844" i="28" s="1"/>
  <c r="Q845" i="28"/>
  <c r="X845" i="28" s="1"/>
  <c r="R845" i="28"/>
  <c r="Y845" i="28" s="1"/>
  <c r="S845" i="28"/>
  <c r="Z845" i="28" s="1"/>
  <c r="T845" i="28"/>
  <c r="AA845" i="28" s="1"/>
  <c r="U845" i="28"/>
  <c r="AB845" i="28" s="1"/>
  <c r="V845" i="28"/>
  <c r="AC845" i="28" s="1"/>
  <c r="Q846" i="28"/>
  <c r="X846" i="28" s="1"/>
  <c r="R846" i="28"/>
  <c r="Y846" i="28" s="1"/>
  <c r="S846" i="28"/>
  <c r="Z846" i="28" s="1"/>
  <c r="T846" i="28"/>
  <c r="AA846" i="28" s="1"/>
  <c r="U846" i="28"/>
  <c r="AB846" i="28" s="1"/>
  <c r="V846" i="28"/>
  <c r="AC846" i="28" s="1"/>
  <c r="Q847" i="28"/>
  <c r="X847" i="28" s="1"/>
  <c r="R847" i="28"/>
  <c r="Y847" i="28" s="1"/>
  <c r="S847" i="28"/>
  <c r="Z847" i="28" s="1"/>
  <c r="T847" i="28"/>
  <c r="AA847" i="28" s="1"/>
  <c r="U847" i="28"/>
  <c r="AB847" i="28" s="1"/>
  <c r="V847" i="28"/>
  <c r="AC847" i="28" s="1"/>
  <c r="Q848" i="28"/>
  <c r="X848" i="28" s="1"/>
  <c r="R848" i="28"/>
  <c r="Y848" i="28" s="1"/>
  <c r="S848" i="28"/>
  <c r="Z848" i="28" s="1"/>
  <c r="T848" i="28"/>
  <c r="AA848" i="28" s="1"/>
  <c r="U848" i="28"/>
  <c r="AB848" i="28" s="1"/>
  <c r="Q849" i="28"/>
  <c r="X849" i="28" s="1"/>
  <c r="R849" i="28"/>
  <c r="Y849" i="28" s="1"/>
  <c r="S849" i="28"/>
  <c r="Z849" i="28" s="1"/>
  <c r="T849" i="28"/>
  <c r="AA849" i="28" s="1"/>
  <c r="U849" i="28"/>
  <c r="AB849" i="28" s="1"/>
  <c r="V849" i="28"/>
  <c r="AC849" i="28" s="1"/>
  <c r="Q850" i="28"/>
  <c r="X850" i="28" s="1"/>
  <c r="R850" i="28"/>
  <c r="Y850" i="28" s="1"/>
  <c r="S850" i="28"/>
  <c r="Z850" i="28" s="1"/>
  <c r="T850" i="28"/>
  <c r="AA850" i="28" s="1"/>
  <c r="U850" i="28"/>
  <c r="AB850" i="28" s="1"/>
  <c r="V850" i="28"/>
  <c r="AC850" i="28" s="1"/>
  <c r="Q851" i="28"/>
  <c r="X851" i="28" s="1"/>
  <c r="R851" i="28"/>
  <c r="Y851" i="28" s="1"/>
  <c r="S851" i="28"/>
  <c r="Z851" i="28" s="1"/>
  <c r="T851" i="28"/>
  <c r="AA851" i="28" s="1"/>
  <c r="U851" i="28"/>
  <c r="AB851" i="28" s="1"/>
  <c r="V851" i="28"/>
  <c r="AC851" i="28" s="1"/>
  <c r="Q852" i="28"/>
  <c r="X852" i="28" s="1"/>
  <c r="R852" i="28"/>
  <c r="Y852" i="28" s="1"/>
  <c r="S852" i="28"/>
  <c r="Z852" i="28" s="1"/>
  <c r="T852" i="28"/>
  <c r="AA852" i="28" s="1"/>
  <c r="U852" i="28"/>
  <c r="AB852" i="28" s="1"/>
  <c r="V852" i="28"/>
  <c r="AC852" i="28" s="1"/>
  <c r="Q853" i="28"/>
  <c r="X853" i="28" s="1"/>
  <c r="R853" i="28"/>
  <c r="Y853" i="28" s="1"/>
  <c r="S853" i="28"/>
  <c r="Z853" i="28" s="1"/>
  <c r="T853" i="28"/>
  <c r="AA853" i="28" s="1"/>
  <c r="U853" i="28"/>
  <c r="AB853" i="28" s="1"/>
  <c r="V853" i="28"/>
  <c r="AC853" i="28" s="1"/>
  <c r="Q854" i="28"/>
  <c r="X854" i="28" s="1"/>
  <c r="R854" i="28"/>
  <c r="Y854" i="28" s="1"/>
  <c r="S854" i="28"/>
  <c r="Z854" i="28" s="1"/>
  <c r="T854" i="28"/>
  <c r="AA854" i="28" s="1"/>
  <c r="U854" i="28"/>
  <c r="AB854" i="28" s="1"/>
  <c r="V854" i="28"/>
  <c r="AC854" i="28" s="1"/>
  <c r="Q855" i="28"/>
  <c r="X855" i="28" s="1"/>
  <c r="R855" i="28"/>
  <c r="Y855" i="28" s="1"/>
  <c r="S855" i="28"/>
  <c r="Z855" i="28" s="1"/>
  <c r="T855" i="28"/>
  <c r="AA855" i="28" s="1"/>
  <c r="U855" i="28"/>
  <c r="AB855" i="28" s="1"/>
  <c r="V855" i="28"/>
  <c r="AC855" i="28" s="1"/>
  <c r="Q856" i="28"/>
  <c r="X856" i="28" s="1"/>
  <c r="R856" i="28"/>
  <c r="Y856" i="28" s="1"/>
  <c r="S856" i="28"/>
  <c r="Z856" i="28" s="1"/>
  <c r="T856" i="28"/>
  <c r="AA856" i="28" s="1"/>
  <c r="U856" i="28"/>
  <c r="AB856" i="28" s="1"/>
  <c r="Q857" i="28"/>
  <c r="X857" i="28" s="1"/>
  <c r="R857" i="28"/>
  <c r="Y857" i="28" s="1"/>
  <c r="S857" i="28"/>
  <c r="Z857" i="28" s="1"/>
  <c r="T857" i="28"/>
  <c r="AA857" i="28" s="1"/>
  <c r="U857" i="28"/>
  <c r="AB857" i="28" s="1"/>
  <c r="V857" i="28"/>
  <c r="AC857" i="28" s="1"/>
  <c r="Q858" i="28"/>
  <c r="X858" i="28" s="1"/>
  <c r="R858" i="28"/>
  <c r="Y858" i="28" s="1"/>
  <c r="S858" i="28"/>
  <c r="Z858" i="28" s="1"/>
  <c r="T858" i="28"/>
  <c r="AA858" i="28" s="1"/>
  <c r="U858" i="28"/>
  <c r="AB858" i="28" s="1"/>
  <c r="V858" i="28"/>
  <c r="AC858" i="28" s="1"/>
  <c r="Q859" i="28"/>
  <c r="X859" i="28" s="1"/>
  <c r="R859" i="28"/>
  <c r="Y859" i="28" s="1"/>
  <c r="S859" i="28"/>
  <c r="Z859" i="28" s="1"/>
  <c r="T859" i="28"/>
  <c r="AA859" i="28" s="1"/>
  <c r="U859" i="28"/>
  <c r="AB859" i="28" s="1"/>
  <c r="V859" i="28"/>
  <c r="AC859" i="28" s="1"/>
  <c r="Q860" i="28"/>
  <c r="X860" i="28" s="1"/>
  <c r="R860" i="28"/>
  <c r="Y860" i="28" s="1"/>
  <c r="S860" i="28"/>
  <c r="Z860" i="28" s="1"/>
  <c r="T860" i="28"/>
  <c r="AA860" i="28" s="1"/>
  <c r="U860" i="28"/>
  <c r="AB860" i="28" s="1"/>
  <c r="V860" i="28"/>
  <c r="AC860" i="28" s="1"/>
  <c r="Q861" i="28"/>
  <c r="X861" i="28" s="1"/>
  <c r="R861" i="28"/>
  <c r="Y861" i="28" s="1"/>
  <c r="S861" i="28"/>
  <c r="Z861" i="28" s="1"/>
  <c r="T861" i="28"/>
  <c r="AA861" i="28" s="1"/>
  <c r="U861" i="28"/>
  <c r="AB861" i="28" s="1"/>
  <c r="V861" i="28"/>
  <c r="AC861" i="28" s="1"/>
  <c r="Q862" i="28"/>
  <c r="X862" i="28" s="1"/>
  <c r="R862" i="28"/>
  <c r="Y862" i="28" s="1"/>
  <c r="S862" i="28"/>
  <c r="Z862" i="28" s="1"/>
  <c r="T862" i="28"/>
  <c r="AA862" i="28" s="1"/>
  <c r="U862" i="28"/>
  <c r="AB862" i="28" s="1"/>
  <c r="V862" i="28"/>
  <c r="AC862" i="28" s="1"/>
  <c r="Q863" i="28"/>
  <c r="X863" i="28" s="1"/>
  <c r="R863" i="28"/>
  <c r="Y863" i="28" s="1"/>
  <c r="S863" i="28"/>
  <c r="Z863" i="28" s="1"/>
  <c r="T863" i="28"/>
  <c r="AA863" i="28" s="1"/>
  <c r="U863" i="28"/>
  <c r="AB863" i="28" s="1"/>
  <c r="V863" i="28"/>
  <c r="AC863" i="28" s="1"/>
  <c r="Q864" i="28"/>
  <c r="X864" i="28" s="1"/>
  <c r="R864" i="28"/>
  <c r="Y864" i="28" s="1"/>
  <c r="S864" i="28"/>
  <c r="Z864" i="28" s="1"/>
  <c r="T864" i="28"/>
  <c r="AA864" i="28" s="1"/>
  <c r="U864" i="28"/>
  <c r="AB864" i="28" s="1"/>
  <c r="Q865" i="28"/>
  <c r="X865" i="28" s="1"/>
  <c r="R865" i="28"/>
  <c r="Y865" i="28" s="1"/>
  <c r="S865" i="28"/>
  <c r="Z865" i="28" s="1"/>
  <c r="T865" i="28"/>
  <c r="AA865" i="28" s="1"/>
  <c r="U865" i="28"/>
  <c r="AB865" i="28" s="1"/>
  <c r="V865" i="28"/>
  <c r="AC865" i="28" s="1"/>
  <c r="Q866" i="28"/>
  <c r="X866" i="28" s="1"/>
  <c r="R866" i="28"/>
  <c r="Y866" i="28" s="1"/>
  <c r="S866" i="28"/>
  <c r="Z866" i="28" s="1"/>
  <c r="T866" i="28"/>
  <c r="AA866" i="28" s="1"/>
  <c r="U866" i="28"/>
  <c r="AB866" i="28" s="1"/>
  <c r="V866" i="28"/>
  <c r="AC866" i="28" s="1"/>
  <c r="Q867" i="28"/>
  <c r="X867" i="28" s="1"/>
  <c r="R867" i="28"/>
  <c r="Y867" i="28" s="1"/>
  <c r="S867" i="28"/>
  <c r="Z867" i="28" s="1"/>
  <c r="T867" i="28"/>
  <c r="AA867" i="28" s="1"/>
  <c r="U867" i="28"/>
  <c r="AB867" i="28" s="1"/>
  <c r="V867" i="28"/>
  <c r="AC867" i="28" s="1"/>
  <c r="Q868" i="28"/>
  <c r="X868" i="28" s="1"/>
  <c r="R868" i="28"/>
  <c r="Y868" i="28" s="1"/>
  <c r="S868" i="28"/>
  <c r="Z868" i="28" s="1"/>
  <c r="T868" i="28"/>
  <c r="AA868" i="28" s="1"/>
  <c r="U868" i="28"/>
  <c r="AB868" i="28" s="1"/>
  <c r="V868" i="28"/>
  <c r="AC868" i="28" s="1"/>
  <c r="Q869" i="28"/>
  <c r="X869" i="28" s="1"/>
  <c r="R869" i="28"/>
  <c r="Y869" i="28" s="1"/>
  <c r="S869" i="28"/>
  <c r="Z869" i="28" s="1"/>
  <c r="T869" i="28"/>
  <c r="AA869" i="28" s="1"/>
  <c r="U869" i="28"/>
  <c r="AB869" i="28" s="1"/>
  <c r="V869" i="28"/>
  <c r="AC869" i="28" s="1"/>
  <c r="Q870" i="28"/>
  <c r="X870" i="28" s="1"/>
  <c r="R870" i="28"/>
  <c r="Y870" i="28" s="1"/>
  <c r="S870" i="28"/>
  <c r="Z870" i="28" s="1"/>
  <c r="T870" i="28"/>
  <c r="AA870" i="28" s="1"/>
  <c r="U870" i="28"/>
  <c r="AB870" i="28" s="1"/>
  <c r="V870" i="28"/>
  <c r="AC870" i="28" s="1"/>
  <c r="Q871" i="28"/>
  <c r="X871" i="28" s="1"/>
  <c r="R871" i="28"/>
  <c r="Y871" i="28" s="1"/>
  <c r="S871" i="28"/>
  <c r="Z871" i="28" s="1"/>
  <c r="T871" i="28"/>
  <c r="AA871" i="28" s="1"/>
  <c r="U871" i="28"/>
  <c r="AB871" i="28" s="1"/>
  <c r="V871" i="28"/>
  <c r="AC871" i="28" s="1"/>
  <c r="Q872" i="28"/>
  <c r="X872" i="28" s="1"/>
  <c r="R872" i="28"/>
  <c r="Y872" i="28" s="1"/>
  <c r="S872" i="28"/>
  <c r="Z872" i="28" s="1"/>
  <c r="T872" i="28"/>
  <c r="AA872" i="28" s="1"/>
  <c r="U872" i="28"/>
  <c r="AB872" i="28" s="1"/>
  <c r="Q873" i="28"/>
  <c r="X873" i="28" s="1"/>
  <c r="R873" i="28"/>
  <c r="Y873" i="28" s="1"/>
  <c r="S873" i="28"/>
  <c r="Z873" i="28" s="1"/>
  <c r="T873" i="28"/>
  <c r="AA873" i="28" s="1"/>
  <c r="U873" i="28"/>
  <c r="AB873" i="28" s="1"/>
  <c r="V873" i="28"/>
  <c r="AC873" i="28" s="1"/>
  <c r="Q874" i="28"/>
  <c r="X874" i="28" s="1"/>
  <c r="R874" i="28"/>
  <c r="Y874" i="28" s="1"/>
  <c r="S874" i="28"/>
  <c r="Z874" i="28" s="1"/>
  <c r="T874" i="28"/>
  <c r="AA874" i="28" s="1"/>
  <c r="U874" i="28"/>
  <c r="AB874" i="28" s="1"/>
  <c r="V874" i="28"/>
  <c r="AC874" i="28" s="1"/>
  <c r="Q875" i="28"/>
  <c r="X875" i="28" s="1"/>
  <c r="R875" i="28"/>
  <c r="Y875" i="28" s="1"/>
  <c r="S875" i="28"/>
  <c r="Z875" i="28" s="1"/>
  <c r="T875" i="28"/>
  <c r="AA875" i="28" s="1"/>
  <c r="U875" i="28"/>
  <c r="AB875" i="28" s="1"/>
  <c r="V875" i="28"/>
  <c r="AC875" i="28" s="1"/>
  <c r="Q876" i="28"/>
  <c r="X876" i="28" s="1"/>
  <c r="R876" i="28"/>
  <c r="Y876" i="28" s="1"/>
  <c r="S876" i="28"/>
  <c r="Z876" i="28" s="1"/>
  <c r="T876" i="28"/>
  <c r="AA876" i="28" s="1"/>
  <c r="U876" i="28"/>
  <c r="AB876" i="28" s="1"/>
  <c r="V876" i="28"/>
  <c r="AC876" i="28" s="1"/>
  <c r="Q877" i="28"/>
  <c r="X877" i="28" s="1"/>
  <c r="R877" i="28"/>
  <c r="Y877" i="28" s="1"/>
  <c r="S877" i="28"/>
  <c r="Z877" i="28" s="1"/>
  <c r="T877" i="28"/>
  <c r="AA877" i="28" s="1"/>
  <c r="U877" i="28"/>
  <c r="AB877" i="28" s="1"/>
  <c r="V877" i="28"/>
  <c r="AC877" i="28" s="1"/>
  <c r="Q878" i="28"/>
  <c r="X878" i="28" s="1"/>
  <c r="R878" i="28"/>
  <c r="Y878" i="28" s="1"/>
  <c r="S878" i="28"/>
  <c r="Z878" i="28" s="1"/>
  <c r="T878" i="28"/>
  <c r="AA878" i="28" s="1"/>
  <c r="U878" i="28"/>
  <c r="AB878" i="28" s="1"/>
  <c r="V878" i="28"/>
  <c r="AC878" i="28" s="1"/>
  <c r="Q879" i="28"/>
  <c r="X879" i="28" s="1"/>
  <c r="R879" i="28"/>
  <c r="Y879" i="28" s="1"/>
  <c r="S879" i="28"/>
  <c r="Z879" i="28" s="1"/>
  <c r="T879" i="28"/>
  <c r="AA879" i="28" s="1"/>
  <c r="U879" i="28"/>
  <c r="AB879" i="28" s="1"/>
  <c r="V879" i="28"/>
  <c r="AC879" i="28" s="1"/>
  <c r="Q880" i="28"/>
  <c r="X880" i="28" s="1"/>
  <c r="R880" i="28"/>
  <c r="Y880" i="28" s="1"/>
  <c r="S880" i="28"/>
  <c r="Z880" i="28" s="1"/>
  <c r="T880" i="28"/>
  <c r="AA880" i="28" s="1"/>
  <c r="U880" i="28"/>
  <c r="AB880" i="28" s="1"/>
  <c r="Q881" i="28"/>
  <c r="X881" i="28" s="1"/>
  <c r="R881" i="28"/>
  <c r="Y881" i="28" s="1"/>
  <c r="S881" i="28"/>
  <c r="Z881" i="28" s="1"/>
  <c r="T881" i="28"/>
  <c r="AA881" i="28" s="1"/>
  <c r="U881" i="28"/>
  <c r="AB881" i="28" s="1"/>
  <c r="V881" i="28"/>
  <c r="AC881" i="28" s="1"/>
  <c r="Q882" i="28"/>
  <c r="X882" i="28" s="1"/>
  <c r="R882" i="28"/>
  <c r="Y882" i="28" s="1"/>
  <c r="S882" i="28"/>
  <c r="Z882" i="28" s="1"/>
  <c r="T882" i="28"/>
  <c r="AA882" i="28" s="1"/>
  <c r="U882" i="28"/>
  <c r="AB882" i="28" s="1"/>
  <c r="V882" i="28"/>
  <c r="AC882" i="28" s="1"/>
  <c r="Q883" i="28"/>
  <c r="X883" i="28" s="1"/>
  <c r="R883" i="28"/>
  <c r="Y883" i="28" s="1"/>
  <c r="S883" i="28"/>
  <c r="Z883" i="28" s="1"/>
  <c r="T883" i="28"/>
  <c r="AA883" i="28" s="1"/>
  <c r="U883" i="28"/>
  <c r="AB883" i="28" s="1"/>
  <c r="V883" i="28"/>
  <c r="AC883" i="28" s="1"/>
  <c r="Q884" i="28"/>
  <c r="X884" i="28" s="1"/>
  <c r="R884" i="28"/>
  <c r="Y884" i="28" s="1"/>
  <c r="S884" i="28"/>
  <c r="Z884" i="28" s="1"/>
  <c r="T884" i="28"/>
  <c r="AA884" i="28" s="1"/>
  <c r="U884" i="28"/>
  <c r="AB884" i="28" s="1"/>
  <c r="V884" i="28"/>
  <c r="AC884" i="28" s="1"/>
  <c r="Q885" i="28"/>
  <c r="X885" i="28" s="1"/>
  <c r="R885" i="28"/>
  <c r="Y885" i="28" s="1"/>
  <c r="S885" i="28"/>
  <c r="Z885" i="28" s="1"/>
  <c r="T885" i="28"/>
  <c r="AA885" i="28" s="1"/>
  <c r="U885" i="28"/>
  <c r="AB885" i="28" s="1"/>
  <c r="V885" i="28"/>
  <c r="AC885" i="28" s="1"/>
  <c r="Q886" i="28"/>
  <c r="X886" i="28" s="1"/>
  <c r="R886" i="28"/>
  <c r="Y886" i="28" s="1"/>
  <c r="S886" i="28"/>
  <c r="Z886" i="28" s="1"/>
  <c r="T886" i="28"/>
  <c r="AA886" i="28" s="1"/>
  <c r="U886" i="28"/>
  <c r="AB886" i="28" s="1"/>
  <c r="V886" i="28"/>
  <c r="AC886" i="28" s="1"/>
  <c r="Q887" i="28"/>
  <c r="X887" i="28" s="1"/>
  <c r="R887" i="28"/>
  <c r="Y887" i="28" s="1"/>
  <c r="S887" i="28"/>
  <c r="Z887" i="28" s="1"/>
  <c r="T887" i="28"/>
  <c r="AA887" i="28" s="1"/>
  <c r="U887" i="28"/>
  <c r="AB887" i="28" s="1"/>
  <c r="V887" i="28"/>
  <c r="AC887" i="28" s="1"/>
  <c r="Q888" i="28"/>
  <c r="X888" i="28" s="1"/>
  <c r="R888" i="28"/>
  <c r="Y888" i="28" s="1"/>
  <c r="S888" i="28"/>
  <c r="Z888" i="28" s="1"/>
  <c r="T888" i="28"/>
  <c r="AA888" i="28" s="1"/>
  <c r="U888" i="28"/>
  <c r="AB888" i="28" s="1"/>
  <c r="Q889" i="28"/>
  <c r="X889" i="28" s="1"/>
  <c r="R889" i="28"/>
  <c r="Y889" i="28" s="1"/>
  <c r="S889" i="28"/>
  <c r="Z889" i="28" s="1"/>
  <c r="T889" i="28"/>
  <c r="AA889" i="28" s="1"/>
  <c r="U889" i="28"/>
  <c r="AB889" i="28" s="1"/>
  <c r="V889" i="28"/>
  <c r="AC889" i="28" s="1"/>
  <c r="Q890" i="28"/>
  <c r="X890" i="28" s="1"/>
  <c r="R890" i="28"/>
  <c r="Y890" i="28" s="1"/>
  <c r="S890" i="28"/>
  <c r="Z890" i="28" s="1"/>
  <c r="T890" i="28"/>
  <c r="AA890" i="28" s="1"/>
  <c r="U890" i="28"/>
  <c r="AB890" i="28" s="1"/>
  <c r="V890" i="28"/>
  <c r="AC890" i="28" s="1"/>
  <c r="Q891" i="28"/>
  <c r="X891" i="28" s="1"/>
  <c r="R891" i="28"/>
  <c r="Y891" i="28" s="1"/>
  <c r="S891" i="28"/>
  <c r="Z891" i="28" s="1"/>
  <c r="T891" i="28"/>
  <c r="AA891" i="28" s="1"/>
  <c r="U891" i="28"/>
  <c r="AB891" i="28" s="1"/>
  <c r="V891" i="28"/>
  <c r="AC891" i="28" s="1"/>
  <c r="Q892" i="28"/>
  <c r="X892" i="28" s="1"/>
  <c r="R892" i="28"/>
  <c r="Y892" i="28" s="1"/>
  <c r="S892" i="28"/>
  <c r="Z892" i="28" s="1"/>
  <c r="T892" i="28"/>
  <c r="AA892" i="28" s="1"/>
  <c r="U892" i="28"/>
  <c r="AB892" i="28" s="1"/>
  <c r="V892" i="28"/>
  <c r="AC892" i="28" s="1"/>
  <c r="Q893" i="28"/>
  <c r="X893" i="28" s="1"/>
  <c r="R893" i="28"/>
  <c r="Y893" i="28" s="1"/>
  <c r="S893" i="28"/>
  <c r="Z893" i="28" s="1"/>
  <c r="T893" i="28"/>
  <c r="AA893" i="28" s="1"/>
  <c r="U893" i="28"/>
  <c r="AB893" i="28" s="1"/>
  <c r="V893" i="28"/>
  <c r="AC893" i="28" s="1"/>
  <c r="Q894" i="28"/>
  <c r="X894" i="28" s="1"/>
  <c r="R894" i="28"/>
  <c r="Y894" i="28" s="1"/>
  <c r="S894" i="28"/>
  <c r="Z894" i="28" s="1"/>
  <c r="T894" i="28"/>
  <c r="AA894" i="28" s="1"/>
  <c r="U894" i="28"/>
  <c r="AB894" i="28" s="1"/>
  <c r="V894" i="28"/>
  <c r="AC894" i="28" s="1"/>
  <c r="Q895" i="28"/>
  <c r="X895" i="28" s="1"/>
  <c r="R895" i="28"/>
  <c r="Y895" i="28" s="1"/>
  <c r="S895" i="28"/>
  <c r="Z895" i="28" s="1"/>
  <c r="T895" i="28"/>
  <c r="AA895" i="28" s="1"/>
  <c r="U895" i="28"/>
  <c r="AB895" i="28" s="1"/>
  <c r="V895" i="28"/>
  <c r="AC895" i="28" s="1"/>
  <c r="Q896" i="28"/>
  <c r="X896" i="28" s="1"/>
  <c r="R896" i="28"/>
  <c r="Y896" i="28" s="1"/>
  <c r="S896" i="28"/>
  <c r="Z896" i="28" s="1"/>
  <c r="T896" i="28"/>
  <c r="AA896" i="28" s="1"/>
  <c r="U896" i="28"/>
  <c r="AB896" i="28" s="1"/>
  <c r="Q897" i="28"/>
  <c r="X897" i="28" s="1"/>
  <c r="R897" i="28"/>
  <c r="Y897" i="28" s="1"/>
  <c r="S897" i="28"/>
  <c r="Z897" i="28" s="1"/>
  <c r="T897" i="28"/>
  <c r="AA897" i="28" s="1"/>
  <c r="U897" i="28"/>
  <c r="AB897" i="28" s="1"/>
  <c r="V897" i="28"/>
  <c r="AC897" i="28" s="1"/>
  <c r="Q898" i="28"/>
  <c r="X898" i="28" s="1"/>
  <c r="R898" i="28"/>
  <c r="Y898" i="28" s="1"/>
  <c r="S898" i="28"/>
  <c r="Z898" i="28" s="1"/>
  <c r="T898" i="28"/>
  <c r="AA898" i="28" s="1"/>
  <c r="U898" i="28"/>
  <c r="AB898" i="28" s="1"/>
  <c r="V898" i="28"/>
  <c r="AC898" i="28" s="1"/>
  <c r="Q899" i="28"/>
  <c r="X899" i="28" s="1"/>
  <c r="R899" i="28"/>
  <c r="Y899" i="28" s="1"/>
  <c r="S899" i="28"/>
  <c r="Z899" i="28" s="1"/>
  <c r="T899" i="28"/>
  <c r="AA899" i="28" s="1"/>
  <c r="U899" i="28"/>
  <c r="AB899" i="28" s="1"/>
  <c r="V899" i="28"/>
  <c r="AC899" i="28" s="1"/>
  <c r="Q900" i="28"/>
  <c r="X900" i="28" s="1"/>
  <c r="R900" i="28"/>
  <c r="Y900" i="28" s="1"/>
  <c r="S900" i="28"/>
  <c r="Z900" i="28" s="1"/>
  <c r="T900" i="28"/>
  <c r="AA900" i="28" s="1"/>
  <c r="U900" i="28"/>
  <c r="AB900" i="28" s="1"/>
  <c r="V900" i="28"/>
  <c r="AC900" i="28" s="1"/>
  <c r="Q901" i="28"/>
  <c r="X901" i="28" s="1"/>
  <c r="R901" i="28"/>
  <c r="Y901" i="28" s="1"/>
  <c r="S901" i="28"/>
  <c r="Z901" i="28" s="1"/>
  <c r="T901" i="28"/>
  <c r="AA901" i="28" s="1"/>
  <c r="U901" i="28"/>
  <c r="AB901" i="28" s="1"/>
  <c r="V901" i="28"/>
  <c r="AC901" i="28" s="1"/>
  <c r="Q902" i="28"/>
  <c r="X902" i="28" s="1"/>
  <c r="R902" i="28"/>
  <c r="Y902" i="28" s="1"/>
  <c r="S902" i="28"/>
  <c r="Z902" i="28" s="1"/>
  <c r="T902" i="28"/>
  <c r="AA902" i="28" s="1"/>
  <c r="U902" i="28"/>
  <c r="AB902" i="28" s="1"/>
  <c r="V902" i="28"/>
  <c r="AC902" i="28" s="1"/>
  <c r="Q903" i="28"/>
  <c r="X903" i="28" s="1"/>
  <c r="R903" i="28"/>
  <c r="Y903" i="28" s="1"/>
  <c r="S903" i="28"/>
  <c r="Z903" i="28" s="1"/>
  <c r="T903" i="28"/>
  <c r="AA903" i="28" s="1"/>
  <c r="U903" i="28"/>
  <c r="AB903" i="28" s="1"/>
  <c r="V903" i="28"/>
  <c r="AC903" i="28" s="1"/>
  <c r="Q904" i="28"/>
  <c r="X904" i="28" s="1"/>
  <c r="R904" i="28"/>
  <c r="Y904" i="28" s="1"/>
  <c r="S904" i="28"/>
  <c r="Z904" i="28" s="1"/>
  <c r="T904" i="28"/>
  <c r="AA904" i="28" s="1"/>
  <c r="U904" i="28"/>
  <c r="AB904" i="28" s="1"/>
  <c r="Q905" i="28"/>
  <c r="X905" i="28" s="1"/>
  <c r="R905" i="28"/>
  <c r="Y905" i="28" s="1"/>
  <c r="S905" i="28"/>
  <c r="Z905" i="28" s="1"/>
  <c r="T905" i="28"/>
  <c r="AA905" i="28" s="1"/>
  <c r="U905" i="28"/>
  <c r="AB905" i="28" s="1"/>
  <c r="V905" i="28"/>
  <c r="AC905" i="28" s="1"/>
  <c r="Q906" i="28"/>
  <c r="X906" i="28" s="1"/>
  <c r="R906" i="28"/>
  <c r="Y906" i="28" s="1"/>
  <c r="S906" i="28"/>
  <c r="Z906" i="28" s="1"/>
  <c r="T906" i="28"/>
  <c r="AA906" i="28" s="1"/>
  <c r="U906" i="28"/>
  <c r="AB906" i="28" s="1"/>
  <c r="V906" i="28"/>
  <c r="AC906" i="28" s="1"/>
  <c r="Q907" i="28"/>
  <c r="X907" i="28" s="1"/>
  <c r="R907" i="28"/>
  <c r="Y907" i="28" s="1"/>
  <c r="S907" i="28"/>
  <c r="Z907" i="28" s="1"/>
  <c r="T907" i="28"/>
  <c r="AA907" i="28" s="1"/>
  <c r="U907" i="28"/>
  <c r="AB907" i="28" s="1"/>
  <c r="V907" i="28"/>
  <c r="AC907" i="28" s="1"/>
  <c r="Q908" i="28"/>
  <c r="X908" i="28" s="1"/>
  <c r="R908" i="28"/>
  <c r="Y908" i="28" s="1"/>
  <c r="S908" i="28"/>
  <c r="Z908" i="28" s="1"/>
  <c r="T908" i="28"/>
  <c r="AA908" i="28" s="1"/>
  <c r="U908" i="28"/>
  <c r="AB908" i="28" s="1"/>
  <c r="V908" i="28"/>
  <c r="AC908" i="28" s="1"/>
  <c r="Q909" i="28"/>
  <c r="X909" i="28" s="1"/>
  <c r="R909" i="28"/>
  <c r="Y909" i="28" s="1"/>
  <c r="S909" i="28"/>
  <c r="Z909" i="28" s="1"/>
  <c r="T909" i="28"/>
  <c r="AA909" i="28" s="1"/>
  <c r="U909" i="28"/>
  <c r="AB909" i="28" s="1"/>
  <c r="V909" i="28"/>
  <c r="AC909" i="28" s="1"/>
  <c r="Q910" i="28"/>
  <c r="X910" i="28" s="1"/>
  <c r="R910" i="28"/>
  <c r="Y910" i="28" s="1"/>
  <c r="S910" i="28"/>
  <c r="Z910" i="28" s="1"/>
  <c r="T910" i="28"/>
  <c r="AA910" i="28" s="1"/>
  <c r="U910" i="28"/>
  <c r="AB910" i="28" s="1"/>
  <c r="V910" i="28"/>
  <c r="AC910" i="28" s="1"/>
  <c r="Q911" i="28"/>
  <c r="X911" i="28" s="1"/>
  <c r="R911" i="28"/>
  <c r="Y911" i="28" s="1"/>
  <c r="S911" i="28"/>
  <c r="Z911" i="28" s="1"/>
  <c r="T911" i="28"/>
  <c r="AA911" i="28" s="1"/>
  <c r="U911" i="28"/>
  <c r="AB911" i="28" s="1"/>
  <c r="V911" i="28"/>
  <c r="AC911" i="28" s="1"/>
  <c r="Q912" i="28"/>
  <c r="X912" i="28" s="1"/>
  <c r="R912" i="28"/>
  <c r="Y912" i="28" s="1"/>
  <c r="S912" i="28"/>
  <c r="Z912" i="28" s="1"/>
  <c r="T912" i="28"/>
  <c r="AA912" i="28" s="1"/>
  <c r="U912" i="28"/>
  <c r="AB912" i="28" s="1"/>
  <c r="Q913" i="28"/>
  <c r="X913" i="28" s="1"/>
  <c r="R913" i="28"/>
  <c r="Y913" i="28" s="1"/>
  <c r="S913" i="28"/>
  <c r="Z913" i="28" s="1"/>
  <c r="T913" i="28"/>
  <c r="AA913" i="28" s="1"/>
  <c r="U913" i="28"/>
  <c r="AB913" i="28" s="1"/>
  <c r="V913" i="28"/>
  <c r="AC913" i="28" s="1"/>
  <c r="Q914" i="28"/>
  <c r="X914" i="28" s="1"/>
  <c r="R914" i="28"/>
  <c r="Y914" i="28" s="1"/>
  <c r="S914" i="28"/>
  <c r="Z914" i="28" s="1"/>
  <c r="T914" i="28"/>
  <c r="AA914" i="28" s="1"/>
  <c r="U914" i="28"/>
  <c r="AB914" i="28" s="1"/>
  <c r="V914" i="28"/>
  <c r="AC914" i="28" s="1"/>
  <c r="Q915" i="28"/>
  <c r="X915" i="28" s="1"/>
  <c r="R915" i="28"/>
  <c r="Y915" i="28" s="1"/>
  <c r="S915" i="28"/>
  <c r="Z915" i="28" s="1"/>
  <c r="T915" i="28"/>
  <c r="AA915" i="28" s="1"/>
  <c r="U915" i="28"/>
  <c r="AB915" i="28" s="1"/>
  <c r="V915" i="28"/>
  <c r="AC915" i="28" s="1"/>
  <c r="Q916" i="28"/>
  <c r="X916" i="28" s="1"/>
  <c r="R916" i="28"/>
  <c r="Y916" i="28" s="1"/>
  <c r="S916" i="28"/>
  <c r="Z916" i="28" s="1"/>
  <c r="T916" i="28"/>
  <c r="AA916" i="28" s="1"/>
  <c r="U916" i="28"/>
  <c r="AB916" i="28" s="1"/>
  <c r="V916" i="28"/>
  <c r="AC916" i="28" s="1"/>
  <c r="Q917" i="28"/>
  <c r="X917" i="28" s="1"/>
  <c r="R917" i="28"/>
  <c r="Y917" i="28" s="1"/>
  <c r="S917" i="28"/>
  <c r="Z917" i="28" s="1"/>
  <c r="T917" i="28"/>
  <c r="AA917" i="28" s="1"/>
  <c r="U917" i="28"/>
  <c r="AB917" i="28" s="1"/>
  <c r="V917" i="28"/>
  <c r="AC917" i="28" s="1"/>
  <c r="Q918" i="28"/>
  <c r="X918" i="28" s="1"/>
  <c r="R918" i="28"/>
  <c r="Y918" i="28" s="1"/>
  <c r="S918" i="28"/>
  <c r="Z918" i="28" s="1"/>
  <c r="T918" i="28"/>
  <c r="AA918" i="28" s="1"/>
  <c r="U918" i="28"/>
  <c r="AB918" i="28" s="1"/>
  <c r="V918" i="28"/>
  <c r="AC918" i="28" s="1"/>
  <c r="Q919" i="28"/>
  <c r="X919" i="28" s="1"/>
  <c r="R919" i="28"/>
  <c r="Y919" i="28" s="1"/>
  <c r="S919" i="28"/>
  <c r="Z919" i="28" s="1"/>
  <c r="T919" i="28"/>
  <c r="AA919" i="28" s="1"/>
  <c r="U919" i="28"/>
  <c r="AB919" i="28" s="1"/>
  <c r="V919" i="28"/>
  <c r="AC919" i="28" s="1"/>
  <c r="Q920" i="28"/>
  <c r="X920" i="28" s="1"/>
  <c r="R920" i="28"/>
  <c r="Y920" i="28" s="1"/>
  <c r="S920" i="28"/>
  <c r="Z920" i="28" s="1"/>
  <c r="T920" i="28"/>
  <c r="AA920" i="28" s="1"/>
  <c r="U920" i="28"/>
  <c r="AB920" i="28" s="1"/>
  <c r="Q921" i="28"/>
  <c r="X921" i="28" s="1"/>
  <c r="R921" i="28"/>
  <c r="Y921" i="28" s="1"/>
  <c r="S921" i="28"/>
  <c r="Z921" i="28" s="1"/>
  <c r="T921" i="28"/>
  <c r="AA921" i="28" s="1"/>
  <c r="U921" i="28"/>
  <c r="AB921" i="28" s="1"/>
  <c r="V921" i="28"/>
  <c r="AC921" i="28" s="1"/>
  <c r="Q922" i="28"/>
  <c r="X922" i="28" s="1"/>
  <c r="R922" i="28"/>
  <c r="Y922" i="28" s="1"/>
  <c r="S922" i="28"/>
  <c r="Z922" i="28" s="1"/>
  <c r="T922" i="28"/>
  <c r="AA922" i="28" s="1"/>
  <c r="U922" i="28"/>
  <c r="AB922" i="28" s="1"/>
  <c r="V922" i="28"/>
  <c r="AC922" i="28" s="1"/>
  <c r="Q923" i="28"/>
  <c r="X923" i="28" s="1"/>
  <c r="R923" i="28"/>
  <c r="Y923" i="28" s="1"/>
  <c r="S923" i="28"/>
  <c r="Z923" i="28" s="1"/>
  <c r="T923" i="28"/>
  <c r="AA923" i="28" s="1"/>
  <c r="U923" i="28"/>
  <c r="AB923" i="28" s="1"/>
  <c r="V923" i="28"/>
  <c r="AC923" i="28" s="1"/>
  <c r="Q924" i="28"/>
  <c r="X924" i="28" s="1"/>
  <c r="R924" i="28"/>
  <c r="Y924" i="28" s="1"/>
  <c r="S924" i="28"/>
  <c r="Z924" i="28" s="1"/>
  <c r="T924" i="28"/>
  <c r="AA924" i="28" s="1"/>
  <c r="U924" i="28"/>
  <c r="AB924" i="28" s="1"/>
  <c r="V924" i="28"/>
  <c r="AC924" i="28" s="1"/>
  <c r="Q925" i="28"/>
  <c r="X925" i="28" s="1"/>
  <c r="R925" i="28"/>
  <c r="Y925" i="28" s="1"/>
  <c r="S925" i="28"/>
  <c r="Z925" i="28" s="1"/>
  <c r="T925" i="28"/>
  <c r="AA925" i="28" s="1"/>
  <c r="U925" i="28"/>
  <c r="AB925" i="28" s="1"/>
  <c r="V925" i="28"/>
  <c r="AC925" i="28" s="1"/>
  <c r="Q926" i="28"/>
  <c r="X926" i="28" s="1"/>
  <c r="R926" i="28"/>
  <c r="Y926" i="28" s="1"/>
  <c r="S926" i="28"/>
  <c r="Z926" i="28" s="1"/>
  <c r="T926" i="28"/>
  <c r="AA926" i="28" s="1"/>
  <c r="U926" i="28"/>
  <c r="AB926" i="28" s="1"/>
  <c r="V926" i="28"/>
  <c r="AC926" i="28" s="1"/>
  <c r="Q927" i="28"/>
  <c r="X927" i="28" s="1"/>
  <c r="R927" i="28"/>
  <c r="Y927" i="28" s="1"/>
  <c r="S927" i="28"/>
  <c r="Z927" i="28" s="1"/>
  <c r="T927" i="28"/>
  <c r="AA927" i="28" s="1"/>
  <c r="U927" i="28"/>
  <c r="AB927" i="28" s="1"/>
  <c r="V927" i="28"/>
  <c r="AC927" i="28" s="1"/>
  <c r="Q928" i="28"/>
  <c r="X928" i="28" s="1"/>
  <c r="R928" i="28"/>
  <c r="Y928" i="28" s="1"/>
  <c r="S928" i="28"/>
  <c r="Z928" i="28" s="1"/>
  <c r="T928" i="28"/>
  <c r="AA928" i="28" s="1"/>
  <c r="U928" i="28"/>
  <c r="AB928" i="28" s="1"/>
  <c r="Q929" i="28"/>
  <c r="X929" i="28" s="1"/>
  <c r="R929" i="28"/>
  <c r="Y929" i="28" s="1"/>
  <c r="S929" i="28"/>
  <c r="Z929" i="28" s="1"/>
  <c r="T929" i="28"/>
  <c r="AA929" i="28" s="1"/>
  <c r="U929" i="28"/>
  <c r="AB929" i="28" s="1"/>
  <c r="V929" i="28"/>
  <c r="AC929" i="28" s="1"/>
  <c r="Q930" i="28"/>
  <c r="X930" i="28" s="1"/>
  <c r="R930" i="28"/>
  <c r="Y930" i="28" s="1"/>
  <c r="S930" i="28"/>
  <c r="Z930" i="28" s="1"/>
  <c r="T930" i="28"/>
  <c r="AA930" i="28" s="1"/>
  <c r="U930" i="28"/>
  <c r="AB930" i="28" s="1"/>
  <c r="V930" i="28"/>
  <c r="AC930" i="28" s="1"/>
  <c r="Q931" i="28"/>
  <c r="X931" i="28" s="1"/>
  <c r="R931" i="28"/>
  <c r="Y931" i="28" s="1"/>
  <c r="S931" i="28"/>
  <c r="Z931" i="28" s="1"/>
  <c r="T931" i="28"/>
  <c r="AA931" i="28" s="1"/>
  <c r="U931" i="28"/>
  <c r="AB931" i="28" s="1"/>
  <c r="V931" i="28"/>
  <c r="AC931" i="28" s="1"/>
  <c r="Q932" i="28"/>
  <c r="X932" i="28" s="1"/>
  <c r="R932" i="28"/>
  <c r="Y932" i="28" s="1"/>
  <c r="S932" i="28"/>
  <c r="Z932" i="28" s="1"/>
  <c r="T932" i="28"/>
  <c r="AA932" i="28" s="1"/>
  <c r="U932" i="28"/>
  <c r="AB932" i="28" s="1"/>
  <c r="V932" i="28"/>
  <c r="AC932" i="28" s="1"/>
  <c r="Q933" i="28"/>
  <c r="X933" i="28" s="1"/>
  <c r="R933" i="28"/>
  <c r="Y933" i="28" s="1"/>
  <c r="S933" i="28"/>
  <c r="Z933" i="28" s="1"/>
  <c r="T933" i="28"/>
  <c r="AA933" i="28" s="1"/>
  <c r="U933" i="28"/>
  <c r="AB933" i="28" s="1"/>
  <c r="V933" i="28"/>
  <c r="AC933" i="28" s="1"/>
  <c r="Q934" i="28"/>
  <c r="X934" i="28" s="1"/>
  <c r="R934" i="28"/>
  <c r="Y934" i="28" s="1"/>
  <c r="S934" i="28"/>
  <c r="Z934" i="28" s="1"/>
  <c r="T934" i="28"/>
  <c r="AA934" i="28" s="1"/>
  <c r="U934" i="28"/>
  <c r="AB934" i="28" s="1"/>
  <c r="V934" i="28"/>
  <c r="AC934" i="28" s="1"/>
  <c r="Q935" i="28"/>
  <c r="X935" i="28" s="1"/>
  <c r="R935" i="28"/>
  <c r="Y935" i="28" s="1"/>
  <c r="S935" i="28"/>
  <c r="Z935" i="28" s="1"/>
  <c r="T935" i="28"/>
  <c r="AA935" i="28" s="1"/>
  <c r="U935" i="28"/>
  <c r="AB935" i="28" s="1"/>
  <c r="V935" i="28"/>
  <c r="AC935" i="28" s="1"/>
  <c r="Q936" i="28"/>
  <c r="X936" i="28" s="1"/>
  <c r="R936" i="28"/>
  <c r="Y936" i="28" s="1"/>
  <c r="S936" i="28"/>
  <c r="Z936" i="28" s="1"/>
  <c r="T936" i="28"/>
  <c r="AA936" i="28" s="1"/>
  <c r="U936" i="28"/>
  <c r="AB936" i="28" s="1"/>
  <c r="Q937" i="28"/>
  <c r="X937" i="28" s="1"/>
  <c r="R937" i="28"/>
  <c r="Y937" i="28" s="1"/>
  <c r="S937" i="28"/>
  <c r="Z937" i="28" s="1"/>
  <c r="T937" i="28"/>
  <c r="AA937" i="28" s="1"/>
  <c r="U937" i="28"/>
  <c r="AB937" i="28" s="1"/>
  <c r="V937" i="28"/>
  <c r="AC937" i="28" s="1"/>
  <c r="Q938" i="28"/>
  <c r="X938" i="28" s="1"/>
  <c r="R938" i="28"/>
  <c r="Y938" i="28" s="1"/>
  <c r="S938" i="28"/>
  <c r="Z938" i="28" s="1"/>
  <c r="T938" i="28"/>
  <c r="AA938" i="28" s="1"/>
  <c r="U938" i="28"/>
  <c r="AB938" i="28" s="1"/>
  <c r="V938" i="28"/>
  <c r="AC938" i="28" s="1"/>
  <c r="Q939" i="28"/>
  <c r="X939" i="28" s="1"/>
  <c r="R939" i="28"/>
  <c r="Y939" i="28" s="1"/>
  <c r="S939" i="28"/>
  <c r="Z939" i="28" s="1"/>
  <c r="T939" i="28"/>
  <c r="AA939" i="28" s="1"/>
  <c r="U939" i="28"/>
  <c r="AB939" i="28" s="1"/>
  <c r="V939" i="28"/>
  <c r="AC939" i="28" s="1"/>
  <c r="Q940" i="28"/>
  <c r="X940" i="28" s="1"/>
  <c r="R940" i="28"/>
  <c r="Y940" i="28" s="1"/>
  <c r="S940" i="28"/>
  <c r="Z940" i="28" s="1"/>
  <c r="T940" i="28"/>
  <c r="AA940" i="28" s="1"/>
  <c r="U940" i="28"/>
  <c r="AB940" i="28" s="1"/>
  <c r="V940" i="28"/>
  <c r="AC940" i="28" s="1"/>
  <c r="Q941" i="28"/>
  <c r="X941" i="28" s="1"/>
  <c r="R941" i="28"/>
  <c r="Y941" i="28" s="1"/>
  <c r="S941" i="28"/>
  <c r="Z941" i="28" s="1"/>
  <c r="T941" i="28"/>
  <c r="AA941" i="28" s="1"/>
  <c r="U941" i="28"/>
  <c r="AB941" i="28" s="1"/>
  <c r="V941" i="28"/>
  <c r="AC941" i="28" s="1"/>
  <c r="Q942" i="28"/>
  <c r="X942" i="28" s="1"/>
  <c r="R942" i="28"/>
  <c r="Y942" i="28" s="1"/>
  <c r="S942" i="28"/>
  <c r="Z942" i="28" s="1"/>
  <c r="T942" i="28"/>
  <c r="AA942" i="28" s="1"/>
  <c r="U942" i="28"/>
  <c r="AB942" i="28" s="1"/>
  <c r="V942" i="28"/>
  <c r="AC942" i="28" s="1"/>
  <c r="Q943" i="28"/>
  <c r="X943" i="28" s="1"/>
  <c r="R943" i="28"/>
  <c r="Y943" i="28" s="1"/>
  <c r="S943" i="28"/>
  <c r="Z943" i="28" s="1"/>
  <c r="T943" i="28"/>
  <c r="AA943" i="28" s="1"/>
  <c r="U943" i="28"/>
  <c r="AB943" i="28" s="1"/>
  <c r="V943" i="28"/>
  <c r="AC943" i="28" s="1"/>
  <c r="Q944" i="28"/>
  <c r="X944" i="28" s="1"/>
  <c r="R944" i="28"/>
  <c r="Y944" i="28" s="1"/>
  <c r="S944" i="28"/>
  <c r="Z944" i="28" s="1"/>
  <c r="T944" i="28"/>
  <c r="AA944" i="28" s="1"/>
  <c r="U944" i="28"/>
  <c r="AB944" i="28" s="1"/>
  <c r="Q945" i="28"/>
  <c r="X945" i="28" s="1"/>
  <c r="R945" i="28"/>
  <c r="Y945" i="28" s="1"/>
  <c r="S945" i="28"/>
  <c r="Z945" i="28" s="1"/>
  <c r="T945" i="28"/>
  <c r="AA945" i="28" s="1"/>
  <c r="U945" i="28"/>
  <c r="AB945" i="28" s="1"/>
  <c r="V945" i="28"/>
  <c r="AC945" i="28" s="1"/>
  <c r="Q946" i="28"/>
  <c r="X946" i="28" s="1"/>
  <c r="R946" i="28"/>
  <c r="Y946" i="28" s="1"/>
  <c r="S946" i="28"/>
  <c r="Z946" i="28" s="1"/>
  <c r="T946" i="28"/>
  <c r="AA946" i="28" s="1"/>
  <c r="U946" i="28"/>
  <c r="AB946" i="28" s="1"/>
  <c r="V946" i="28"/>
  <c r="AC946" i="28" s="1"/>
  <c r="Q947" i="28"/>
  <c r="X947" i="28" s="1"/>
  <c r="R947" i="28"/>
  <c r="Y947" i="28" s="1"/>
  <c r="S947" i="28"/>
  <c r="Z947" i="28" s="1"/>
  <c r="T947" i="28"/>
  <c r="AA947" i="28" s="1"/>
  <c r="U947" i="28"/>
  <c r="AB947" i="28" s="1"/>
  <c r="V947" i="28"/>
  <c r="AC947" i="28" s="1"/>
  <c r="Q948" i="28"/>
  <c r="X948" i="28" s="1"/>
  <c r="R948" i="28"/>
  <c r="Y948" i="28" s="1"/>
  <c r="S948" i="28"/>
  <c r="Z948" i="28" s="1"/>
  <c r="T948" i="28"/>
  <c r="AA948" i="28" s="1"/>
  <c r="U948" i="28"/>
  <c r="AB948" i="28" s="1"/>
  <c r="V948" i="28"/>
  <c r="AC948" i="28" s="1"/>
  <c r="Q949" i="28"/>
  <c r="X949" i="28" s="1"/>
  <c r="R949" i="28"/>
  <c r="Y949" i="28" s="1"/>
  <c r="S949" i="28"/>
  <c r="Z949" i="28" s="1"/>
  <c r="T949" i="28"/>
  <c r="AA949" i="28" s="1"/>
  <c r="U949" i="28"/>
  <c r="AB949" i="28" s="1"/>
  <c r="V949" i="28"/>
  <c r="AC949" i="28" s="1"/>
  <c r="Q950" i="28"/>
  <c r="X950" i="28" s="1"/>
  <c r="R950" i="28"/>
  <c r="Y950" i="28" s="1"/>
  <c r="S950" i="28"/>
  <c r="Z950" i="28" s="1"/>
  <c r="T950" i="28"/>
  <c r="AA950" i="28" s="1"/>
  <c r="U950" i="28"/>
  <c r="AB950" i="28" s="1"/>
  <c r="V950" i="28"/>
  <c r="AC950" i="28" s="1"/>
  <c r="Q951" i="28"/>
  <c r="X951" i="28" s="1"/>
  <c r="R951" i="28"/>
  <c r="Y951" i="28" s="1"/>
  <c r="S951" i="28"/>
  <c r="Z951" i="28" s="1"/>
  <c r="T951" i="28"/>
  <c r="AA951" i="28" s="1"/>
  <c r="U951" i="28"/>
  <c r="AB951" i="28" s="1"/>
  <c r="V951" i="28"/>
  <c r="AC951" i="28" s="1"/>
  <c r="Q952" i="28"/>
  <c r="X952" i="28" s="1"/>
  <c r="R952" i="28"/>
  <c r="Y952" i="28" s="1"/>
  <c r="S952" i="28"/>
  <c r="Z952" i="28" s="1"/>
  <c r="T952" i="28"/>
  <c r="AA952" i="28" s="1"/>
  <c r="U952" i="28"/>
  <c r="AB952" i="28" s="1"/>
  <c r="Q953" i="28"/>
  <c r="X953" i="28" s="1"/>
  <c r="R953" i="28"/>
  <c r="Y953" i="28" s="1"/>
  <c r="S953" i="28"/>
  <c r="Z953" i="28" s="1"/>
  <c r="T953" i="28"/>
  <c r="AA953" i="28" s="1"/>
  <c r="U953" i="28"/>
  <c r="AB953" i="28" s="1"/>
  <c r="V953" i="28"/>
  <c r="AC953" i="28" s="1"/>
  <c r="Q954" i="28"/>
  <c r="X954" i="28" s="1"/>
  <c r="R954" i="28"/>
  <c r="Y954" i="28" s="1"/>
  <c r="S954" i="28"/>
  <c r="Z954" i="28" s="1"/>
  <c r="T954" i="28"/>
  <c r="AA954" i="28" s="1"/>
  <c r="U954" i="28"/>
  <c r="AB954" i="28" s="1"/>
  <c r="V954" i="28"/>
  <c r="AC954" i="28" s="1"/>
  <c r="Q955" i="28"/>
  <c r="X955" i="28" s="1"/>
  <c r="R955" i="28"/>
  <c r="Y955" i="28" s="1"/>
  <c r="S955" i="28"/>
  <c r="Z955" i="28" s="1"/>
  <c r="T955" i="28"/>
  <c r="AA955" i="28" s="1"/>
  <c r="U955" i="28"/>
  <c r="AB955" i="28" s="1"/>
  <c r="V955" i="28"/>
  <c r="AC955" i="28" s="1"/>
  <c r="Q956" i="28"/>
  <c r="X956" i="28" s="1"/>
  <c r="R956" i="28"/>
  <c r="Y956" i="28" s="1"/>
  <c r="S956" i="28"/>
  <c r="Z956" i="28" s="1"/>
  <c r="T956" i="28"/>
  <c r="AA956" i="28" s="1"/>
  <c r="U956" i="28"/>
  <c r="AB956" i="28" s="1"/>
  <c r="V956" i="28"/>
  <c r="AC956" i="28" s="1"/>
  <c r="Q957" i="28"/>
  <c r="X957" i="28" s="1"/>
  <c r="R957" i="28"/>
  <c r="Y957" i="28" s="1"/>
  <c r="S957" i="28"/>
  <c r="Z957" i="28" s="1"/>
  <c r="T957" i="28"/>
  <c r="AA957" i="28" s="1"/>
  <c r="U957" i="28"/>
  <c r="AB957" i="28" s="1"/>
  <c r="V957" i="28"/>
  <c r="AC957" i="28" s="1"/>
  <c r="Q958" i="28"/>
  <c r="X958" i="28" s="1"/>
  <c r="R958" i="28"/>
  <c r="Y958" i="28" s="1"/>
  <c r="S958" i="28"/>
  <c r="Z958" i="28" s="1"/>
  <c r="T958" i="28"/>
  <c r="AA958" i="28" s="1"/>
  <c r="U958" i="28"/>
  <c r="AB958" i="28" s="1"/>
  <c r="V958" i="28"/>
  <c r="AC958" i="28" s="1"/>
  <c r="Q959" i="28"/>
  <c r="X959" i="28" s="1"/>
  <c r="R959" i="28"/>
  <c r="Y959" i="28" s="1"/>
  <c r="S959" i="28"/>
  <c r="Z959" i="28" s="1"/>
  <c r="T959" i="28"/>
  <c r="AA959" i="28" s="1"/>
  <c r="U959" i="28"/>
  <c r="AB959" i="28" s="1"/>
  <c r="V959" i="28"/>
  <c r="AC959" i="28" s="1"/>
  <c r="Q960" i="28"/>
  <c r="X960" i="28" s="1"/>
  <c r="R960" i="28"/>
  <c r="Y960" i="28" s="1"/>
  <c r="S960" i="28"/>
  <c r="Z960" i="28" s="1"/>
  <c r="T960" i="28"/>
  <c r="AA960" i="28" s="1"/>
  <c r="U960" i="28"/>
  <c r="AB960" i="28" s="1"/>
  <c r="Q961" i="28"/>
  <c r="X961" i="28" s="1"/>
  <c r="R961" i="28"/>
  <c r="Y961" i="28" s="1"/>
  <c r="S961" i="28"/>
  <c r="Z961" i="28" s="1"/>
  <c r="T961" i="28"/>
  <c r="AA961" i="28" s="1"/>
  <c r="U961" i="28"/>
  <c r="AB961" i="28" s="1"/>
  <c r="V961" i="28"/>
  <c r="AC961" i="28" s="1"/>
  <c r="Q962" i="28"/>
  <c r="X962" i="28" s="1"/>
  <c r="R962" i="28"/>
  <c r="Y962" i="28" s="1"/>
  <c r="S962" i="28"/>
  <c r="Z962" i="28" s="1"/>
  <c r="T962" i="28"/>
  <c r="AA962" i="28" s="1"/>
  <c r="U962" i="28"/>
  <c r="AB962" i="28" s="1"/>
  <c r="V962" i="28"/>
  <c r="AC962" i="28" s="1"/>
  <c r="Q963" i="28"/>
  <c r="X963" i="28" s="1"/>
  <c r="R963" i="28"/>
  <c r="Y963" i="28" s="1"/>
  <c r="S963" i="28"/>
  <c r="Z963" i="28" s="1"/>
  <c r="T963" i="28"/>
  <c r="AA963" i="28" s="1"/>
  <c r="U963" i="28"/>
  <c r="AB963" i="28" s="1"/>
  <c r="V963" i="28"/>
  <c r="AC963" i="28" s="1"/>
  <c r="Q964" i="28"/>
  <c r="X964" i="28" s="1"/>
  <c r="R964" i="28"/>
  <c r="Y964" i="28" s="1"/>
  <c r="S964" i="28"/>
  <c r="Z964" i="28" s="1"/>
  <c r="T964" i="28"/>
  <c r="AA964" i="28" s="1"/>
  <c r="U964" i="28"/>
  <c r="AB964" i="28" s="1"/>
  <c r="V964" i="28"/>
  <c r="AC964" i="28" s="1"/>
  <c r="Q965" i="28"/>
  <c r="X965" i="28" s="1"/>
  <c r="R965" i="28"/>
  <c r="Y965" i="28" s="1"/>
  <c r="S965" i="28"/>
  <c r="Z965" i="28" s="1"/>
  <c r="T965" i="28"/>
  <c r="AA965" i="28" s="1"/>
  <c r="U965" i="28"/>
  <c r="AB965" i="28" s="1"/>
  <c r="V965" i="28"/>
  <c r="AC965" i="28" s="1"/>
  <c r="Q966" i="28"/>
  <c r="X966" i="28" s="1"/>
  <c r="R966" i="28"/>
  <c r="Y966" i="28" s="1"/>
  <c r="S966" i="28"/>
  <c r="Z966" i="28" s="1"/>
  <c r="T966" i="28"/>
  <c r="AA966" i="28" s="1"/>
  <c r="U966" i="28"/>
  <c r="AB966" i="28" s="1"/>
  <c r="V966" i="28"/>
  <c r="AC966" i="28" s="1"/>
  <c r="Q967" i="28"/>
  <c r="X967" i="28" s="1"/>
  <c r="R967" i="28"/>
  <c r="Y967" i="28" s="1"/>
  <c r="S967" i="28"/>
  <c r="Z967" i="28" s="1"/>
  <c r="T967" i="28"/>
  <c r="AA967" i="28" s="1"/>
  <c r="U967" i="28"/>
  <c r="AB967" i="28" s="1"/>
  <c r="V967" i="28"/>
  <c r="AC967" i="28" s="1"/>
  <c r="Q968" i="28"/>
  <c r="X968" i="28" s="1"/>
  <c r="R968" i="28"/>
  <c r="Y968" i="28" s="1"/>
  <c r="S968" i="28"/>
  <c r="Z968" i="28" s="1"/>
  <c r="T968" i="28"/>
  <c r="AA968" i="28" s="1"/>
  <c r="U968" i="28"/>
  <c r="AB968" i="28" s="1"/>
  <c r="Q969" i="28"/>
  <c r="X969" i="28" s="1"/>
  <c r="R969" i="28"/>
  <c r="Y969" i="28" s="1"/>
  <c r="S969" i="28"/>
  <c r="Z969" i="28" s="1"/>
  <c r="T969" i="28"/>
  <c r="AA969" i="28" s="1"/>
  <c r="U969" i="28"/>
  <c r="AB969" i="28" s="1"/>
  <c r="V969" i="28"/>
  <c r="AC969" i="28" s="1"/>
  <c r="Q970" i="28"/>
  <c r="X970" i="28" s="1"/>
  <c r="R970" i="28"/>
  <c r="Y970" i="28" s="1"/>
  <c r="S970" i="28"/>
  <c r="Z970" i="28" s="1"/>
  <c r="T970" i="28"/>
  <c r="AA970" i="28" s="1"/>
  <c r="U970" i="28"/>
  <c r="AB970" i="28" s="1"/>
  <c r="V970" i="28"/>
  <c r="AC970" i="28" s="1"/>
  <c r="Q971" i="28"/>
  <c r="X971" i="28" s="1"/>
  <c r="R971" i="28"/>
  <c r="Y971" i="28" s="1"/>
  <c r="S971" i="28"/>
  <c r="Z971" i="28" s="1"/>
  <c r="T971" i="28"/>
  <c r="AA971" i="28" s="1"/>
  <c r="U971" i="28"/>
  <c r="AB971" i="28" s="1"/>
  <c r="V971" i="28"/>
  <c r="AC971" i="28" s="1"/>
  <c r="Q972" i="28"/>
  <c r="X972" i="28" s="1"/>
  <c r="R972" i="28"/>
  <c r="Y972" i="28" s="1"/>
  <c r="S972" i="28"/>
  <c r="Z972" i="28" s="1"/>
  <c r="T972" i="28"/>
  <c r="AA972" i="28" s="1"/>
  <c r="U972" i="28"/>
  <c r="AB972" i="28" s="1"/>
  <c r="V972" i="28"/>
  <c r="AC972" i="28" s="1"/>
  <c r="Q973" i="28"/>
  <c r="X973" i="28" s="1"/>
  <c r="R973" i="28"/>
  <c r="Y973" i="28" s="1"/>
  <c r="S973" i="28"/>
  <c r="Z973" i="28" s="1"/>
  <c r="T973" i="28"/>
  <c r="AA973" i="28" s="1"/>
  <c r="U973" i="28"/>
  <c r="AB973" i="28" s="1"/>
  <c r="V973" i="28"/>
  <c r="AC973" i="28" s="1"/>
  <c r="Q974" i="28"/>
  <c r="X974" i="28" s="1"/>
  <c r="R974" i="28"/>
  <c r="Y974" i="28" s="1"/>
  <c r="S974" i="28"/>
  <c r="Z974" i="28" s="1"/>
  <c r="T974" i="28"/>
  <c r="AA974" i="28" s="1"/>
  <c r="U974" i="28"/>
  <c r="AB974" i="28" s="1"/>
  <c r="V974" i="28"/>
  <c r="AC974" i="28" s="1"/>
  <c r="Q975" i="28"/>
  <c r="X975" i="28" s="1"/>
  <c r="R975" i="28"/>
  <c r="Y975" i="28" s="1"/>
  <c r="S975" i="28"/>
  <c r="Z975" i="28" s="1"/>
  <c r="T975" i="28"/>
  <c r="AA975" i="28" s="1"/>
  <c r="U975" i="28"/>
  <c r="AB975" i="28" s="1"/>
  <c r="V975" i="28"/>
  <c r="AC975" i="28" s="1"/>
  <c r="Q976" i="28"/>
  <c r="X976" i="28" s="1"/>
  <c r="R976" i="28"/>
  <c r="Y976" i="28" s="1"/>
  <c r="S976" i="28"/>
  <c r="Z976" i="28" s="1"/>
  <c r="T976" i="28"/>
  <c r="AA976" i="28" s="1"/>
  <c r="U976" i="28"/>
  <c r="AB976" i="28" s="1"/>
  <c r="Q977" i="28"/>
  <c r="X977" i="28" s="1"/>
  <c r="R977" i="28"/>
  <c r="Y977" i="28" s="1"/>
  <c r="S977" i="28"/>
  <c r="Z977" i="28" s="1"/>
  <c r="T977" i="28"/>
  <c r="AA977" i="28" s="1"/>
  <c r="U977" i="28"/>
  <c r="AB977" i="28" s="1"/>
  <c r="V977" i="28"/>
  <c r="AC977" i="28" s="1"/>
  <c r="Q978" i="28"/>
  <c r="X978" i="28" s="1"/>
  <c r="R978" i="28"/>
  <c r="Y978" i="28" s="1"/>
  <c r="S978" i="28"/>
  <c r="Z978" i="28" s="1"/>
  <c r="T978" i="28"/>
  <c r="AA978" i="28" s="1"/>
  <c r="U978" i="28"/>
  <c r="AB978" i="28" s="1"/>
  <c r="V978" i="28"/>
  <c r="AC978" i="28" s="1"/>
  <c r="Q979" i="28"/>
  <c r="X979" i="28" s="1"/>
  <c r="R979" i="28"/>
  <c r="Y979" i="28" s="1"/>
  <c r="S979" i="28"/>
  <c r="Z979" i="28" s="1"/>
  <c r="T979" i="28"/>
  <c r="AA979" i="28" s="1"/>
  <c r="U979" i="28"/>
  <c r="AB979" i="28" s="1"/>
  <c r="V979" i="28"/>
  <c r="AC979" i="28" s="1"/>
  <c r="Q980" i="28"/>
  <c r="X980" i="28" s="1"/>
  <c r="R980" i="28"/>
  <c r="Y980" i="28" s="1"/>
  <c r="S980" i="28"/>
  <c r="Z980" i="28" s="1"/>
  <c r="T980" i="28"/>
  <c r="AA980" i="28" s="1"/>
  <c r="U980" i="28"/>
  <c r="AB980" i="28" s="1"/>
  <c r="V980" i="28"/>
  <c r="AC980" i="28" s="1"/>
  <c r="Q981" i="28"/>
  <c r="X981" i="28" s="1"/>
  <c r="R981" i="28"/>
  <c r="Y981" i="28" s="1"/>
  <c r="S981" i="28"/>
  <c r="Z981" i="28" s="1"/>
  <c r="T981" i="28"/>
  <c r="AA981" i="28" s="1"/>
  <c r="U981" i="28"/>
  <c r="AB981" i="28" s="1"/>
  <c r="V981" i="28"/>
  <c r="AC981" i="28" s="1"/>
  <c r="Q982" i="28"/>
  <c r="X982" i="28" s="1"/>
  <c r="R982" i="28"/>
  <c r="Y982" i="28" s="1"/>
  <c r="S982" i="28"/>
  <c r="Z982" i="28" s="1"/>
  <c r="T982" i="28"/>
  <c r="AA982" i="28" s="1"/>
  <c r="U982" i="28"/>
  <c r="AB982" i="28" s="1"/>
  <c r="V982" i="28"/>
  <c r="AC982" i="28" s="1"/>
  <c r="Q983" i="28"/>
  <c r="X983" i="28" s="1"/>
  <c r="R983" i="28"/>
  <c r="Y983" i="28" s="1"/>
  <c r="S983" i="28"/>
  <c r="Z983" i="28" s="1"/>
  <c r="T983" i="28"/>
  <c r="AA983" i="28" s="1"/>
  <c r="U983" i="28"/>
  <c r="AB983" i="28" s="1"/>
  <c r="V983" i="28"/>
  <c r="AC983" i="28" s="1"/>
  <c r="Q984" i="28"/>
  <c r="X984" i="28" s="1"/>
  <c r="R984" i="28"/>
  <c r="Y984" i="28" s="1"/>
  <c r="S984" i="28"/>
  <c r="Z984" i="28" s="1"/>
  <c r="T984" i="28"/>
  <c r="AA984" i="28" s="1"/>
  <c r="U984" i="28"/>
  <c r="AB984" i="28" s="1"/>
  <c r="Q985" i="28"/>
  <c r="X985" i="28" s="1"/>
  <c r="R985" i="28"/>
  <c r="Y985" i="28" s="1"/>
  <c r="S985" i="28"/>
  <c r="Z985" i="28" s="1"/>
  <c r="T985" i="28"/>
  <c r="AA985" i="28" s="1"/>
  <c r="U985" i="28"/>
  <c r="AB985" i="28" s="1"/>
  <c r="V985" i="28"/>
  <c r="AC985" i="28" s="1"/>
  <c r="Q986" i="28"/>
  <c r="X986" i="28" s="1"/>
  <c r="R986" i="28"/>
  <c r="Y986" i="28" s="1"/>
  <c r="S986" i="28"/>
  <c r="Z986" i="28" s="1"/>
  <c r="T986" i="28"/>
  <c r="AA986" i="28" s="1"/>
  <c r="U986" i="28"/>
  <c r="AB986" i="28" s="1"/>
  <c r="V986" i="28"/>
  <c r="AC986" i="28" s="1"/>
  <c r="Q987" i="28"/>
  <c r="X987" i="28" s="1"/>
  <c r="R987" i="28"/>
  <c r="Y987" i="28" s="1"/>
  <c r="S987" i="28"/>
  <c r="Z987" i="28" s="1"/>
  <c r="T987" i="28"/>
  <c r="AA987" i="28" s="1"/>
  <c r="U987" i="28"/>
  <c r="AB987" i="28" s="1"/>
  <c r="V987" i="28"/>
  <c r="AC987" i="28" s="1"/>
  <c r="Q988" i="28"/>
  <c r="X988" i="28" s="1"/>
  <c r="R988" i="28"/>
  <c r="Y988" i="28" s="1"/>
  <c r="S988" i="28"/>
  <c r="Z988" i="28" s="1"/>
  <c r="T988" i="28"/>
  <c r="AA988" i="28" s="1"/>
  <c r="U988" i="28"/>
  <c r="AB988" i="28" s="1"/>
  <c r="V988" i="28"/>
  <c r="AC988" i="28" s="1"/>
  <c r="Q989" i="28"/>
  <c r="X989" i="28" s="1"/>
  <c r="R989" i="28"/>
  <c r="Y989" i="28" s="1"/>
  <c r="S989" i="28"/>
  <c r="Z989" i="28" s="1"/>
  <c r="T989" i="28"/>
  <c r="AA989" i="28" s="1"/>
  <c r="U989" i="28"/>
  <c r="AB989" i="28" s="1"/>
  <c r="V989" i="28"/>
  <c r="AC989" i="28" s="1"/>
  <c r="Q990" i="28"/>
  <c r="X990" i="28" s="1"/>
  <c r="R990" i="28"/>
  <c r="Y990" i="28" s="1"/>
  <c r="S990" i="28"/>
  <c r="Z990" i="28" s="1"/>
  <c r="T990" i="28"/>
  <c r="AA990" i="28" s="1"/>
  <c r="U990" i="28"/>
  <c r="AB990" i="28" s="1"/>
  <c r="V990" i="28"/>
  <c r="AC990" i="28" s="1"/>
  <c r="Q991" i="28"/>
  <c r="X991" i="28" s="1"/>
  <c r="R991" i="28"/>
  <c r="Y991" i="28" s="1"/>
  <c r="S991" i="28"/>
  <c r="Z991" i="28" s="1"/>
  <c r="T991" i="28"/>
  <c r="AA991" i="28" s="1"/>
  <c r="U991" i="28"/>
  <c r="AB991" i="28" s="1"/>
  <c r="V991" i="28"/>
  <c r="AC991" i="28" s="1"/>
  <c r="Q992" i="28"/>
  <c r="X992" i="28" s="1"/>
  <c r="R992" i="28"/>
  <c r="Y992" i="28" s="1"/>
  <c r="S992" i="28"/>
  <c r="Z992" i="28" s="1"/>
  <c r="T992" i="28"/>
  <c r="AA992" i="28" s="1"/>
  <c r="U992" i="28"/>
  <c r="AB992" i="28" s="1"/>
  <c r="Q993" i="28"/>
  <c r="X993" i="28" s="1"/>
  <c r="R993" i="28"/>
  <c r="Y993" i="28" s="1"/>
  <c r="S993" i="28"/>
  <c r="Z993" i="28" s="1"/>
  <c r="T993" i="28"/>
  <c r="AA993" i="28" s="1"/>
  <c r="U993" i="28"/>
  <c r="AB993" i="28" s="1"/>
  <c r="V993" i="28"/>
  <c r="AC993" i="28" s="1"/>
  <c r="Q994" i="28"/>
  <c r="X994" i="28" s="1"/>
  <c r="R994" i="28"/>
  <c r="Y994" i="28" s="1"/>
  <c r="S994" i="28"/>
  <c r="Z994" i="28" s="1"/>
  <c r="T994" i="28"/>
  <c r="AA994" i="28" s="1"/>
  <c r="U994" i="28"/>
  <c r="AB994" i="28" s="1"/>
  <c r="V994" i="28"/>
  <c r="AC994" i="28" s="1"/>
  <c r="Q995" i="28"/>
  <c r="X995" i="28" s="1"/>
  <c r="R995" i="28"/>
  <c r="Y995" i="28" s="1"/>
  <c r="S995" i="28"/>
  <c r="Z995" i="28" s="1"/>
  <c r="T995" i="28"/>
  <c r="AA995" i="28" s="1"/>
  <c r="U995" i="28"/>
  <c r="AB995" i="28" s="1"/>
  <c r="V995" i="28"/>
  <c r="AC995" i="28" s="1"/>
  <c r="Q996" i="28"/>
  <c r="X996" i="28" s="1"/>
  <c r="R996" i="28"/>
  <c r="Y996" i="28" s="1"/>
  <c r="S996" i="28"/>
  <c r="Z996" i="28" s="1"/>
  <c r="T996" i="28"/>
  <c r="AA996" i="28" s="1"/>
  <c r="U996" i="28"/>
  <c r="AB996" i="28" s="1"/>
  <c r="V996" i="28"/>
  <c r="AC996" i="28" s="1"/>
  <c r="Q997" i="28"/>
  <c r="X997" i="28" s="1"/>
  <c r="R997" i="28"/>
  <c r="Y997" i="28" s="1"/>
  <c r="S997" i="28"/>
  <c r="Z997" i="28" s="1"/>
  <c r="T997" i="28"/>
  <c r="AA997" i="28" s="1"/>
  <c r="U997" i="28"/>
  <c r="AB997" i="28" s="1"/>
  <c r="V997" i="28"/>
  <c r="AC997" i="28" s="1"/>
  <c r="Q998" i="28"/>
  <c r="X998" i="28" s="1"/>
  <c r="R998" i="28"/>
  <c r="Y998" i="28" s="1"/>
  <c r="S998" i="28"/>
  <c r="Z998" i="28" s="1"/>
  <c r="T998" i="28"/>
  <c r="AA998" i="28" s="1"/>
  <c r="U998" i="28"/>
  <c r="AB998" i="28" s="1"/>
  <c r="V998" i="28"/>
  <c r="AC998" i="28" s="1"/>
  <c r="Q999" i="28"/>
  <c r="X999" i="28" s="1"/>
  <c r="R999" i="28"/>
  <c r="Y999" i="28" s="1"/>
  <c r="S999" i="28"/>
  <c r="Z999" i="28" s="1"/>
  <c r="T999" i="28"/>
  <c r="AA999" i="28" s="1"/>
  <c r="U999" i="28"/>
  <c r="AB999" i="28" s="1"/>
  <c r="V999" i="28"/>
  <c r="AC999" i="28" s="1"/>
  <c r="Q1000" i="28"/>
  <c r="X1000" i="28" s="1"/>
  <c r="R1000" i="28"/>
  <c r="Y1000" i="28" s="1"/>
  <c r="S1000" i="28"/>
  <c r="Z1000" i="28" s="1"/>
  <c r="T1000" i="28"/>
  <c r="AA1000" i="28" s="1"/>
  <c r="U1000" i="28"/>
  <c r="AB1000" i="28" s="1"/>
  <c r="Q1001" i="28"/>
  <c r="X1001" i="28" s="1"/>
  <c r="R1001" i="28"/>
  <c r="Y1001" i="28" s="1"/>
  <c r="S1001" i="28"/>
  <c r="Z1001" i="28" s="1"/>
  <c r="T1001" i="28"/>
  <c r="AA1001" i="28" s="1"/>
  <c r="U1001" i="28"/>
  <c r="AB1001" i="28" s="1"/>
  <c r="V1001" i="28"/>
  <c r="AC1001" i="28" s="1"/>
  <c r="Q1002" i="28"/>
  <c r="X1002" i="28" s="1"/>
  <c r="R1002" i="28"/>
  <c r="Y1002" i="28" s="1"/>
  <c r="S1002" i="28"/>
  <c r="Z1002" i="28" s="1"/>
  <c r="T1002" i="28"/>
  <c r="AA1002" i="28" s="1"/>
  <c r="U1002" i="28"/>
  <c r="AB1002" i="28" s="1"/>
  <c r="V1002" i="28"/>
  <c r="AC1002" i="28" s="1"/>
  <c r="Q1003" i="28"/>
  <c r="X1003" i="28" s="1"/>
  <c r="R1003" i="28"/>
  <c r="Y1003" i="28" s="1"/>
  <c r="S1003" i="28"/>
  <c r="Z1003" i="28" s="1"/>
  <c r="T1003" i="28"/>
  <c r="AA1003" i="28" s="1"/>
  <c r="U1003" i="28"/>
  <c r="AB1003" i="28" s="1"/>
  <c r="V1003" i="28"/>
  <c r="AC1003" i="28" s="1"/>
  <c r="Q1004" i="28"/>
  <c r="X1004" i="28" s="1"/>
  <c r="R1004" i="28"/>
  <c r="Y1004" i="28" s="1"/>
  <c r="S1004" i="28"/>
  <c r="Z1004" i="28" s="1"/>
  <c r="T1004" i="28"/>
  <c r="AA1004" i="28" s="1"/>
  <c r="U1004" i="28"/>
  <c r="AB1004" i="28" s="1"/>
  <c r="V1004" i="28"/>
  <c r="AC1004" i="28" s="1"/>
  <c r="Q1005" i="28"/>
  <c r="X1005" i="28" s="1"/>
  <c r="R1005" i="28"/>
  <c r="Y1005" i="28" s="1"/>
  <c r="S1005" i="28"/>
  <c r="Z1005" i="28" s="1"/>
  <c r="T1005" i="28"/>
  <c r="AA1005" i="28" s="1"/>
  <c r="U1005" i="28"/>
  <c r="AB1005" i="28" s="1"/>
  <c r="V1005" i="28"/>
  <c r="AC1005" i="28" s="1"/>
  <c r="Q1006" i="28"/>
  <c r="X1006" i="28" s="1"/>
  <c r="R1006" i="28"/>
  <c r="Y1006" i="28" s="1"/>
  <c r="S1006" i="28"/>
  <c r="Z1006" i="28" s="1"/>
  <c r="T1006" i="28"/>
  <c r="AA1006" i="28" s="1"/>
  <c r="U1006" i="28"/>
  <c r="AB1006" i="28" s="1"/>
  <c r="V1006" i="28"/>
  <c r="AC1006" i="28" s="1"/>
  <c r="Q1007" i="28"/>
  <c r="X1007" i="28" s="1"/>
  <c r="R1007" i="28"/>
  <c r="Y1007" i="28" s="1"/>
  <c r="S1007" i="28"/>
  <c r="Z1007" i="28" s="1"/>
  <c r="T1007" i="28"/>
  <c r="AA1007" i="28" s="1"/>
  <c r="U1007" i="28"/>
  <c r="AB1007" i="28" s="1"/>
  <c r="V1007" i="28"/>
  <c r="AC1007" i="28" s="1"/>
  <c r="Q1008" i="28"/>
  <c r="X1008" i="28" s="1"/>
  <c r="R1008" i="28"/>
  <c r="Y1008" i="28" s="1"/>
  <c r="S1008" i="28"/>
  <c r="Z1008" i="28" s="1"/>
  <c r="T1008" i="28"/>
  <c r="AA1008" i="28" s="1"/>
  <c r="U1008" i="28"/>
  <c r="AB1008" i="28" s="1"/>
  <c r="Q1009" i="28"/>
  <c r="X1009" i="28" s="1"/>
  <c r="R1009" i="28"/>
  <c r="Y1009" i="28" s="1"/>
  <c r="S1009" i="28"/>
  <c r="Z1009" i="28" s="1"/>
  <c r="T1009" i="28"/>
  <c r="AA1009" i="28" s="1"/>
  <c r="U1009" i="28"/>
  <c r="AB1009" i="28" s="1"/>
  <c r="V1009" i="28"/>
  <c r="AC1009" i="28" s="1"/>
  <c r="Q1010" i="28"/>
  <c r="X1010" i="28" s="1"/>
  <c r="R1010" i="28"/>
  <c r="Y1010" i="28" s="1"/>
  <c r="S1010" i="28"/>
  <c r="Z1010" i="28" s="1"/>
  <c r="T1010" i="28"/>
  <c r="AA1010" i="28" s="1"/>
  <c r="U1010" i="28"/>
  <c r="AB1010" i="28" s="1"/>
  <c r="V1010" i="28"/>
  <c r="AC1010" i="28" s="1"/>
  <c r="Q1011" i="28"/>
  <c r="X1011" i="28" s="1"/>
  <c r="R1011" i="28"/>
  <c r="Y1011" i="28" s="1"/>
  <c r="S1011" i="28"/>
  <c r="Z1011" i="28" s="1"/>
  <c r="T1011" i="28"/>
  <c r="AA1011" i="28" s="1"/>
  <c r="U1011" i="28"/>
  <c r="AB1011" i="28" s="1"/>
  <c r="V1011" i="28"/>
  <c r="AC1011" i="28" s="1"/>
  <c r="Q1012" i="28"/>
  <c r="X1012" i="28" s="1"/>
  <c r="R1012" i="28"/>
  <c r="Y1012" i="28" s="1"/>
  <c r="S1012" i="28"/>
  <c r="Z1012" i="28" s="1"/>
  <c r="T1012" i="28"/>
  <c r="AA1012" i="28" s="1"/>
  <c r="U1012" i="28"/>
  <c r="AB1012" i="28" s="1"/>
  <c r="V1012" i="28"/>
  <c r="AC1012" i="28" s="1"/>
  <c r="Q1013" i="28"/>
  <c r="X1013" i="28" s="1"/>
  <c r="R1013" i="28"/>
  <c r="Y1013" i="28" s="1"/>
  <c r="S1013" i="28"/>
  <c r="Z1013" i="28" s="1"/>
  <c r="T1013" i="28"/>
  <c r="AA1013" i="28" s="1"/>
  <c r="U1013" i="28"/>
  <c r="AB1013" i="28" s="1"/>
  <c r="V1013" i="28"/>
  <c r="AC1013" i="28" s="1"/>
  <c r="Q1014" i="28"/>
  <c r="X1014" i="28" s="1"/>
  <c r="R1014" i="28"/>
  <c r="Y1014" i="28" s="1"/>
  <c r="S1014" i="28"/>
  <c r="Z1014" i="28" s="1"/>
  <c r="T1014" i="28"/>
  <c r="AA1014" i="28" s="1"/>
  <c r="U1014" i="28"/>
  <c r="AB1014" i="28" s="1"/>
  <c r="V1014" i="28"/>
  <c r="AC1014" i="28" s="1"/>
  <c r="Q1015" i="28"/>
  <c r="X1015" i="28" s="1"/>
  <c r="R1015" i="28"/>
  <c r="Y1015" i="28" s="1"/>
  <c r="S1015" i="28"/>
  <c r="Z1015" i="28" s="1"/>
  <c r="T1015" i="28"/>
  <c r="AA1015" i="28" s="1"/>
  <c r="U1015" i="28"/>
  <c r="AB1015" i="28" s="1"/>
  <c r="V1015" i="28"/>
  <c r="AC1015" i="28" s="1"/>
  <c r="R16" i="28"/>
  <c r="Y16" i="28" s="1"/>
  <c r="S16" i="28"/>
  <c r="Z16" i="28" s="1"/>
  <c r="T16" i="28"/>
  <c r="AA16" i="28" s="1"/>
  <c r="U16" i="28"/>
  <c r="AB16" i="28" s="1"/>
  <c r="Q16" i="28"/>
  <c r="X16" i="28" s="1"/>
  <c r="Q4" i="28"/>
  <c r="R4" i="28" s="1"/>
  <c r="S4" i="28" s="1"/>
  <c r="T4" i="28" s="1"/>
  <c r="U4" i="28" s="1"/>
  <c r="N7" i="28"/>
  <c r="J4" i="28"/>
  <c r="K4" i="28" s="1"/>
  <c r="L4" i="28" s="1"/>
  <c r="M4" i="28" s="1"/>
  <c r="N4" i="28" s="1"/>
  <c r="G7" i="28"/>
  <c r="H7" i="28"/>
  <c r="C4" i="28"/>
  <c r="D4" i="28" s="1"/>
  <c r="E4" i="28" s="1"/>
  <c r="F4" i="28" s="1"/>
  <c r="G4" i="28" s="1"/>
  <c r="M7" i="28"/>
  <c r="L7" i="28"/>
  <c r="K7" i="28"/>
  <c r="F7" i="28"/>
  <c r="E7" i="28"/>
  <c r="D7" i="28"/>
  <c r="C7" i="28"/>
  <c r="I10" i="7" l="1"/>
  <c r="M10" i="7" s="1"/>
  <c r="G8" i="7"/>
  <c r="E8" i="7" s="1"/>
  <c r="N5" i="7"/>
  <c r="G5" i="7" s="1"/>
  <c r="N12" i="7"/>
  <c r="G12" i="7" s="1"/>
  <c r="N11" i="7"/>
  <c r="G11" i="7" s="1"/>
  <c r="N10" i="7"/>
  <c r="G10" i="7" s="1"/>
  <c r="E10" i="7" s="1"/>
  <c r="M57" i="7"/>
  <c r="N57" i="7"/>
  <c r="N7" i="7"/>
  <c r="G7" i="7" s="1"/>
  <c r="E7" i="7" s="1"/>
  <c r="M58" i="7"/>
  <c r="N58" i="7"/>
  <c r="N13" i="7"/>
  <c r="G13" i="7" s="1"/>
  <c r="N9" i="7"/>
  <c r="G9" i="7" s="1"/>
  <c r="E9" i="7" s="1"/>
  <c r="M6" i="7"/>
  <c r="AX7" i="28"/>
  <c r="AU9" i="28"/>
  <c r="AT9" i="28"/>
  <c r="AT10" i="28"/>
  <c r="AT7" i="28"/>
  <c r="AX10" i="28"/>
  <c r="AW7" i="28"/>
  <c r="AW9" i="28"/>
  <c r="AU7" i="28"/>
  <c r="AV9" i="28"/>
  <c r="AV10" i="28"/>
  <c r="BA16" i="28"/>
  <c r="AY64" i="28"/>
  <c r="BF64" i="28" s="1"/>
  <c r="O7" i="28"/>
  <c r="BF16" i="28"/>
  <c r="AX11" i="28"/>
  <c r="AV11" i="28"/>
  <c r="AV7" i="28"/>
  <c r="F34" i="11" s="1"/>
  <c r="AX9" i="28"/>
  <c r="AT11" i="28"/>
  <c r="AU10" i="28"/>
  <c r="BD16" i="28"/>
  <c r="AW11" i="28" s="1"/>
  <c r="BB45" i="28"/>
  <c r="AU11" i="28" s="1"/>
  <c r="AW10" i="28"/>
  <c r="Q7" i="28"/>
  <c r="V11" i="28"/>
  <c r="U11" i="28"/>
  <c r="T11" i="28"/>
  <c r="R11" i="28"/>
  <c r="Q11" i="28"/>
  <c r="R9" i="28"/>
  <c r="S11" i="28"/>
  <c r="Q9" i="28"/>
  <c r="U9" i="28"/>
  <c r="U10" i="28"/>
  <c r="T9" i="28"/>
  <c r="V7" i="28"/>
  <c r="I25" i="11" s="1"/>
  <c r="S9" i="28"/>
  <c r="T7" i="28"/>
  <c r="G25" i="11" s="1"/>
  <c r="Q10" i="28"/>
  <c r="T10" i="28"/>
  <c r="U7" i="28"/>
  <c r="H25" i="11" s="1"/>
  <c r="V9" i="28"/>
  <c r="V10" i="28"/>
  <c r="R10" i="28"/>
  <c r="S7" i="28"/>
  <c r="F25" i="11" s="1"/>
  <c r="S10" i="28"/>
  <c r="R7" i="28"/>
  <c r="E25" i="11" s="1"/>
  <c r="AU12" i="28" l="1"/>
  <c r="E35" i="11" s="1"/>
  <c r="E34" i="11"/>
  <c r="AX12" i="28"/>
  <c r="H35" i="11" s="1"/>
  <c r="H34" i="11"/>
  <c r="AW13" i="28"/>
  <c r="G36" i="11" s="1"/>
  <c r="G34" i="11"/>
  <c r="AT12" i="28"/>
  <c r="D35" i="11" s="1"/>
  <c r="D34" i="11"/>
  <c r="Q12" i="28"/>
  <c r="D26" i="11" s="1"/>
  <c r="D25" i="11"/>
  <c r="G58" i="7"/>
  <c r="G57" i="7"/>
  <c r="N6" i="7"/>
  <c r="G6" i="7" s="1"/>
  <c r="E6" i="7" s="1"/>
  <c r="R13" i="28"/>
  <c r="E27" i="11" s="1"/>
  <c r="R12" i="28"/>
  <c r="E26" i="11" s="1"/>
  <c r="T12" i="28"/>
  <c r="G26" i="11" s="1"/>
  <c r="T13" i="28"/>
  <c r="G27" i="11" s="1"/>
  <c r="Q13" i="28"/>
  <c r="D27" i="11" s="1"/>
  <c r="S12" i="28"/>
  <c r="F26" i="11" s="1"/>
  <c r="S13" i="28"/>
  <c r="F27" i="11" s="1"/>
  <c r="V13" i="28"/>
  <c r="I27" i="11" s="1"/>
  <c r="V12" i="28"/>
  <c r="I26" i="11" s="1"/>
  <c r="U13" i="28"/>
  <c r="H27" i="11" s="1"/>
  <c r="U12" i="28"/>
  <c r="H26" i="11" s="1"/>
  <c r="AY11" i="28"/>
  <c r="AY7" i="28"/>
  <c r="AY10" i="28"/>
  <c r="AY9" i="28"/>
  <c r="AT13" i="28"/>
  <c r="D36" i="11" s="1"/>
  <c r="AX13" i="28"/>
  <c r="H36" i="11" s="1"/>
  <c r="AU13" i="28"/>
  <c r="E36" i="11" s="1"/>
  <c r="AW12" i="28"/>
  <c r="G35" i="11" s="1"/>
  <c r="AV13" i="28"/>
  <c r="F36" i="11" s="1"/>
  <c r="AV12" i="28"/>
  <c r="F35" i="11" s="1"/>
  <c r="AY12" i="28" l="1"/>
  <c r="I35" i="11" s="1"/>
  <c r="I34" i="11"/>
  <c r="AY13" i="28"/>
  <c r="I36" i="11" s="1"/>
  <c r="H54" i="15"/>
  <c r="C81" i="15" s="1"/>
  <c r="C80" i="15" l="1"/>
  <c r="C63" i="15"/>
  <c r="C69" i="15"/>
  <c r="B14" i="9"/>
  <c r="B8" i="9"/>
  <c r="J8" i="9"/>
  <c r="B11" i="9"/>
  <c r="J10" i="9"/>
  <c r="J11" i="9"/>
  <c r="B17" i="9"/>
  <c r="J13" i="9"/>
  <c r="B10" i="9"/>
  <c r="J14" i="9"/>
  <c r="B13" i="9"/>
  <c r="J16" i="9"/>
  <c r="B16" i="9"/>
  <c r="J17" i="9"/>
  <c r="B19" i="9"/>
  <c r="J19" i="9"/>
  <c r="B5" i="9"/>
  <c r="R6" i="5" l="1"/>
  <c r="AE117" i="15" l="1"/>
  <c r="X117" i="15"/>
  <c r="Q117" i="15"/>
  <c r="AE69" i="15"/>
  <c r="X69" i="15"/>
  <c r="Q69" i="15"/>
  <c r="H102" i="15"/>
  <c r="H106" i="15"/>
  <c r="AF118" i="15" s="1"/>
  <c r="H91" i="15"/>
  <c r="H62" i="15"/>
  <c r="C70" i="15"/>
  <c r="AX108" i="26"/>
  <c r="AW108" i="26"/>
  <c r="AV108" i="26"/>
  <c r="AU108" i="26"/>
  <c r="AT108" i="26"/>
  <c r="AS108" i="26"/>
  <c r="AR108" i="26"/>
  <c r="AQ108" i="26"/>
  <c r="AP108" i="26"/>
  <c r="AO108" i="26"/>
  <c r="AN108" i="26"/>
  <c r="AM108" i="26"/>
  <c r="AL108" i="26"/>
  <c r="AK108" i="26"/>
  <c r="AF108" i="26"/>
  <c r="AE108" i="26"/>
  <c r="AD108" i="26"/>
  <c r="AC108" i="26"/>
  <c r="AB108" i="26"/>
  <c r="AA108" i="26"/>
  <c r="Z108" i="26"/>
  <c r="Y108" i="26"/>
  <c r="X108" i="26"/>
  <c r="W108" i="26"/>
  <c r="V108" i="26"/>
  <c r="U108" i="26"/>
  <c r="T108" i="26"/>
  <c r="S108" i="26"/>
  <c r="P108" i="26"/>
  <c r="O108" i="26"/>
  <c r="N108" i="26"/>
  <c r="M108" i="26"/>
  <c r="L108" i="26"/>
  <c r="K108" i="26"/>
  <c r="J108" i="26"/>
  <c r="I108" i="26"/>
  <c r="H108" i="26"/>
  <c r="G108" i="26"/>
  <c r="F108" i="26"/>
  <c r="E108" i="26"/>
  <c r="D108" i="26"/>
  <c r="C108" i="26"/>
  <c r="AX8" i="26"/>
  <c r="AW8" i="26"/>
  <c r="AV8" i="26"/>
  <c r="AU8" i="26"/>
  <c r="AT8" i="26"/>
  <c r="AS8" i="26"/>
  <c r="AR8" i="26"/>
  <c r="AQ8" i="26"/>
  <c r="AP8" i="26"/>
  <c r="AO8" i="26"/>
  <c r="AN8" i="26"/>
  <c r="AM8" i="26"/>
  <c r="AL8" i="26"/>
  <c r="AK8" i="26"/>
  <c r="AF8" i="26"/>
  <c r="AE8" i="26"/>
  <c r="AD8" i="26"/>
  <c r="AC8" i="26"/>
  <c r="AB8" i="26"/>
  <c r="AA8" i="26"/>
  <c r="Z8" i="26"/>
  <c r="Y8" i="26"/>
  <c r="X8" i="26"/>
  <c r="W8" i="26"/>
  <c r="V8" i="26"/>
  <c r="U8" i="26"/>
  <c r="T8" i="26"/>
  <c r="S8" i="26"/>
  <c r="P8" i="26"/>
  <c r="O8" i="26"/>
  <c r="N8" i="26"/>
  <c r="M8" i="26"/>
  <c r="L8" i="26"/>
  <c r="K8" i="26"/>
  <c r="J8" i="26"/>
  <c r="I8" i="26"/>
  <c r="H8" i="26"/>
  <c r="G8" i="26"/>
  <c r="F8" i="26"/>
  <c r="E8" i="26"/>
  <c r="D8" i="26"/>
  <c r="C8" i="26"/>
  <c r="H58" i="15"/>
  <c r="H40" i="15"/>
  <c r="J33" i="4"/>
  <c r="J34" i="4"/>
  <c r="J35" i="4"/>
  <c r="J36" i="4"/>
  <c r="J37" i="4"/>
  <c r="J38" i="4"/>
  <c r="J39" i="4"/>
  <c r="J40" i="4"/>
  <c r="J41" i="4"/>
  <c r="J42" i="4"/>
  <c r="J43" i="4"/>
  <c r="J44" i="4"/>
  <c r="J45" i="4"/>
  <c r="J32" i="4"/>
  <c r="J6" i="20"/>
  <c r="B6" i="20"/>
  <c r="C41" i="7"/>
  <c r="C40" i="7"/>
  <c r="C39" i="7"/>
  <c r="C38" i="7"/>
  <c r="C37" i="7"/>
  <c r="C36" i="7"/>
  <c r="C35" i="7"/>
  <c r="C34" i="7"/>
  <c r="C33" i="7"/>
  <c r="C32" i="7"/>
  <c r="C31" i="7"/>
  <c r="C30" i="7"/>
  <c r="C29" i="7"/>
  <c r="C28" i="7"/>
  <c r="C27" i="7"/>
  <c r="C26" i="7"/>
  <c r="C25" i="7"/>
  <c r="C24" i="7"/>
  <c r="C23" i="7"/>
  <c r="C22" i="7"/>
  <c r="C21" i="7"/>
  <c r="C19" i="7"/>
  <c r="C18" i="7"/>
  <c r="H18" i="21" s="1"/>
  <c r="C17" i="7"/>
  <c r="C16" i="7"/>
  <c r="C15" i="7"/>
  <c r="C14" i="7"/>
  <c r="C55" i="7"/>
  <c r="C54" i="7"/>
  <c r="C53" i="7"/>
  <c r="C52" i="7"/>
  <c r="C51" i="7"/>
  <c r="C50" i="7"/>
  <c r="C49" i="7"/>
  <c r="C48" i="7"/>
  <c r="C47" i="7"/>
  <c r="C46" i="7"/>
  <c r="C45" i="7"/>
  <c r="C44" i="7"/>
  <c r="C43" i="7"/>
  <c r="C42" i="7"/>
  <c r="AL127" i="15"/>
  <c r="AE127" i="15"/>
  <c r="X127" i="15"/>
  <c r="Q127" i="15"/>
  <c r="H127" i="15"/>
  <c r="C127" i="15"/>
  <c r="AL126" i="15"/>
  <c r="AE126" i="15"/>
  <c r="X126" i="15"/>
  <c r="Q126" i="15"/>
  <c r="H126" i="15"/>
  <c r="C126" i="15"/>
  <c r="AL125" i="15"/>
  <c r="AE125" i="15"/>
  <c r="X125" i="15"/>
  <c r="Q125" i="15"/>
  <c r="H125" i="15"/>
  <c r="C125" i="15"/>
  <c r="AL124" i="15"/>
  <c r="AE124" i="15"/>
  <c r="X124" i="15"/>
  <c r="Q124" i="15"/>
  <c r="H124" i="15"/>
  <c r="C124" i="15"/>
  <c r="AL123" i="15"/>
  <c r="AE123" i="15"/>
  <c r="X123" i="15"/>
  <c r="Q123" i="15"/>
  <c r="H123" i="15"/>
  <c r="C123" i="15"/>
  <c r="AL122" i="15"/>
  <c r="AE122" i="15"/>
  <c r="X122" i="15"/>
  <c r="Q122" i="15"/>
  <c r="H122" i="15"/>
  <c r="C122" i="15"/>
  <c r="AL121" i="15"/>
  <c r="AE121" i="15"/>
  <c r="X121" i="15"/>
  <c r="Q121" i="15"/>
  <c r="H121" i="15"/>
  <c r="C121" i="15"/>
  <c r="AL120" i="15"/>
  <c r="AE120" i="15"/>
  <c r="X120" i="15"/>
  <c r="Q120" i="15"/>
  <c r="H120" i="15"/>
  <c r="C120" i="15"/>
  <c r="AL119" i="15"/>
  <c r="AE119" i="15"/>
  <c r="X119" i="15"/>
  <c r="Q119" i="15"/>
  <c r="H119" i="15"/>
  <c r="C119" i="15"/>
  <c r="AL118" i="15"/>
  <c r="AE118" i="15"/>
  <c r="X118" i="15"/>
  <c r="Q118" i="15"/>
  <c r="H118" i="15"/>
  <c r="C118" i="15"/>
  <c r="AL116" i="15"/>
  <c r="AE116" i="15"/>
  <c r="X116" i="15"/>
  <c r="Q116" i="15"/>
  <c r="H116" i="15"/>
  <c r="C116" i="15"/>
  <c r="AL115" i="15"/>
  <c r="AE115" i="15"/>
  <c r="X115" i="15"/>
  <c r="Q115" i="15"/>
  <c r="H115" i="15"/>
  <c r="C115" i="15"/>
  <c r="AL114" i="15"/>
  <c r="AE114" i="15"/>
  <c r="X114" i="15"/>
  <c r="Q114" i="15"/>
  <c r="H114" i="15"/>
  <c r="C114" i="15"/>
  <c r="AL113" i="15"/>
  <c r="AE113" i="15"/>
  <c r="X113" i="15"/>
  <c r="Q113" i="15"/>
  <c r="H113" i="15"/>
  <c r="C113" i="15"/>
  <c r="AL79" i="15"/>
  <c r="AE79" i="15"/>
  <c r="X79" i="15"/>
  <c r="Q79" i="15"/>
  <c r="H79" i="15"/>
  <c r="C79" i="15"/>
  <c r="AL78" i="15"/>
  <c r="AE78" i="15"/>
  <c r="X78" i="15"/>
  <c r="Q78" i="15"/>
  <c r="H78" i="15"/>
  <c r="C78" i="15"/>
  <c r="AL77" i="15"/>
  <c r="AE77" i="15"/>
  <c r="X77" i="15"/>
  <c r="Q77" i="15"/>
  <c r="H77" i="15"/>
  <c r="C77" i="15"/>
  <c r="AL76" i="15"/>
  <c r="AE76" i="15"/>
  <c r="X76" i="15"/>
  <c r="Q76" i="15"/>
  <c r="H76" i="15"/>
  <c r="C76" i="15"/>
  <c r="AL75" i="15"/>
  <c r="AE75" i="15"/>
  <c r="X75" i="15"/>
  <c r="Q75" i="15"/>
  <c r="H75" i="15"/>
  <c r="C75" i="15"/>
  <c r="AL74" i="15"/>
  <c r="AE74" i="15"/>
  <c r="X74" i="15"/>
  <c r="Q74" i="15"/>
  <c r="H74" i="15"/>
  <c r="C74" i="15"/>
  <c r="AL73" i="15"/>
  <c r="AE73" i="15"/>
  <c r="X73" i="15"/>
  <c r="Q73" i="15"/>
  <c r="H73" i="15"/>
  <c r="C73" i="15"/>
  <c r="AL72" i="15"/>
  <c r="AE72" i="15"/>
  <c r="X72" i="15"/>
  <c r="Q72" i="15"/>
  <c r="H72" i="15"/>
  <c r="C72" i="15"/>
  <c r="AL71" i="15"/>
  <c r="AE71" i="15"/>
  <c r="X71" i="15"/>
  <c r="Q71" i="15"/>
  <c r="H71" i="15"/>
  <c r="C71" i="15"/>
  <c r="AL70" i="15"/>
  <c r="AE70" i="15"/>
  <c r="X70" i="15"/>
  <c r="Q70" i="15"/>
  <c r="H70" i="15"/>
  <c r="AL68" i="15"/>
  <c r="AE68" i="15"/>
  <c r="X68" i="15"/>
  <c r="Q68" i="15"/>
  <c r="H68" i="15"/>
  <c r="C68" i="15"/>
  <c r="AL67" i="15"/>
  <c r="AE67" i="15"/>
  <c r="X67" i="15"/>
  <c r="Q67" i="15"/>
  <c r="H67" i="15"/>
  <c r="C67" i="15"/>
  <c r="AL66" i="15"/>
  <c r="AE66" i="15"/>
  <c r="X66" i="15"/>
  <c r="Q66" i="15"/>
  <c r="H66" i="15"/>
  <c r="C66" i="15"/>
  <c r="AL65" i="15"/>
  <c r="AE65" i="15"/>
  <c r="X65" i="15"/>
  <c r="Q65" i="15"/>
  <c r="H65" i="15"/>
  <c r="C65" i="15"/>
  <c r="C28" i="15"/>
  <c r="C27" i="15"/>
  <c r="C26" i="15"/>
  <c r="C25" i="15"/>
  <c r="C24" i="15"/>
  <c r="C23" i="15"/>
  <c r="C22" i="15"/>
  <c r="C21" i="15"/>
  <c r="C20" i="15"/>
  <c r="C19" i="15"/>
  <c r="C15" i="15"/>
  <c r="C13" i="15"/>
  <c r="C12" i="15"/>
  <c r="C14" i="15"/>
  <c r="C84" i="11"/>
  <c r="D72" i="11"/>
  <c r="D81" i="11"/>
  <c r="C59" i="11"/>
  <c r="C33" i="11"/>
  <c r="B68" i="11"/>
  <c r="C74" i="11" s="1"/>
  <c r="C83" i="11" s="1"/>
  <c r="B43" i="11"/>
  <c r="C49" i="11" s="1"/>
  <c r="C58" i="11" s="1"/>
  <c r="C22" i="11"/>
  <c r="C31" i="11" s="1"/>
  <c r="B41" i="27"/>
  <c r="B17" i="11"/>
  <c r="C23" i="11" s="1"/>
  <c r="C32" i="11" s="1"/>
  <c r="P14" i="24"/>
  <c r="B8" i="27"/>
  <c r="C45" i="4"/>
  <c r="C44" i="4"/>
  <c r="C43" i="4"/>
  <c r="C42" i="4"/>
  <c r="C41" i="4"/>
  <c r="C40" i="4"/>
  <c r="C39" i="4"/>
  <c r="C38" i="4"/>
  <c r="C37" i="4"/>
  <c r="C36" i="4"/>
  <c r="C34" i="4"/>
  <c r="C33" i="4"/>
  <c r="C32" i="4"/>
  <c r="C35" i="4"/>
  <c r="C215" i="4"/>
  <c r="C214" i="4"/>
  <c r="C213" i="4"/>
  <c r="C212" i="4"/>
  <c r="C211" i="4"/>
  <c r="C210" i="4"/>
  <c r="C209" i="4"/>
  <c r="C208" i="4"/>
  <c r="C207" i="4"/>
  <c r="C206" i="4"/>
  <c r="C205" i="4"/>
  <c r="C204" i="4"/>
  <c r="C203" i="4"/>
  <c r="C202" i="4"/>
  <c r="J80" i="24"/>
  <c r="E86" i="24"/>
  <c r="F86" i="24" s="1"/>
  <c r="G86" i="24" s="1"/>
  <c r="H86" i="24" s="1"/>
  <c r="I86" i="24" s="1"/>
  <c r="E87" i="24"/>
  <c r="F87" i="24" s="1"/>
  <c r="G87" i="24" s="1"/>
  <c r="H87" i="24" s="1"/>
  <c r="I87" i="24" s="1"/>
  <c r="E88" i="24"/>
  <c r="F88" i="24" s="1"/>
  <c r="G88" i="24" s="1"/>
  <c r="H88" i="24" s="1"/>
  <c r="I88" i="24" s="1"/>
  <c r="E10" i="24"/>
  <c r="C67" i="24"/>
  <c r="C26" i="24"/>
  <c r="C56" i="3"/>
  <c r="C57" i="3" s="1"/>
  <c r="D56" i="3"/>
  <c r="D57" i="3" s="1"/>
  <c r="E56" i="3"/>
  <c r="E57" i="3" s="1"/>
  <c r="F56" i="3"/>
  <c r="F57" i="3" s="1"/>
  <c r="G56" i="3"/>
  <c r="G57" i="3" s="1"/>
  <c r="B26" i="3"/>
  <c r="P26" i="3" s="1"/>
  <c r="P96" i="3"/>
  <c r="B95" i="3"/>
  <c r="P95" i="3" s="1"/>
  <c r="B94" i="3"/>
  <c r="P94" i="3" s="1"/>
  <c r="B93" i="3"/>
  <c r="P93" i="3" s="1"/>
  <c r="B92" i="3"/>
  <c r="P92" i="3" s="1"/>
  <c r="B91" i="3"/>
  <c r="P91" i="3" s="1"/>
  <c r="B90" i="3"/>
  <c r="P90" i="3" s="1"/>
  <c r="B89" i="3"/>
  <c r="P89" i="3" s="1"/>
  <c r="B88" i="3"/>
  <c r="P88" i="3" s="1"/>
  <c r="B87" i="3"/>
  <c r="P87" i="3" s="1"/>
  <c r="B86" i="3"/>
  <c r="P86" i="3" s="1"/>
  <c r="B85" i="3"/>
  <c r="P85" i="3" s="1"/>
  <c r="B84" i="3"/>
  <c r="P84" i="3" s="1"/>
  <c r="B83" i="3"/>
  <c r="P83" i="3" s="1"/>
  <c r="B82" i="3"/>
  <c r="P82" i="3" s="1"/>
  <c r="P81" i="3"/>
  <c r="P80" i="3"/>
  <c r="P79" i="3"/>
  <c r="P78" i="3"/>
  <c r="P76" i="3"/>
  <c r="B75" i="3"/>
  <c r="P75" i="3" s="1"/>
  <c r="B74" i="3"/>
  <c r="P74" i="3" s="1"/>
  <c r="B73" i="3"/>
  <c r="P73" i="3" s="1"/>
  <c r="B72" i="3"/>
  <c r="P72" i="3" s="1"/>
  <c r="B71" i="3"/>
  <c r="P71" i="3" s="1"/>
  <c r="B70" i="3"/>
  <c r="P70" i="3" s="1"/>
  <c r="B69" i="3"/>
  <c r="P69" i="3" s="1"/>
  <c r="B68" i="3"/>
  <c r="P68" i="3" s="1"/>
  <c r="B67" i="3"/>
  <c r="P67" i="3" s="1"/>
  <c r="B66" i="3"/>
  <c r="P66" i="3" s="1"/>
  <c r="B65" i="3"/>
  <c r="P65" i="3" s="1"/>
  <c r="B64" i="3"/>
  <c r="P64" i="3" s="1"/>
  <c r="B63" i="3"/>
  <c r="P63" i="3" s="1"/>
  <c r="B62" i="3"/>
  <c r="P62" i="3" s="1"/>
  <c r="P61" i="3"/>
  <c r="P60" i="3"/>
  <c r="P59" i="3"/>
  <c r="P57" i="3"/>
  <c r="P56" i="3"/>
  <c r="B55" i="3"/>
  <c r="P55" i="3" s="1"/>
  <c r="B54" i="3"/>
  <c r="P54" i="3" s="1"/>
  <c r="B53" i="3"/>
  <c r="P53" i="3" s="1"/>
  <c r="B52" i="3"/>
  <c r="P52" i="3" s="1"/>
  <c r="B51" i="3"/>
  <c r="P51" i="3" s="1"/>
  <c r="B50" i="3"/>
  <c r="P50" i="3" s="1"/>
  <c r="B49" i="3"/>
  <c r="P49" i="3" s="1"/>
  <c r="B48" i="3"/>
  <c r="P48" i="3" s="1"/>
  <c r="B47" i="3"/>
  <c r="P47" i="3" s="1"/>
  <c r="B46" i="3"/>
  <c r="P46" i="3" s="1"/>
  <c r="B45" i="3"/>
  <c r="P45" i="3" s="1"/>
  <c r="B44" i="3"/>
  <c r="P44" i="3" s="1"/>
  <c r="B43" i="3"/>
  <c r="P43" i="3" s="1"/>
  <c r="B42" i="3"/>
  <c r="P42" i="3" s="1"/>
  <c r="P41" i="3"/>
  <c r="P40" i="3"/>
  <c r="P39" i="3"/>
  <c r="P37" i="3"/>
  <c r="P36" i="3"/>
  <c r="B35" i="3"/>
  <c r="P35" i="3" s="1"/>
  <c r="B34" i="3"/>
  <c r="P34" i="3" s="1"/>
  <c r="B33" i="3"/>
  <c r="P33" i="3" s="1"/>
  <c r="B32" i="3"/>
  <c r="P32" i="3" s="1"/>
  <c r="B31" i="3"/>
  <c r="P31" i="3" s="1"/>
  <c r="B30" i="3"/>
  <c r="P30" i="3" s="1"/>
  <c r="B29" i="3"/>
  <c r="P29" i="3" s="1"/>
  <c r="B28" i="3"/>
  <c r="P28" i="3" s="1"/>
  <c r="B27" i="3"/>
  <c r="P27" i="3" s="1"/>
  <c r="B25" i="3"/>
  <c r="P25" i="3" s="1"/>
  <c r="B24" i="3"/>
  <c r="P24" i="3" s="1"/>
  <c r="B23" i="3"/>
  <c r="P23" i="3" s="1"/>
  <c r="B22" i="3"/>
  <c r="P22" i="3" s="1"/>
  <c r="T67" i="15" l="1"/>
  <c r="R67" i="15"/>
  <c r="S68" i="15"/>
  <c r="R68" i="15"/>
  <c r="S67" i="15"/>
  <c r="U67" i="15"/>
  <c r="S19" i="9" s="1"/>
  <c r="U68" i="15"/>
  <c r="AA19" i="9" s="1"/>
  <c r="T68" i="15"/>
  <c r="AI66" i="15"/>
  <c r="AI65" i="15"/>
  <c r="AF65" i="15"/>
  <c r="AO65" i="15"/>
  <c r="AN65" i="15"/>
  <c r="AM65" i="15"/>
  <c r="AG65" i="15"/>
  <c r="AH65" i="15"/>
  <c r="AP65" i="15"/>
  <c r="F32" i="4"/>
  <c r="F42" i="7" s="1"/>
  <c r="W42" i="7" s="1"/>
  <c r="F33" i="4"/>
  <c r="F43" i="7" s="1"/>
  <c r="W43" i="7" s="1"/>
  <c r="D43" i="4"/>
  <c r="F25" i="7" s="1"/>
  <c r="W25" i="7" s="1"/>
  <c r="F43" i="4"/>
  <c r="F53" i="7" s="1"/>
  <c r="W53" i="7" s="1"/>
  <c r="F44" i="4"/>
  <c r="F54" i="7" s="1"/>
  <c r="W54" i="7" s="1"/>
  <c r="D44" i="4"/>
  <c r="F26" i="7" s="1"/>
  <c r="W26" i="7" s="1"/>
  <c r="F39" i="4"/>
  <c r="F49" i="7" s="1"/>
  <c r="W49" i="7" s="1"/>
  <c r="D39" i="4"/>
  <c r="F21" i="7" s="1"/>
  <c r="W21" i="7" s="1"/>
  <c r="D40" i="4"/>
  <c r="F22" i="7" s="1"/>
  <c r="W22" i="7" s="1"/>
  <c r="F40" i="4"/>
  <c r="F50" i="7" s="1"/>
  <c r="W50" i="7" s="1"/>
  <c r="F45" i="4"/>
  <c r="F55" i="7" s="1"/>
  <c r="W55" i="7" s="1"/>
  <c r="E45" i="4"/>
  <c r="F41" i="7" s="1"/>
  <c r="W41" i="7" s="1"/>
  <c r="D45" i="4"/>
  <c r="F27" i="7" s="1"/>
  <c r="W27" i="7" s="1"/>
  <c r="D38" i="4"/>
  <c r="F20" i="7" s="1"/>
  <c r="W20" i="7" s="1"/>
  <c r="F38" i="4"/>
  <c r="F48" i="7" s="1"/>
  <c r="W48" i="7" s="1"/>
  <c r="F41" i="4"/>
  <c r="F51" i="7" s="1"/>
  <c r="W51" i="7" s="1"/>
  <c r="D41" i="4"/>
  <c r="F23" i="7" s="1"/>
  <c r="W23" i="7" s="1"/>
  <c r="D37" i="4"/>
  <c r="F19" i="7" s="1"/>
  <c r="W19" i="7" s="1"/>
  <c r="F37" i="4"/>
  <c r="F47" i="7" s="1"/>
  <c r="W47" i="7" s="1"/>
  <c r="F42" i="4"/>
  <c r="F52" i="7" s="1"/>
  <c r="W52" i="7" s="1"/>
  <c r="D42" i="4"/>
  <c r="F24" i="7" s="1"/>
  <c r="W24" i="7" s="1"/>
  <c r="F36" i="4"/>
  <c r="F46" i="7" s="1"/>
  <c r="W46" i="7" s="1"/>
  <c r="F34" i="4"/>
  <c r="F44" i="7" s="1"/>
  <c r="W44" i="7" s="1"/>
  <c r="D34" i="4"/>
  <c r="F16" i="7" s="1"/>
  <c r="F35" i="4"/>
  <c r="F45" i="7" s="1"/>
  <c r="W45" i="7" s="1"/>
  <c r="D35" i="4"/>
  <c r="F17" i="7" s="1"/>
  <c r="W17" i="7" s="1"/>
  <c r="H111" i="15"/>
  <c r="H117" i="15" s="1"/>
  <c r="C111" i="15"/>
  <c r="H63" i="15"/>
  <c r="H69" i="15" s="1"/>
  <c r="C117" i="15"/>
  <c r="C73" i="11"/>
  <c r="C82" i="11" s="1"/>
  <c r="J86" i="24"/>
  <c r="J88" i="24"/>
  <c r="J87" i="24"/>
  <c r="C48" i="11"/>
  <c r="C57" i="11" s="1"/>
  <c r="R5" i="5"/>
  <c r="E8" i="5" s="1"/>
  <c r="W16" i="7" l="1"/>
  <c r="V16" i="7"/>
  <c r="E26" i="7"/>
  <c r="V26" i="7"/>
  <c r="E54" i="7"/>
  <c r="V54" i="7"/>
  <c r="E20" i="7"/>
  <c r="V20" i="7"/>
  <c r="E52" i="7"/>
  <c r="V52" i="7"/>
  <c r="E47" i="7"/>
  <c r="V47" i="7"/>
  <c r="E55" i="7"/>
  <c r="V55" i="7"/>
  <c r="E25" i="7"/>
  <c r="V25" i="7"/>
  <c r="E27" i="7"/>
  <c r="V27" i="7"/>
  <c r="E50" i="7"/>
  <c r="V50" i="7"/>
  <c r="E43" i="7"/>
  <c r="V43" i="7"/>
  <c r="E53" i="7"/>
  <c r="V53" i="7"/>
  <c r="E45" i="7"/>
  <c r="V45" i="7"/>
  <c r="E23" i="7"/>
  <c r="V23" i="7"/>
  <c r="E22" i="7"/>
  <c r="V22" i="7"/>
  <c r="E42" i="7"/>
  <c r="V42" i="7"/>
  <c r="E41" i="7"/>
  <c r="V41" i="7"/>
  <c r="E17" i="7"/>
  <c r="V17" i="7"/>
  <c r="I17" i="7" s="1"/>
  <c r="E16" i="7"/>
  <c r="E51" i="7"/>
  <c r="V51" i="7"/>
  <c r="E21" i="7"/>
  <c r="V21" i="7"/>
  <c r="E46" i="7"/>
  <c r="V46" i="7"/>
  <c r="E24" i="7"/>
  <c r="V24" i="7"/>
  <c r="E19" i="7"/>
  <c r="V19" i="7"/>
  <c r="E44" i="7"/>
  <c r="V44" i="7"/>
  <c r="E48" i="7"/>
  <c r="V48" i="7"/>
  <c r="E49" i="7"/>
  <c r="V49" i="7"/>
  <c r="AA16" i="9"/>
  <c r="AB16" i="9"/>
  <c r="AB10" i="9"/>
  <c r="AA10" i="9"/>
  <c r="AD10" i="9"/>
  <c r="AC10" i="9"/>
  <c r="AA13" i="9"/>
  <c r="AB13" i="9"/>
  <c r="AC13" i="9"/>
  <c r="U10" i="9"/>
  <c r="S10" i="9"/>
  <c r="T10" i="9"/>
  <c r="V10" i="9"/>
  <c r="U13" i="9"/>
  <c r="S13" i="9"/>
  <c r="T13" i="9"/>
  <c r="S16" i="9"/>
  <c r="T16" i="9"/>
  <c r="E123" i="21"/>
  <c r="E122" i="21"/>
  <c r="E71" i="21"/>
  <c r="E72" i="21"/>
  <c r="E73" i="21"/>
  <c r="E74" i="21"/>
  <c r="E75" i="21"/>
  <c r="E76" i="21"/>
  <c r="E108" i="21"/>
  <c r="E77" i="21"/>
  <c r="E78" i="21"/>
  <c r="E79" i="21"/>
  <c r="E107" i="21"/>
  <c r="E80" i="21"/>
  <c r="E81" i="21"/>
  <c r="E82" i="21"/>
  <c r="E83" i="21"/>
  <c r="E84" i="21"/>
  <c r="E85" i="21"/>
  <c r="E86" i="21"/>
  <c r="E87" i="21"/>
  <c r="E88" i="21"/>
  <c r="E115" i="21"/>
  <c r="E91" i="21"/>
  <c r="E93" i="21"/>
  <c r="E95" i="21"/>
  <c r="E116" i="21"/>
  <c r="E97" i="21"/>
  <c r="E92" i="21"/>
  <c r="E99" i="21"/>
  <c r="E94" i="21"/>
  <c r="E102" i="21"/>
  <c r="E96" i="21"/>
  <c r="E103" i="21"/>
  <c r="E98" i="21"/>
  <c r="E106" i="21"/>
  <c r="E100" i="21"/>
  <c r="E89" i="21"/>
  <c r="E101" i="21"/>
  <c r="E90" i="21"/>
  <c r="E104" i="21"/>
  <c r="E119" i="21"/>
  <c r="E105" i="21"/>
  <c r="E121" i="21"/>
  <c r="E118" i="21"/>
  <c r="E120" i="21"/>
  <c r="E111" i="21"/>
  <c r="E113" i="21"/>
  <c r="E117" i="21"/>
  <c r="E114" i="21"/>
  <c r="E110" i="21"/>
  <c r="E112" i="21"/>
  <c r="E109" i="21"/>
  <c r="E124" i="21"/>
  <c r="E125" i="21"/>
  <c r="E126" i="21"/>
  <c r="E127" i="21"/>
  <c r="E128" i="21"/>
  <c r="E129" i="21"/>
  <c r="K123" i="21"/>
  <c r="K122" i="21"/>
  <c r="K71" i="21"/>
  <c r="K72" i="21"/>
  <c r="K73" i="21"/>
  <c r="K74" i="21"/>
  <c r="K75" i="21"/>
  <c r="K76" i="21"/>
  <c r="K108" i="21"/>
  <c r="K120" i="21"/>
  <c r="K117" i="21"/>
  <c r="K109" i="21"/>
  <c r="K116" i="21"/>
  <c r="K94" i="21"/>
  <c r="K97" i="21"/>
  <c r="K98" i="21"/>
  <c r="K100" i="21"/>
  <c r="K104" i="21"/>
  <c r="K77" i="21"/>
  <c r="K78" i="21"/>
  <c r="K79" i="21"/>
  <c r="K107" i="21"/>
  <c r="K80" i="21"/>
  <c r="K118" i="21"/>
  <c r="K81" i="21"/>
  <c r="K113" i="21"/>
  <c r="K111" i="21"/>
  <c r="K82" i="21"/>
  <c r="K110" i="21"/>
  <c r="K114" i="21"/>
  <c r="K83" i="21"/>
  <c r="K115" i="21"/>
  <c r="K112" i="21"/>
  <c r="K84" i="21"/>
  <c r="K93" i="21"/>
  <c r="K91" i="21"/>
  <c r="K85" i="21"/>
  <c r="K96" i="21"/>
  <c r="K92" i="21"/>
  <c r="K86" i="21"/>
  <c r="K99" i="21"/>
  <c r="K95" i="21"/>
  <c r="K87" i="21"/>
  <c r="K102" i="21"/>
  <c r="K101" i="21"/>
  <c r="K88" i="21"/>
  <c r="K106" i="21"/>
  <c r="K103" i="21"/>
  <c r="K89" i="21"/>
  <c r="K90" i="21"/>
  <c r="K119" i="21"/>
  <c r="K121" i="21"/>
  <c r="K105" i="21"/>
  <c r="K124" i="21"/>
  <c r="K125" i="21"/>
  <c r="K126" i="21"/>
  <c r="K127" i="21"/>
  <c r="K128" i="21"/>
  <c r="K129" i="21"/>
  <c r="I21" i="7" l="1"/>
  <c r="I23" i="7"/>
  <c r="I48" i="7"/>
  <c r="I54" i="7"/>
  <c r="I44" i="7"/>
  <c r="I27" i="7"/>
  <c r="I20" i="7"/>
  <c r="I52" i="7"/>
  <c r="I50" i="7"/>
  <c r="I25" i="7"/>
  <c r="I51" i="7"/>
  <c r="I49" i="7"/>
  <c r="I53" i="7"/>
  <c r="I45" i="7"/>
  <c r="I16" i="7"/>
  <c r="I46" i="7"/>
  <c r="I19" i="7"/>
  <c r="I47" i="7"/>
  <c r="I41" i="7"/>
  <c r="I43" i="7"/>
  <c r="I55" i="7"/>
  <c r="I26" i="7"/>
  <c r="I42" i="7"/>
  <c r="I22" i="7"/>
  <c r="I24" i="7"/>
  <c r="AX109" i="26"/>
  <c r="AX113" i="26" s="1"/>
  <c r="AW109" i="26"/>
  <c r="AW131" i="26" s="1"/>
  <c r="AV109" i="26"/>
  <c r="AV119" i="26" s="1"/>
  <c r="AU109" i="26"/>
  <c r="AU131" i="26" s="1"/>
  <c r="AT109" i="26"/>
  <c r="AT115" i="26" s="1"/>
  <c r="AS109" i="26"/>
  <c r="AS115" i="26" s="1"/>
  <c r="AR109" i="26"/>
  <c r="AR115" i="26" s="1"/>
  <c r="AQ109" i="26"/>
  <c r="AQ133" i="26" s="1"/>
  <c r="AP109" i="26"/>
  <c r="AP128" i="26" s="1"/>
  <c r="AO109" i="26"/>
  <c r="AO127" i="26" s="1"/>
  <c r="AN109" i="26"/>
  <c r="AN112" i="26" s="1"/>
  <c r="AM109" i="26"/>
  <c r="AM141" i="26" s="1"/>
  <c r="AL109" i="26"/>
  <c r="AL120" i="26" s="1"/>
  <c r="AX120" i="26"/>
  <c r="AW130" i="26"/>
  <c r="AX134" i="26"/>
  <c r="AW136" i="26"/>
  <c r="AX136" i="26"/>
  <c r="AX138" i="26"/>
  <c r="AX141" i="26"/>
  <c r="AX142" i="26"/>
  <c r="AX143" i="26"/>
  <c r="AW144" i="26"/>
  <c r="AX144" i="26"/>
  <c r="AX148" i="26"/>
  <c r="AX149" i="26"/>
  <c r="AX150" i="26"/>
  <c r="AX151" i="26"/>
  <c r="AX156" i="26"/>
  <c r="AX157" i="26"/>
  <c r="AK109" i="26"/>
  <c r="AK121" i="26" s="1"/>
  <c r="AX110" i="26"/>
  <c r="N21" i="7" l="1"/>
  <c r="M21" i="7"/>
  <c r="N53" i="7"/>
  <c r="M53" i="7"/>
  <c r="N17" i="7"/>
  <c r="M17" i="7"/>
  <c r="N16" i="7"/>
  <c r="M16" i="7"/>
  <c r="N44" i="7"/>
  <c r="M44" i="7"/>
  <c r="N45" i="7"/>
  <c r="M45" i="7"/>
  <c r="N50" i="7"/>
  <c r="M50" i="7"/>
  <c r="N19" i="7"/>
  <c r="M19" i="7"/>
  <c r="N22" i="7"/>
  <c r="M22" i="7"/>
  <c r="N43" i="7"/>
  <c r="M43" i="7"/>
  <c r="N20" i="7"/>
  <c r="M20" i="7"/>
  <c r="N55" i="7"/>
  <c r="M55" i="7"/>
  <c r="N54" i="7"/>
  <c r="M54" i="7"/>
  <c r="N48" i="7"/>
  <c r="M48" i="7"/>
  <c r="N41" i="7"/>
  <c r="M41" i="7"/>
  <c r="N51" i="7"/>
  <c r="M51" i="7"/>
  <c r="N25" i="7"/>
  <c r="M25" i="7"/>
  <c r="N26" i="7"/>
  <c r="M26" i="7"/>
  <c r="N42" i="7"/>
  <c r="M42" i="7"/>
  <c r="N27" i="7"/>
  <c r="M27" i="7"/>
  <c r="N52" i="7"/>
  <c r="M52" i="7"/>
  <c r="N46" i="7"/>
  <c r="M46" i="7"/>
  <c r="N49" i="7"/>
  <c r="M49" i="7"/>
  <c r="N47" i="7"/>
  <c r="M47" i="7"/>
  <c r="N24" i="7"/>
  <c r="M24" i="7"/>
  <c r="N23" i="7"/>
  <c r="M23" i="7"/>
  <c r="AW110" i="26"/>
  <c r="AW137" i="26"/>
  <c r="AW112" i="26"/>
  <c r="AW125" i="26"/>
  <c r="AW150" i="26"/>
  <c r="AW117" i="26"/>
  <c r="AW126" i="26"/>
  <c r="AX155" i="26"/>
  <c r="AX147" i="26"/>
  <c r="AW141" i="26"/>
  <c r="AX132" i="26"/>
  <c r="AX116" i="26"/>
  <c r="AW155" i="26"/>
  <c r="AW147" i="26"/>
  <c r="AX140" i="26"/>
  <c r="AW132" i="26"/>
  <c r="AW116" i="26"/>
  <c r="AX154" i="26"/>
  <c r="AX146" i="26"/>
  <c r="AW140" i="26"/>
  <c r="AX130" i="26"/>
  <c r="AX114" i="26"/>
  <c r="AR153" i="26"/>
  <c r="AR140" i="26"/>
  <c r="AU127" i="26"/>
  <c r="AS110" i="26"/>
  <c r="AU143" i="26"/>
  <c r="AV130" i="26"/>
  <c r="AW156" i="26"/>
  <c r="AW142" i="26"/>
  <c r="AX158" i="26"/>
  <c r="AV156" i="26"/>
  <c r="AX152" i="26"/>
  <c r="AW149" i="26"/>
  <c r="AV146" i="26"/>
  <c r="AP142" i="26"/>
  <c r="AX139" i="26"/>
  <c r="AW134" i="26"/>
  <c r="AV128" i="26"/>
  <c r="AW120" i="26"/>
  <c r="AW113" i="26"/>
  <c r="AV148" i="26"/>
  <c r="AV151" i="26"/>
  <c r="AT117" i="26"/>
  <c r="AU157" i="26"/>
  <c r="AV124" i="26"/>
  <c r="AW153" i="26"/>
  <c r="AV150" i="26"/>
  <c r="AW129" i="26"/>
  <c r="AW158" i="26"/>
  <c r="AW152" i="26"/>
  <c r="AW145" i="26"/>
  <c r="AW139" i="26"/>
  <c r="AW127" i="26"/>
  <c r="AW119" i="26"/>
  <c r="AX112" i="26"/>
  <c r="AV158" i="26"/>
  <c r="AV155" i="26"/>
  <c r="AV157" i="26"/>
  <c r="AS154" i="26"/>
  <c r="AV147" i="26"/>
  <c r="AV140" i="26"/>
  <c r="AT140" i="26"/>
  <c r="AW135" i="26"/>
  <c r="AW123" i="26"/>
  <c r="AW146" i="26"/>
  <c r="AW128" i="26"/>
  <c r="AW114" i="26"/>
  <c r="AQ147" i="26"/>
  <c r="AR157" i="26"/>
  <c r="AV136" i="26"/>
  <c r="AV131" i="26"/>
  <c r="AV123" i="26"/>
  <c r="AV117" i="26"/>
  <c r="AQ128" i="26"/>
  <c r="AV154" i="26"/>
  <c r="AV152" i="26"/>
  <c r="AV149" i="26"/>
  <c r="AV143" i="26"/>
  <c r="AV139" i="26"/>
  <c r="AR136" i="26"/>
  <c r="AV127" i="26"/>
  <c r="AV121" i="26"/>
  <c r="AQ121" i="26"/>
  <c r="AU158" i="26"/>
  <c r="AQ156" i="26"/>
  <c r="AV153" i="26"/>
  <c r="AV145" i="26"/>
  <c r="AU140" i="26"/>
  <c r="AV137" i="26"/>
  <c r="AV110" i="26"/>
  <c r="AU153" i="26"/>
  <c r="AU145" i="26"/>
  <c r="AV142" i="26"/>
  <c r="AU137" i="26"/>
  <c r="AV134" i="26"/>
  <c r="AV125" i="26"/>
  <c r="AV120" i="26"/>
  <c r="AQ113" i="26"/>
  <c r="AR121" i="26"/>
  <c r="AQ152" i="26"/>
  <c r="AQ150" i="26"/>
  <c r="AQ154" i="26"/>
  <c r="AQ134" i="26"/>
  <c r="AP134" i="26"/>
  <c r="AQ140" i="26"/>
  <c r="AQ143" i="26"/>
  <c r="AR144" i="26"/>
  <c r="AR120" i="26"/>
  <c r="AR156" i="26"/>
  <c r="AR147" i="26"/>
  <c r="AR128" i="26"/>
  <c r="AR134" i="26"/>
  <c r="AR151" i="26"/>
  <c r="AR139" i="26"/>
  <c r="AR133" i="26"/>
  <c r="AR155" i="26"/>
  <c r="AR142" i="26"/>
  <c r="AR124" i="26"/>
  <c r="AR110" i="26"/>
  <c r="AR150" i="26"/>
  <c r="AR114" i="26"/>
  <c r="AR149" i="26"/>
  <c r="AR158" i="26"/>
  <c r="AR131" i="26"/>
  <c r="AR145" i="26"/>
  <c r="AQ118" i="26"/>
  <c r="AQ146" i="26"/>
  <c r="AQ141" i="26"/>
  <c r="AQ137" i="26"/>
  <c r="AQ123" i="26"/>
  <c r="AP154" i="26"/>
  <c r="AP110" i="26"/>
  <c r="AP118" i="26"/>
  <c r="AP132" i="26"/>
  <c r="AP148" i="26"/>
  <c r="AP144" i="26"/>
  <c r="AP136" i="26"/>
  <c r="AP137" i="26"/>
  <c r="AP156" i="26"/>
  <c r="AP158" i="26"/>
  <c r="AO131" i="26"/>
  <c r="AO125" i="26"/>
  <c r="AO149" i="26"/>
  <c r="AO153" i="26"/>
  <c r="AO110" i="26"/>
  <c r="AO118" i="26"/>
  <c r="AN152" i="26"/>
  <c r="AN124" i="26"/>
  <c r="AN130" i="26"/>
  <c r="AN145" i="26"/>
  <c r="AM110" i="26"/>
  <c r="AM139" i="26"/>
  <c r="AK135" i="26"/>
  <c r="AK134" i="26"/>
  <c r="AK120" i="26"/>
  <c r="AK119" i="26"/>
  <c r="AK118" i="26"/>
  <c r="AN141" i="26"/>
  <c r="AM134" i="26"/>
  <c r="AN134" i="26"/>
  <c r="AL148" i="26"/>
  <c r="AN128" i="26"/>
  <c r="AL147" i="26"/>
  <c r="AN157" i="26"/>
  <c r="AM154" i="26"/>
  <c r="AN147" i="26"/>
  <c r="AN116" i="26"/>
  <c r="AL131" i="26"/>
  <c r="AN132" i="26"/>
  <c r="AM121" i="26"/>
  <c r="AN115" i="26"/>
  <c r="AL130" i="26"/>
  <c r="AM132" i="26"/>
  <c r="AL113" i="26"/>
  <c r="AN143" i="26"/>
  <c r="AK152" i="26"/>
  <c r="AN126" i="26"/>
  <c r="AL112" i="26"/>
  <c r="AK151" i="26"/>
  <c r="AM146" i="26"/>
  <c r="AK150" i="26"/>
  <c r="AN120" i="26"/>
  <c r="AL110" i="26"/>
  <c r="AK136" i="26"/>
  <c r="AS148" i="26"/>
  <c r="AS117" i="26"/>
  <c r="AS151" i="26"/>
  <c r="AS133" i="26"/>
  <c r="AT120" i="26"/>
  <c r="AS156" i="26"/>
  <c r="AS145" i="26"/>
  <c r="AS136" i="26"/>
  <c r="AS127" i="26"/>
  <c r="AS116" i="26"/>
  <c r="AS112" i="26"/>
  <c r="AS139" i="26"/>
  <c r="AU130" i="26"/>
  <c r="AX126" i="26"/>
  <c r="AS123" i="26"/>
  <c r="AR116" i="26"/>
  <c r="AV112" i="26"/>
  <c r="AS153" i="26"/>
  <c r="AT147" i="26"/>
  <c r="AS130" i="26"/>
  <c r="AQ116" i="26"/>
  <c r="AU111" i="26"/>
  <c r="AS150" i="26"/>
  <c r="AS147" i="26"/>
  <c r="AU132" i="26"/>
  <c r="AV126" i="26"/>
  <c r="AW122" i="26"/>
  <c r="AW118" i="26"/>
  <c r="AP116" i="26"/>
  <c r="AR111" i="26"/>
  <c r="AS124" i="26"/>
  <c r="AS141" i="26"/>
  <c r="AT135" i="26"/>
  <c r="AS132" i="26"/>
  <c r="AR126" i="26"/>
  <c r="AV122" i="26"/>
  <c r="AV118" i="26"/>
  <c r="AS144" i="26"/>
  <c r="AV138" i="26"/>
  <c r="AR135" i="26"/>
  <c r="AR132" i="26"/>
  <c r="AV129" i="26"/>
  <c r="AQ126" i="26"/>
  <c r="AP122" i="26"/>
  <c r="AS118" i="26"/>
  <c r="AQ115" i="26"/>
  <c r="AS138" i="26"/>
  <c r="AQ132" i="26"/>
  <c r="AX128" i="26"/>
  <c r="AW121" i="26"/>
  <c r="AR118" i="26"/>
  <c r="AS155" i="26"/>
  <c r="AT152" i="26"/>
  <c r="AS121" i="26"/>
  <c r="AS131" i="26"/>
  <c r="AS152" i="26"/>
  <c r="AS134" i="26"/>
  <c r="AS128" i="26"/>
  <c r="AS125" i="26"/>
  <c r="AV114" i="26"/>
  <c r="AS157" i="26"/>
  <c r="AS146" i="26"/>
  <c r="AS137" i="26"/>
  <c r="AS114" i="26"/>
  <c r="AW111" i="26"/>
  <c r="AV113" i="26"/>
  <c r="AV144" i="26"/>
  <c r="AV141" i="26"/>
  <c r="AV135" i="26"/>
  <c r="AV132" i="26"/>
  <c r="AU114" i="26"/>
  <c r="AU123" i="26"/>
  <c r="AU147" i="26"/>
  <c r="AU126" i="26"/>
  <c r="AU120" i="26"/>
  <c r="AU142" i="26"/>
  <c r="AU134" i="26"/>
  <c r="AU152" i="26"/>
  <c r="AU155" i="26"/>
  <c r="AU150" i="26"/>
  <c r="AU117" i="26"/>
  <c r="AU154" i="26"/>
  <c r="AU139" i="26"/>
  <c r="AU128" i="26"/>
  <c r="AU122" i="26"/>
  <c r="AU116" i="26"/>
  <c r="AU113" i="26"/>
  <c r="AU129" i="26"/>
  <c r="AU144" i="26"/>
  <c r="AU125" i="26"/>
  <c r="AU156" i="26"/>
  <c r="AU133" i="26"/>
  <c r="AU110" i="26"/>
  <c r="AU121" i="26"/>
  <c r="AU112" i="26"/>
  <c r="AU118" i="26"/>
  <c r="AU151" i="26"/>
  <c r="AU148" i="26"/>
  <c r="AU138" i="26"/>
  <c r="AU135" i="26"/>
  <c r="AT114" i="26"/>
  <c r="AT122" i="26"/>
  <c r="AT130" i="26"/>
  <c r="AT158" i="26"/>
  <c r="AT127" i="26"/>
  <c r="AT116" i="26"/>
  <c r="AT144" i="26"/>
  <c r="AT125" i="26"/>
  <c r="AT149" i="26"/>
  <c r="AT121" i="26"/>
  <c r="AT118" i="26"/>
  <c r="AT113" i="26"/>
  <c r="AT132" i="26"/>
  <c r="AT153" i="26"/>
  <c r="AT146" i="26"/>
  <c r="AT156" i="26"/>
  <c r="AT110" i="26"/>
  <c r="AT141" i="26"/>
  <c r="AT136" i="26"/>
  <c r="AT126" i="26"/>
  <c r="AT123" i="26"/>
  <c r="AT112" i="26"/>
  <c r="AT150" i="26"/>
  <c r="AT143" i="26"/>
  <c r="AT133" i="26"/>
  <c r="AT128" i="26"/>
  <c r="AT155" i="26"/>
  <c r="AT138" i="26"/>
  <c r="AS113" i="26"/>
  <c r="AS126" i="26"/>
  <c r="AS140" i="26"/>
  <c r="AS111" i="26"/>
  <c r="AS158" i="26"/>
  <c r="AS149" i="26"/>
  <c r="AS142" i="26"/>
  <c r="AS120" i="26"/>
  <c r="AR113" i="26"/>
  <c r="AR123" i="26"/>
  <c r="AR137" i="26"/>
  <c r="AR148" i="26"/>
  <c r="AR146" i="26"/>
  <c r="AR130" i="26"/>
  <c r="AR112" i="26"/>
  <c r="AR154" i="26"/>
  <c r="AR127" i="26"/>
  <c r="AR117" i="26"/>
  <c r="AR152" i="26"/>
  <c r="AR143" i="26"/>
  <c r="AR129" i="26"/>
  <c r="AR119" i="26"/>
  <c r="AQ149" i="26"/>
  <c r="AQ129" i="26"/>
  <c r="AQ127" i="26"/>
  <c r="AQ120" i="26"/>
  <c r="AQ110" i="26"/>
  <c r="AQ157" i="26"/>
  <c r="AQ138" i="26"/>
  <c r="AQ153" i="26"/>
  <c r="AQ131" i="26"/>
  <c r="AQ155" i="26"/>
  <c r="AQ124" i="26"/>
  <c r="AQ117" i="26"/>
  <c r="AQ135" i="26"/>
  <c r="AQ111" i="26"/>
  <c r="AQ144" i="26"/>
  <c r="AQ114" i="26"/>
  <c r="AP138" i="26"/>
  <c r="AP152" i="26"/>
  <c r="AP150" i="26"/>
  <c r="AP140" i="26"/>
  <c r="AP120" i="26"/>
  <c r="AP157" i="26"/>
  <c r="AP135" i="26"/>
  <c r="AP124" i="26"/>
  <c r="AP141" i="26"/>
  <c r="AP155" i="26"/>
  <c r="AP151" i="26"/>
  <c r="AP145" i="26"/>
  <c r="AP139" i="26"/>
  <c r="AP149" i="26"/>
  <c r="AP147" i="26"/>
  <c r="AP126" i="26"/>
  <c r="AP114" i="26"/>
  <c r="AO137" i="26"/>
  <c r="AO124" i="26"/>
  <c r="AO141" i="26"/>
  <c r="AO145" i="26"/>
  <c r="AO156" i="26"/>
  <c r="AO130" i="26"/>
  <c r="AO152" i="26"/>
  <c r="AO148" i="26"/>
  <c r="AO121" i="26"/>
  <c r="AO134" i="26"/>
  <c r="AO111" i="26"/>
  <c r="AN150" i="26"/>
  <c r="AN113" i="26"/>
  <c r="AN139" i="26"/>
  <c r="AN148" i="26"/>
  <c r="AN119" i="26"/>
  <c r="AN155" i="26"/>
  <c r="AN137" i="26"/>
  <c r="AN135" i="26"/>
  <c r="AN133" i="26"/>
  <c r="AN129" i="26"/>
  <c r="AN121" i="26"/>
  <c r="AN117" i="26"/>
  <c r="AN153" i="26"/>
  <c r="AN146" i="26"/>
  <c r="AN131" i="26"/>
  <c r="AN127" i="26"/>
  <c r="AN123" i="26"/>
  <c r="AN158" i="26"/>
  <c r="AN125" i="26"/>
  <c r="AN151" i="26"/>
  <c r="AN142" i="26"/>
  <c r="AN144" i="26"/>
  <c r="AN110" i="26"/>
  <c r="AN156" i="26"/>
  <c r="AN114" i="26"/>
  <c r="AN140" i="26"/>
  <c r="AN154" i="26"/>
  <c r="AN149" i="26"/>
  <c r="AN138" i="26"/>
  <c r="AN122" i="26"/>
  <c r="AN111" i="26"/>
  <c r="AN136" i="26"/>
  <c r="AN118" i="26"/>
  <c r="AM128" i="26"/>
  <c r="AM142" i="26"/>
  <c r="AM126" i="26"/>
  <c r="AM124" i="26"/>
  <c r="AM122" i="26"/>
  <c r="AM152" i="26"/>
  <c r="AM133" i="26"/>
  <c r="AM147" i="26"/>
  <c r="AM144" i="26"/>
  <c r="AM135" i="26"/>
  <c r="AM155" i="26"/>
  <c r="AM140" i="26"/>
  <c r="AM131" i="26"/>
  <c r="AM129" i="26"/>
  <c r="AM112" i="26"/>
  <c r="AM158" i="26"/>
  <c r="AM150" i="26"/>
  <c r="AM118" i="26"/>
  <c r="AM114" i="26"/>
  <c r="AM138" i="26"/>
  <c r="AM120" i="26"/>
  <c r="AM116" i="26"/>
  <c r="AM136" i="26"/>
  <c r="AM156" i="26"/>
  <c r="AM125" i="26"/>
  <c r="AM111" i="26"/>
  <c r="AM143" i="26"/>
  <c r="AM148" i="26"/>
  <c r="AM151" i="26"/>
  <c r="AM123" i="26"/>
  <c r="AM119" i="26"/>
  <c r="AM115" i="26"/>
  <c r="AL145" i="26"/>
  <c r="AL127" i="26"/>
  <c r="AL111" i="26"/>
  <c r="AL126" i="26"/>
  <c r="AL144" i="26"/>
  <c r="AL158" i="26"/>
  <c r="AL125" i="26"/>
  <c r="AL142" i="26"/>
  <c r="AL157" i="26"/>
  <c r="AL141" i="26"/>
  <c r="AL123" i="26"/>
  <c r="AL146" i="26"/>
  <c r="AL122" i="26"/>
  <c r="AL129" i="26"/>
  <c r="AL156" i="26"/>
  <c r="AL155" i="26"/>
  <c r="AL139" i="26"/>
  <c r="AL121" i="26"/>
  <c r="AL128" i="26"/>
  <c r="AL143" i="26"/>
  <c r="AL140" i="26"/>
  <c r="AL154" i="26"/>
  <c r="AL138" i="26"/>
  <c r="AL119" i="26"/>
  <c r="AL118" i="26"/>
  <c r="AL117" i="26"/>
  <c r="AL116" i="26"/>
  <c r="AL153" i="26"/>
  <c r="AL135" i="26"/>
  <c r="AL151" i="26"/>
  <c r="AL150" i="26"/>
  <c r="AL133" i="26"/>
  <c r="AL115" i="26"/>
  <c r="AL137" i="26"/>
  <c r="AL152" i="26"/>
  <c r="AL134" i="26"/>
  <c r="AL149" i="26"/>
  <c r="AL132" i="26"/>
  <c r="AL114" i="26"/>
  <c r="AK117" i="26"/>
  <c r="AK148" i="26"/>
  <c r="AK115" i="26"/>
  <c r="AK131" i="26"/>
  <c r="AK146" i="26"/>
  <c r="AK130" i="26"/>
  <c r="AK114" i="26"/>
  <c r="AK145" i="26"/>
  <c r="AK129" i="26"/>
  <c r="AK113" i="26"/>
  <c r="AK116" i="26"/>
  <c r="AK144" i="26"/>
  <c r="AK128" i="26"/>
  <c r="AK112" i="26"/>
  <c r="AK132" i="26"/>
  <c r="AK143" i="26"/>
  <c r="AK127" i="26"/>
  <c r="AK111" i="26"/>
  <c r="AK147" i="26"/>
  <c r="AK158" i="26"/>
  <c r="AK142" i="26"/>
  <c r="AK126" i="26"/>
  <c r="AK157" i="26"/>
  <c r="AK141" i="26"/>
  <c r="AK125" i="26"/>
  <c r="AK124" i="26"/>
  <c r="AK155" i="26"/>
  <c r="AK139" i="26"/>
  <c r="AK123" i="26"/>
  <c r="AK133" i="26"/>
  <c r="AK156" i="26"/>
  <c r="AK154" i="26"/>
  <c r="AK138" i="26"/>
  <c r="AK122" i="26"/>
  <c r="AK149" i="26"/>
  <c r="AK140" i="26"/>
  <c r="AK110" i="26"/>
  <c r="AK153" i="26"/>
  <c r="AK137" i="26"/>
  <c r="AX124" i="26"/>
  <c r="AX153" i="26"/>
  <c r="AX145" i="26"/>
  <c r="AX122" i="26"/>
  <c r="AX118" i="26"/>
  <c r="AW148" i="26"/>
  <c r="AW133" i="26"/>
  <c r="AW124" i="26"/>
  <c r="AW138" i="26"/>
  <c r="AW157" i="26"/>
  <c r="AW154" i="26"/>
  <c r="AW151" i="26"/>
  <c r="AW143" i="26"/>
  <c r="AV133" i="26"/>
  <c r="AU149" i="26"/>
  <c r="AU146" i="26"/>
  <c r="AU141" i="26"/>
  <c r="AU124" i="26"/>
  <c r="AU119" i="26"/>
  <c r="AU136" i="26"/>
  <c r="AT131" i="26"/>
  <c r="AT139" i="26"/>
  <c r="AT124" i="26"/>
  <c r="AT157" i="26"/>
  <c r="AT142" i="26"/>
  <c r="AT134" i="26"/>
  <c r="AT119" i="26"/>
  <c r="AT111" i="26"/>
  <c r="AT154" i="26"/>
  <c r="AT129" i="26"/>
  <c r="AT151" i="26"/>
  <c r="AT148" i="26"/>
  <c r="AT145" i="26"/>
  <c r="AT137" i="26"/>
  <c r="AS129" i="26"/>
  <c r="AS119" i="26"/>
  <c r="AS143" i="26"/>
  <c r="AS135" i="26"/>
  <c r="AS122" i="26"/>
  <c r="AR122" i="26"/>
  <c r="AR141" i="26"/>
  <c r="AR138" i="26"/>
  <c r="AR125" i="26"/>
  <c r="AQ151" i="26"/>
  <c r="AQ119" i="26"/>
  <c r="AQ112" i="26"/>
  <c r="AQ148" i="26"/>
  <c r="AQ125" i="26"/>
  <c r="AQ122" i="26"/>
  <c r="AQ145" i="26"/>
  <c r="AQ142" i="26"/>
  <c r="AQ130" i="26"/>
  <c r="AQ158" i="26"/>
  <c r="AQ139" i="26"/>
  <c r="AQ136" i="26"/>
  <c r="AP133" i="26"/>
  <c r="AP130" i="26"/>
  <c r="AP112" i="26"/>
  <c r="AP111" i="26"/>
  <c r="AP146" i="26"/>
  <c r="AP153" i="26"/>
  <c r="AP143" i="26"/>
  <c r="AO128" i="26"/>
  <c r="AO116" i="26"/>
  <c r="AO138" i="26"/>
  <c r="AO122" i="26"/>
  <c r="AO119" i="26"/>
  <c r="AO142" i="26"/>
  <c r="AO135" i="26"/>
  <c r="AO157" i="26"/>
  <c r="AO146" i="26"/>
  <c r="AO114" i="26"/>
  <c r="AO150" i="26"/>
  <c r="AO129" i="26"/>
  <c r="AO154" i="26"/>
  <c r="AO139" i="26"/>
  <c r="AO132" i="26"/>
  <c r="AO126" i="26"/>
  <c r="AO123" i="26"/>
  <c r="AO158" i="26"/>
  <c r="AO143" i="26"/>
  <c r="AO112" i="26"/>
  <c r="AO147" i="26"/>
  <c r="AO136" i="26"/>
  <c r="AO120" i="26"/>
  <c r="AO115" i="26"/>
  <c r="AO113" i="26"/>
  <c r="AO151" i="26"/>
  <c r="AO155" i="26"/>
  <c r="AO140" i="26"/>
  <c r="AO133" i="26"/>
  <c r="AO144" i="26"/>
  <c r="AM117" i="26"/>
  <c r="AM137" i="26"/>
  <c r="AM130" i="26"/>
  <c r="AM127" i="26"/>
  <c r="AM113" i="26"/>
  <c r="AM157" i="26"/>
  <c r="AM153" i="26"/>
  <c r="AM149" i="26"/>
  <c r="AM145" i="26"/>
  <c r="AL124" i="26"/>
  <c r="AL136" i="26"/>
  <c r="AX135" i="26"/>
  <c r="AX131" i="26"/>
  <c r="AP129" i="26"/>
  <c r="AX127" i="26"/>
  <c r="AP125" i="26"/>
  <c r="AX123" i="26"/>
  <c r="AP121" i="26"/>
  <c r="AX119" i="26"/>
  <c r="AP117" i="26"/>
  <c r="AX115" i="26"/>
  <c r="AP113" i="26"/>
  <c r="AX111" i="26"/>
  <c r="AO117" i="26"/>
  <c r="AW115" i="26"/>
  <c r="AV115" i="26"/>
  <c r="AV111" i="26"/>
  <c r="AU115" i="26"/>
  <c r="AV116" i="26"/>
  <c r="AX137" i="26"/>
  <c r="AX133" i="26"/>
  <c r="AP131" i="26"/>
  <c r="AX129" i="26"/>
  <c r="AP127" i="26"/>
  <c r="AX125" i="26"/>
  <c r="AP123" i="26"/>
  <c r="AX121" i="26"/>
  <c r="AP119" i="26"/>
  <c r="AX117" i="26"/>
  <c r="AP115" i="26"/>
  <c r="I79" i="4"/>
  <c r="E39" i="4" s="1"/>
  <c r="F35" i="7" s="1"/>
  <c r="W35" i="7" s="1"/>
  <c r="E35" i="7" l="1"/>
  <c r="V35" i="7"/>
  <c r="G49" i="7"/>
  <c r="G42" i="7"/>
  <c r="G41" i="7"/>
  <c r="G20" i="7"/>
  <c r="G50" i="7"/>
  <c r="G17" i="7"/>
  <c r="G24" i="7"/>
  <c r="G52" i="7"/>
  <c r="G25" i="7"/>
  <c r="G54" i="7"/>
  <c r="G22" i="7"/>
  <c r="G44" i="7"/>
  <c r="G21" i="7"/>
  <c r="G47" i="7"/>
  <c r="G27" i="7"/>
  <c r="G51" i="7"/>
  <c r="G55" i="7"/>
  <c r="G19" i="7"/>
  <c r="G23" i="7"/>
  <c r="G46" i="7"/>
  <c r="G26" i="7"/>
  <c r="G48" i="7"/>
  <c r="G43" i="7"/>
  <c r="G45" i="7"/>
  <c r="G53" i="7"/>
  <c r="G16" i="7"/>
  <c r="AB127" i="15"/>
  <c r="AB125" i="15"/>
  <c r="AA126" i="15"/>
  <c r="AA127" i="15"/>
  <c r="Y126" i="15"/>
  <c r="AB126" i="15"/>
  <c r="AB122" i="15"/>
  <c r="Y125" i="15"/>
  <c r="AA125" i="15"/>
  <c r="AA121" i="15"/>
  <c r="Y122" i="15"/>
  <c r="AA113" i="15"/>
  <c r="Y113" i="15"/>
  <c r="Y115" i="15"/>
  <c r="AA120" i="15"/>
  <c r="Z120" i="15"/>
  <c r="Y118" i="15"/>
  <c r="Z118" i="15"/>
  <c r="AB120" i="15"/>
  <c r="Y121" i="15"/>
  <c r="AA119" i="15"/>
  <c r="Z116" i="15"/>
  <c r="Z114" i="15"/>
  <c r="AB114" i="15"/>
  <c r="Z115" i="15"/>
  <c r="AB116" i="15"/>
  <c r="Y114" i="15"/>
  <c r="AA114" i="15"/>
  <c r="AA116" i="15"/>
  <c r="AA115" i="15"/>
  <c r="Z113" i="15"/>
  <c r="Y116" i="15"/>
  <c r="AB115" i="15"/>
  <c r="AB113" i="15"/>
  <c r="Z121" i="15"/>
  <c r="AA123" i="15"/>
  <c r="Y123" i="15"/>
  <c r="Y124" i="15"/>
  <c r="Z122" i="15"/>
  <c r="AA118" i="15"/>
  <c r="Y120" i="15"/>
  <c r="AB123" i="15"/>
  <c r="Z125" i="15"/>
  <c r="AB121" i="15"/>
  <c r="Z123" i="15"/>
  <c r="AA124" i="15"/>
  <c r="AB119" i="15"/>
  <c r="Y127" i="15"/>
  <c r="Z127" i="15"/>
  <c r="Z124" i="15"/>
  <c r="Z119" i="15"/>
  <c r="Y119" i="15"/>
  <c r="AB118" i="15"/>
  <c r="AB124" i="15"/>
  <c r="AA122" i="15"/>
  <c r="Z126" i="15"/>
  <c r="D96" i="3"/>
  <c r="D97" i="3" s="1"/>
  <c r="E96" i="3"/>
  <c r="E97" i="3" s="1"/>
  <c r="F96" i="3"/>
  <c r="F97" i="3" s="1"/>
  <c r="G96" i="3"/>
  <c r="G97" i="3" s="1"/>
  <c r="C96" i="3"/>
  <c r="C97" i="3" s="1"/>
  <c r="D76" i="3"/>
  <c r="D77" i="3" s="1"/>
  <c r="E76" i="3"/>
  <c r="E77" i="3" s="1"/>
  <c r="F76" i="3"/>
  <c r="F77" i="3" s="1"/>
  <c r="G76" i="3"/>
  <c r="G77" i="3" s="1"/>
  <c r="C76" i="3"/>
  <c r="C77" i="3" s="1"/>
  <c r="D36" i="3"/>
  <c r="D37" i="3" s="1"/>
  <c r="E36" i="3"/>
  <c r="E37" i="3" s="1"/>
  <c r="F36" i="3"/>
  <c r="F37" i="3" s="1"/>
  <c r="G36" i="3"/>
  <c r="G37" i="3" s="1"/>
  <c r="C36" i="3"/>
  <c r="C37" i="3" s="1"/>
  <c r="I35" i="7" l="1"/>
  <c r="AI120" i="15"/>
  <c r="AH122" i="15"/>
  <c r="AG124" i="15"/>
  <c r="AI116" i="15"/>
  <c r="AG116" i="15"/>
  <c r="AF123" i="15"/>
  <c r="R123" i="15" s="1"/>
  <c r="AF113" i="15"/>
  <c r="R113" i="15" s="1"/>
  <c r="AH126" i="15"/>
  <c r="AF119" i="15"/>
  <c r="AG127" i="15"/>
  <c r="AI127" i="15"/>
  <c r="AI119" i="15"/>
  <c r="AH121" i="15"/>
  <c r="AG123" i="15"/>
  <c r="AI114" i="15"/>
  <c r="AG115" i="15"/>
  <c r="AF122" i="15"/>
  <c r="AI118" i="15"/>
  <c r="AG122" i="15"/>
  <c r="AI115" i="15"/>
  <c r="AF121" i="15"/>
  <c r="AG120" i="15"/>
  <c r="S120" i="15" s="1"/>
  <c r="AH125" i="15"/>
  <c r="AI126" i="15"/>
  <c r="AH120" i="15"/>
  <c r="AG114" i="15"/>
  <c r="AF127" i="15"/>
  <c r="AG119" i="15"/>
  <c r="AI125" i="15"/>
  <c r="AH127" i="15"/>
  <c r="AH119" i="15"/>
  <c r="AG121" i="15"/>
  <c r="AI113" i="15"/>
  <c r="AG113" i="15"/>
  <c r="AF120" i="15"/>
  <c r="AH118" i="15"/>
  <c r="AH115" i="15"/>
  <c r="AI122" i="15"/>
  <c r="U122" i="15" s="1"/>
  <c r="BO18" i="9" s="1"/>
  <c r="AH124" i="15"/>
  <c r="AG126" i="15"/>
  <c r="AG118" i="15"/>
  <c r="AH114" i="15"/>
  <c r="AF125" i="15"/>
  <c r="AF115" i="15"/>
  <c r="AH123" i="15"/>
  <c r="T123" i="15" s="1"/>
  <c r="AF124" i="15"/>
  <c r="AH116" i="15"/>
  <c r="AI123" i="15"/>
  <c r="AF126" i="15"/>
  <c r="AF116" i="15"/>
  <c r="AI121" i="15"/>
  <c r="AG125" i="15"/>
  <c r="AH113" i="15"/>
  <c r="T113" i="15" s="1"/>
  <c r="AF114" i="15"/>
  <c r="R114" i="15" s="1"/>
  <c r="AI124" i="15"/>
  <c r="U124" i="15" s="1"/>
  <c r="CE18" i="9" s="1"/>
  <c r="AO127" i="15"/>
  <c r="AO123" i="15"/>
  <c r="AO119" i="15"/>
  <c r="AO114" i="15"/>
  <c r="AN127" i="15"/>
  <c r="AN123" i="15"/>
  <c r="AN119" i="15"/>
  <c r="S119" i="15" s="1"/>
  <c r="AN114" i="15"/>
  <c r="AM127" i="15"/>
  <c r="AM123" i="15"/>
  <c r="AM119" i="15"/>
  <c r="R119" i="15" s="1"/>
  <c r="AM114" i="15"/>
  <c r="AP126" i="15"/>
  <c r="AP122" i="15"/>
  <c r="AP118" i="15"/>
  <c r="U118" i="15" s="1"/>
  <c r="AI18" i="9" s="1"/>
  <c r="AP113" i="15"/>
  <c r="AO126" i="15"/>
  <c r="AO122" i="15"/>
  <c r="AO118" i="15"/>
  <c r="AO113" i="15"/>
  <c r="AN126" i="15"/>
  <c r="AN122" i="15"/>
  <c r="S122" i="15" s="1"/>
  <c r="AN118" i="15"/>
  <c r="S118" i="15" s="1"/>
  <c r="AN113" i="15"/>
  <c r="AM126" i="15"/>
  <c r="R126" i="15" s="1"/>
  <c r="AM122" i="15"/>
  <c r="R122" i="15" s="1"/>
  <c r="AM118" i="15"/>
  <c r="R118" i="15" s="1"/>
  <c r="AM113" i="15"/>
  <c r="AP125" i="15"/>
  <c r="AP121" i="15"/>
  <c r="AP116" i="15"/>
  <c r="U116" i="15" s="1"/>
  <c r="AA18" i="9" s="1"/>
  <c r="AO125" i="15"/>
  <c r="AO121" i="15"/>
  <c r="AO116" i="15"/>
  <c r="T116" i="15" s="1"/>
  <c r="AN125" i="15"/>
  <c r="AN121" i="15"/>
  <c r="AN116" i="15"/>
  <c r="S116" i="15" s="1"/>
  <c r="AP119" i="15"/>
  <c r="AM125" i="15"/>
  <c r="R125" i="15" s="1"/>
  <c r="AM121" i="15"/>
  <c r="R121" i="15" s="1"/>
  <c r="AM116" i="15"/>
  <c r="R116" i="15" s="1"/>
  <c r="AP124" i="15"/>
  <c r="AP120" i="15"/>
  <c r="U120" i="15" s="1"/>
  <c r="AY18" i="9" s="1"/>
  <c r="AP115" i="15"/>
  <c r="U115" i="15" s="1"/>
  <c r="S18" i="9" s="1"/>
  <c r="S127" i="15"/>
  <c r="AO124" i="15"/>
  <c r="AO120" i="15"/>
  <c r="T120" i="15" s="1"/>
  <c r="AO115" i="15"/>
  <c r="T115" i="15" s="1"/>
  <c r="AP123" i="15"/>
  <c r="AN124" i="15"/>
  <c r="AN120" i="15"/>
  <c r="AN115" i="15"/>
  <c r="S115" i="15" s="1"/>
  <c r="AP127" i="15"/>
  <c r="AM124" i="15"/>
  <c r="AM120" i="15"/>
  <c r="R120" i="15" s="1"/>
  <c r="AM115" i="15"/>
  <c r="R115" i="15" s="1"/>
  <c r="AP114" i="15"/>
  <c r="N35" i="7" l="1"/>
  <c r="M35" i="7"/>
  <c r="T15" i="9"/>
  <c r="S15" i="9"/>
  <c r="AC12" i="9"/>
  <c r="AB12" i="9"/>
  <c r="AA12" i="9"/>
  <c r="U9" i="9"/>
  <c r="S9" i="9"/>
  <c r="V9" i="9"/>
  <c r="T9" i="9"/>
  <c r="U114" i="15"/>
  <c r="T114" i="15"/>
  <c r="S113" i="15"/>
  <c r="S114" i="15"/>
  <c r="S12" i="9"/>
  <c r="U12" i="9"/>
  <c r="T12" i="9"/>
  <c r="AB15" i="9"/>
  <c r="AA15" i="9"/>
  <c r="U113" i="15"/>
  <c r="AC9" i="9"/>
  <c r="AB9" i="9"/>
  <c r="AA9" i="9"/>
  <c r="AD9" i="9"/>
  <c r="AZ12" i="9"/>
  <c r="AY12" i="9"/>
  <c r="BA12" i="9"/>
  <c r="BQ12" i="9"/>
  <c r="BP12" i="9"/>
  <c r="BO12" i="9"/>
  <c r="DE12" i="9"/>
  <c r="DD12" i="9"/>
  <c r="DC12" i="9"/>
  <c r="CV9" i="9"/>
  <c r="CU9" i="9"/>
  <c r="CX9" i="9"/>
  <c r="CW9" i="9"/>
  <c r="BI9" i="9"/>
  <c r="BH9" i="9"/>
  <c r="BG9" i="9"/>
  <c r="BJ9" i="9"/>
  <c r="AY9" i="9"/>
  <c r="BB9" i="9"/>
  <c r="BA9" i="9"/>
  <c r="AZ9" i="9"/>
  <c r="BY9" i="9"/>
  <c r="BX9" i="9"/>
  <c r="BW9" i="9"/>
  <c r="BZ9" i="9"/>
  <c r="BX15" i="9"/>
  <c r="BW15" i="9"/>
  <c r="AZ15" i="9"/>
  <c r="AY15" i="9"/>
  <c r="CO9" i="9"/>
  <c r="CN9" i="9"/>
  <c r="CM9" i="9"/>
  <c r="CP9" i="9"/>
  <c r="BO9" i="9"/>
  <c r="BQ9" i="9"/>
  <c r="BP9" i="9"/>
  <c r="BR9" i="9"/>
  <c r="AS12" i="9"/>
  <c r="AR12" i="9"/>
  <c r="AQ12" i="9"/>
  <c r="AI9" i="9"/>
  <c r="AI12" i="9"/>
  <c r="AS9" i="9"/>
  <c r="AR9" i="9"/>
  <c r="AQ9" i="9"/>
  <c r="AT9" i="9"/>
  <c r="K9" i="9"/>
  <c r="S126" i="15"/>
  <c r="S121" i="15"/>
  <c r="U126" i="15"/>
  <c r="CU18" i="9" s="1"/>
  <c r="S123" i="15"/>
  <c r="T124" i="15"/>
  <c r="U123" i="15"/>
  <c r="BW18" i="9" s="1"/>
  <c r="T121" i="15"/>
  <c r="S124" i="15"/>
  <c r="S125" i="15"/>
  <c r="T125" i="15"/>
  <c r="T127" i="15"/>
  <c r="U125" i="15"/>
  <c r="CM18" i="9" s="1"/>
  <c r="U121" i="15"/>
  <c r="BG18" i="9" s="1"/>
  <c r="U127" i="15"/>
  <c r="DC18" i="9" s="1"/>
  <c r="T122" i="15"/>
  <c r="T126" i="15"/>
  <c r="R127" i="15"/>
  <c r="R124" i="15"/>
  <c r="U119" i="15"/>
  <c r="AQ18" i="9" s="1"/>
  <c r="T118" i="15"/>
  <c r="T119" i="15"/>
  <c r="C9" i="9"/>
  <c r="D66" i="24"/>
  <c r="E66" i="24" s="1"/>
  <c r="F66" i="24" s="1"/>
  <c r="G66" i="24" s="1"/>
  <c r="H66" i="24" s="1"/>
  <c r="G35" i="7" l="1"/>
  <c r="DE9" i="9"/>
  <c r="DF9" i="9"/>
  <c r="DD9" i="9"/>
  <c r="DC9" i="9"/>
  <c r="CW12" i="9"/>
  <c r="CU12" i="9"/>
  <c r="CV12" i="9"/>
  <c r="CG12" i="9"/>
  <c r="CF12" i="9"/>
  <c r="CE12" i="9"/>
  <c r="CU15" i="9"/>
  <c r="CV15" i="9"/>
  <c r="BO15" i="9"/>
  <c r="BP15" i="9"/>
  <c r="BH15" i="9"/>
  <c r="BG15" i="9"/>
  <c r="BY12" i="9"/>
  <c r="BX12" i="9"/>
  <c r="BW12" i="9"/>
  <c r="DC15" i="9"/>
  <c r="DD15" i="9"/>
  <c r="CO12" i="9"/>
  <c r="CN12" i="9"/>
  <c r="CM12" i="9"/>
  <c r="CE15" i="9"/>
  <c r="CF15" i="9"/>
  <c r="CF9" i="9"/>
  <c r="CE9" i="9"/>
  <c r="CG9" i="9"/>
  <c r="CH9" i="9"/>
  <c r="CM15" i="9"/>
  <c r="CN15" i="9"/>
  <c r="BG12" i="9"/>
  <c r="BH12" i="9"/>
  <c r="BI12" i="9"/>
  <c r="AQ15" i="9"/>
  <c r="AR15" i="9"/>
  <c r="AI15" i="9"/>
  <c r="D62" i="24"/>
  <c r="E62" i="24" s="1"/>
  <c r="F62" i="24" s="1"/>
  <c r="G62" i="24" s="1"/>
  <c r="H62" i="24" s="1"/>
  <c r="D59" i="24"/>
  <c r="S5" i="5"/>
  <c r="S6" i="5"/>
  <c r="S7" i="5"/>
  <c r="S8" i="5"/>
  <c r="S9" i="5"/>
  <c r="S10" i="5"/>
  <c r="C11" i="15"/>
  <c r="C18" i="15"/>
  <c r="I52" i="27"/>
  <c r="I51" i="27"/>
  <c r="I22" i="27"/>
  <c r="I21" i="27"/>
  <c r="K70" i="21"/>
  <c r="E70" i="21"/>
  <c r="C41" i="27" l="1"/>
  <c r="H5" i="21"/>
  <c r="DC85" i="9"/>
  <c r="CU85" i="9"/>
  <c r="DC70" i="9"/>
  <c r="CU70" i="9"/>
  <c r="DC55" i="9"/>
  <c r="CU55" i="9"/>
  <c r="DC40" i="9"/>
  <c r="CU40" i="9"/>
  <c r="CM40" i="9"/>
  <c r="CE40" i="9"/>
  <c r="BW40" i="9"/>
  <c r="BO40" i="9"/>
  <c r="CM55" i="9"/>
  <c r="CE55" i="9"/>
  <c r="BW55" i="9"/>
  <c r="BO55" i="9"/>
  <c r="CM70" i="9"/>
  <c r="CE70" i="9"/>
  <c r="BW70" i="9"/>
  <c r="BO70" i="9"/>
  <c r="CM85" i="9"/>
  <c r="CE85" i="9"/>
  <c r="BW85" i="9"/>
  <c r="BO85" i="9"/>
  <c r="BG85" i="9"/>
  <c r="AY85" i="9"/>
  <c r="AQ85" i="9"/>
  <c r="AI85" i="9"/>
  <c r="BG70" i="9"/>
  <c r="AY70" i="9"/>
  <c r="AQ70" i="9"/>
  <c r="AI70" i="9"/>
  <c r="BG55" i="9"/>
  <c r="AY55" i="9"/>
  <c r="AQ55" i="9"/>
  <c r="AI55" i="9"/>
  <c r="BG40" i="9"/>
  <c r="AY40" i="9"/>
  <c r="AQ40" i="9"/>
  <c r="AI40" i="9"/>
  <c r="AA85" i="9"/>
  <c r="S85" i="9"/>
  <c r="AA70" i="9"/>
  <c r="S70" i="9"/>
  <c r="AA55" i="9"/>
  <c r="S55" i="9"/>
  <c r="AA40" i="9"/>
  <c r="S40" i="9"/>
  <c r="K40" i="9"/>
  <c r="K55" i="9"/>
  <c r="K85" i="9"/>
  <c r="K70" i="9"/>
  <c r="C85" i="9"/>
  <c r="C70" i="9"/>
  <c r="C40" i="9"/>
  <c r="C55" i="9"/>
  <c r="C8" i="27"/>
  <c r="DB149" i="9" l="1"/>
  <c r="CT149" i="9"/>
  <c r="DB88" i="9"/>
  <c r="CT88" i="9"/>
  <c r="C58" i="7" l="1"/>
  <c r="C57" i="7"/>
  <c r="C56" i="7"/>
  <c r="I203" i="4"/>
  <c r="I204" i="4" s="1"/>
  <c r="I205" i="4" s="1"/>
  <c r="I206" i="4" s="1"/>
  <c r="I159" i="4"/>
  <c r="I158" i="4"/>
  <c r="I157" i="4"/>
  <c r="I156" i="4"/>
  <c r="I155" i="4"/>
  <c r="I154" i="4"/>
  <c r="I153" i="4"/>
  <c r="I152" i="4"/>
  <c r="I151" i="4"/>
  <c r="I150" i="4"/>
  <c r="G32" i="4" s="1"/>
  <c r="C7" i="7"/>
  <c r="C8" i="7"/>
  <c r="C9" i="7"/>
  <c r="C10" i="7"/>
  <c r="C11" i="7"/>
  <c r="C12" i="7"/>
  <c r="C13" i="7"/>
  <c r="I207" i="4" l="1"/>
  <c r="I208" i="4" s="1"/>
  <c r="I209" i="4" s="1"/>
  <c r="I210" i="4" s="1"/>
  <c r="I211" i="4" s="1"/>
  <c r="I212" i="4" s="1"/>
  <c r="I213" i="4" s="1"/>
  <c r="I214" i="4" s="1"/>
  <c r="I215" i="4" s="1"/>
  <c r="B58" i="21"/>
  <c r="H58" i="21"/>
  <c r="B57" i="21"/>
  <c r="H57" i="21"/>
  <c r="B56" i="21"/>
  <c r="H56" i="21"/>
  <c r="B12" i="21"/>
  <c r="H12" i="21"/>
  <c r="B10" i="21"/>
  <c r="H10" i="21"/>
  <c r="B9" i="21"/>
  <c r="H9" i="21"/>
  <c r="B11" i="21"/>
  <c r="H11" i="21"/>
  <c r="B13" i="21"/>
  <c r="H13" i="21"/>
  <c r="B47" i="21"/>
  <c r="H47" i="21"/>
  <c r="B27" i="21"/>
  <c r="H27" i="21"/>
  <c r="B48" i="21"/>
  <c r="H48" i="21"/>
  <c r="B49" i="21"/>
  <c r="H49" i="21"/>
  <c r="B50" i="21"/>
  <c r="H50" i="21"/>
  <c r="B26" i="21"/>
  <c r="H26" i="21"/>
  <c r="B35" i="21"/>
  <c r="H35" i="21"/>
  <c r="B51" i="21"/>
  <c r="H51" i="21"/>
  <c r="B41" i="21"/>
  <c r="H41" i="21"/>
  <c r="B36" i="21"/>
  <c r="H36" i="21"/>
  <c r="B52" i="21"/>
  <c r="H52" i="21"/>
  <c r="B53" i="21"/>
  <c r="H53" i="21"/>
  <c r="B40" i="21"/>
  <c r="H40" i="21"/>
  <c r="B34" i="21"/>
  <c r="H34" i="21"/>
  <c r="B38" i="21"/>
  <c r="H38" i="21"/>
  <c r="B55" i="21"/>
  <c r="H55" i="21"/>
  <c r="B33" i="21"/>
  <c r="H33" i="21"/>
  <c r="B37" i="21"/>
  <c r="H37" i="21"/>
  <c r="B39" i="21"/>
  <c r="H39" i="21"/>
  <c r="B54" i="21"/>
  <c r="H54" i="21"/>
  <c r="B6" i="21"/>
  <c r="H6" i="21"/>
  <c r="B8" i="21"/>
  <c r="H8" i="21"/>
  <c r="B7" i="21"/>
  <c r="H7" i="21"/>
  <c r="B43" i="21"/>
  <c r="H43" i="21"/>
  <c r="B44" i="21"/>
  <c r="H44" i="21"/>
  <c r="B30" i="21"/>
  <c r="H30" i="21"/>
  <c r="B45" i="21"/>
  <c r="H45" i="21"/>
  <c r="B29" i="21"/>
  <c r="H29" i="21"/>
  <c r="B31" i="21"/>
  <c r="H31" i="21"/>
  <c r="B46" i="21"/>
  <c r="H46" i="21"/>
  <c r="B32" i="21"/>
  <c r="H32" i="21"/>
  <c r="B28" i="21"/>
  <c r="H28" i="21"/>
  <c r="B42" i="21"/>
  <c r="H42" i="21"/>
  <c r="DC72" i="9"/>
  <c r="CU72" i="9"/>
  <c r="DB71" i="9"/>
  <c r="DB133" i="9" s="1"/>
  <c r="DB194" i="9" s="1"/>
  <c r="CT71" i="9"/>
  <c r="CT133" i="9" s="1"/>
  <c r="CT194" i="9" s="1"/>
  <c r="DC57" i="9"/>
  <c r="CU57" i="9"/>
  <c r="DB56" i="9"/>
  <c r="DB119" i="9" s="1"/>
  <c r="DB180" i="9" s="1"/>
  <c r="CT56" i="9"/>
  <c r="CT119" i="9" s="1"/>
  <c r="CT180" i="9" s="1"/>
  <c r="DC42" i="9"/>
  <c r="CU42" i="9"/>
  <c r="DB41" i="9"/>
  <c r="DB105" i="9" s="1"/>
  <c r="DB166" i="9" s="1"/>
  <c r="CT41" i="9"/>
  <c r="CT105" i="9" s="1"/>
  <c r="CT166" i="9" s="1"/>
  <c r="DC27" i="9"/>
  <c r="CU27" i="9"/>
  <c r="DB26" i="9"/>
  <c r="DB91" i="9" s="1"/>
  <c r="DB152" i="9" s="1"/>
  <c r="CT26" i="9"/>
  <c r="CT91" i="9" s="1"/>
  <c r="CT152" i="9" s="1"/>
  <c r="CM72" i="9"/>
  <c r="CE72" i="9"/>
  <c r="BW72" i="9"/>
  <c r="BO72" i="9"/>
  <c r="CL71" i="9"/>
  <c r="CL133" i="9" s="1"/>
  <c r="CL194" i="9" s="1"/>
  <c r="CD71" i="9"/>
  <c r="CD133" i="9" s="1"/>
  <c r="CD194" i="9" s="1"/>
  <c r="BV71" i="9"/>
  <c r="BV133" i="9" s="1"/>
  <c r="BV194" i="9" s="1"/>
  <c r="BN71" i="9"/>
  <c r="BN133" i="9" s="1"/>
  <c r="BN194" i="9" s="1"/>
  <c r="CM57" i="9"/>
  <c r="CE57" i="9"/>
  <c r="BW57" i="9"/>
  <c r="BO57" i="9"/>
  <c r="CL56" i="9"/>
  <c r="CL119" i="9" s="1"/>
  <c r="CL180" i="9" s="1"/>
  <c r="CD56" i="9"/>
  <c r="CD119" i="9" s="1"/>
  <c r="CD180" i="9" s="1"/>
  <c r="BV56" i="9"/>
  <c r="BV119" i="9" s="1"/>
  <c r="BV180" i="9" s="1"/>
  <c r="BN56" i="9"/>
  <c r="BN119" i="9" s="1"/>
  <c r="BN180" i="9" s="1"/>
  <c r="CM42" i="9"/>
  <c r="CE42" i="9"/>
  <c r="BW42" i="9"/>
  <c r="BO42" i="9"/>
  <c r="CL41" i="9"/>
  <c r="CL105" i="9" s="1"/>
  <c r="CL166" i="9" s="1"/>
  <c r="CD41" i="9"/>
  <c r="CD105" i="9" s="1"/>
  <c r="CD166" i="9" s="1"/>
  <c r="BV41" i="9"/>
  <c r="BV105" i="9" s="1"/>
  <c r="BV166" i="9" s="1"/>
  <c r="BN41" i="9"/>
  <c r="BN105" i="9" s="1"/>
  <c r="BN166" i="9" s="1"/>
  <c r="CM27" i="9"/>
  <c r="CE27" i="9"/>
  <c r="BW27" i="9"/>
  <c r="BO27" i="9"/>
  <c r="CL26" i="9"/>
  <c r="CL91" i="9" s="1"/>
  <c r="CL152" i="9" s="1"/>
  <c r="CD26" i="9"/>
  <c r="CD91" i="9" s="1"/>
  <c r="CD152" i="9" s="1"/>
  <c r="BV26" i="9"/>
  <c r="BV91" i="9" s="1"/>
  <c r="BV152" i="9" s="1"/>
  <c r="BN26" i="9"/>
  <c r="BN91" i="9" s="1"/>
  <c r="BN152" i="9" s="1"/>
  <c r="BG72" i="9"/>
  <c r="BF71" i="9"/>
  <c r="BF133" i="9" s="1"/>
  <c r="BF194" i="9" s="1"/>
  <c r="BG57" i="9"/>
  <c r="BF56" i="9"/>
  <c r="BF119" i="9" s="1"/>
  <c r="BF180" i="9" s="1"/>
  <c r="BG42" i="9"/>
  <c r="BF41" i="9"/>
  <c r="BF105" i="9" s="1"/>
  <c r="BF166" i="9" s="1"/>
  <c r="BG27" i="9"/>
  <c r="BF26" i="9"/>
  <c r="BF91" i="9" s="1"/>
  <c r="BF152" i="9" s="1"/>
  <c r="AY72" i="9"/>
  <c r="AX71" i="9"/>
  <c r="AX133" i="9" s="1"/>
  <c r="AX194" i="9" s="1"/>
  <c r="AY57" i="9"/>
  <c r="AX56" i="9"/>
  <c r="AX119" i="9" s="1"/>
  <c r="AX180" i="9" s="1"/>
  <c r="AY42" i="9"/>
  <c r="AX41" i="9"/>
  <c r="AX105" i="9" s="1"/>
  <c r="AX166" i="9" s="1"/>
  <c r="AY27" i="9"/>
  <c r="AX26" i="9"/>
  <c r="AX91" i="9" s="1"/>
  <c r="AX152" i="9" s="1"/>
  <c r="CL149" i="9"/>
  <c r="CD149" i="9"/>
  <c r="BV149" i="9"/>
  <c r="BN149" i="9"/>
  <c r="BF149" i="9"/>
  <c r="AX149" i="9"/>
  <c r="AP149" i="9"/>
  <c r="AH149" i="9"/>
  <c r="Z149" i="9"/>
  <c r="R149" i="9"/>
  <c r="J149" i="9"/>
  <c r="B149" i="9"/>
  <c r="DB23" i="9"/>
  <c r="CT23" i="9"/>
  <c r="CL23" i="9"/>
  <c r="CD23" i="9"/>
  <c r="BV23" i="9"/>
  <c r="BN23" i="9"/>
  <c r="BF23" i="9"/>
  <c r="AX23" i="9"/>
  <c r="AP23" i="9"/>
  <c r="AH23" i="9"/>
  <c r="Z23" i="9"/>
  <c r="R23" i="9"/>
  <c r="J23" i="9"/>
  <c r="B23" i="9"/>
  <c r="CL88" i="9"/>
  <c r="CD88" i="9"/>
  <c r="BV88" i="9"/>
  <c r="BN88" i="9"/>
  <c r="BF88" i="9"/>
  <c r="AX88" i="9"/>
  <c r="AP88" i="9"/>
  <c r="AH88" i="9"/>
  <c r="Z88" i="9"/>
  <c r="R88" i="9"/>
  <c r="J88" i="9"/>
  <c r="B88" i="9"/>
  <c r="AQ72" i="9"/>
  <c r="AP71" i="9"/>
  <c r="AP133" i="9" s="1"/>
  <c r="AP194" i="9" s="1"/>
  <c r="AQ57" i="9"/>
  <c r="AP56" i="9"/>
  <c r="AP119" i="9" s="1"/>
  <c r="AP180" i="9" s="1"/>
  <c r="AQ42" i="9"/>
  <c r="AP41" i="9"/>
  <c r="AP105" i="9" s="1"/>
  <c r="AP166" i="9" s="1"/>
  <c r="AQ27" i="9"/>
  <c r="AP26" i="9"/>
  <c r="AP91" i="9" s="1"/>
  <c r="AP152" i="9" s="1"/>
  <c r="AI72" i="9"/>
  <c r="AH71" i="9"/>
  <c r="AH133" i="9" s="1"/>
  <c r="AH194" i="9" s="1"/>
  <c r="AI57" i="9"/>
  <c r="AH56" i="9"/>
  <c r="AH119" i="9" s="1"/>
  <c r="AH180" i="9" s="1"/>
  <c r="AI42" i="9"/>
  <c r="AH41" i="9"/>
  <c r="AH105" i="9" s="1"/>
  <c r="AH166" i="9" s="1"/>
  <c r="AI27" i="9"/>
  <c r="AH26" i="9"/>
  <c r="AH91" i="9" s="1"/>
  <c r="AH152" i="9" s="1"/>
  <c r="AA72" i="9"/>
  <c r="Z71" i="9"/>
  <c r="Z133" i="9" s="1"/>
  <c r="Z194" i="9" s="1"/>
  <c r="AA57" i="9"/>
  <c r="Z56" i="9"/>
  <c r="Z119" i="9" s="1"/>
  <c r="Z180" i="9" s="1"/>
  <c r="AA42" i="9"/>
  <c r="Z41" i="9"/>
  <c r="Z105" i="9" s="1"/>
  <c r="Z166" i="9" s="1"/>
  <c r="AA27" i="9"/>
  <c r="Z26" i="9"/>
  <c r="Z91" i="9" s="1"/>
  <c r="Z152" i="9" s="1"/>
  <c r="S72" i="9"/>
  <c r="R71" i="9"/>
  <c r="R133" i="9" s="1"/>
  <c r="R194" i="9" s="1"/>
  <c r="S57" i="9"/>
  <c r="R56" i="9"/>
  <c r="R119" i="9" s="1"/>
  <c r="R180" i="9" s="1"/>
  <c r="S42" i="9"/>
  <c r="R41" i="9"/>
  <c r="R105" i="9" s="1"/>
  <c r="R166" i="9" s="1"/>
  <c r="S27" i="9"/>
  <c r="R26" i="9"/>
  <c r="R91" i="9" s="1"/>
  <c r="R152" i="9" s="1"/>
  <c r="K72" i="9"/>
  <c r="J71" i="9"/>
  <c r="J133" i="9" s="1"/>
  <c r="J194" i="9" s="1"/>
  <c r="K57" i="9"/>
  <c r="J56" i="9"/>
  <c r="J119" i="9" s="1"/>
  <c r="J180" i="9" s="1"/>
  <c r="K42" i="9"/>
  <c r="J41" i="9"/>
  <c r="J105" i="9" s="1"/>
  <c r="J166" i="9" s="1"/>
  <c r="K27" i="9"/>
  <c r="J26" i="9"/>
  <c r="J91" i="9" s="1"/>
  <c r="J152" i="9" s="1"/>
  <c r="G35" i="4" l="1"/>
  <c r="G44" i="4"/>
  <c r="G41" i="4"/>
  <c r="G38" i="4"/>
  <c r="G34" i="4"/>
  <c r="G42" i="4"/>
  <c r="G40" i="4"/>
  <c r="G39" i="4"/>
  <c r="G43" i="4"/>
  <c r="G45" i="4"/>
  <c r="G36" i="4"/>
  <c r="G37" i="4"/>
  <c r="G33" i="4"/>
  <c r="B22" i="21"/>
  <c r="H22" i="21"/>
  <c r="B23" i="21"/>
  <c r="H23" i="21"/>
  <c r="B24" i="21"/>
  <c r="H24" i="21"/>
  <c r="B25" i="21"/>
  <c r="H25" i="21"/>
  <c r="B19" i="21"/>
  <c r="H19" i="21"/>
  <c r="B20" i="21"/>
  <c r="H20" i="21"/>
  <c r="B21" i="21"/>
  <c r="H21" i="21"/>
  <c r="B15" i="21"/>
  <c r="H15" i="21"/>
  <c r="B16" i="21"/>
  <c r="H16" i="21"/>
  <c r="B17" i="21"/>
  <c r="H17" i="21"/>
  <c r="B18" i="21"/>
  <c r="B14" i="21"/>
  <c r="H14" i="21"/>
  <c r="T42" i="9"/>
  <c r="S106" i="9"/>
  <c r="S167" i="9" s="1"/>
  <c r="AB42" i="9"/>
  <c r="AA106" i="9"/>
  <c r="AA167" i="9" s="1"/>
  <c r="AJ42" i="9"/>
  <c r="AI106" i="9"/>
  <c r="AI167" i="9" s="1"/>
  <c r="AR42" i="9"/>
  <c r="AQ106" i="9"/>
  <c r="AQ167" i="9" s="1"/>
  <c r="AZ57" i="9"/>
  <c r="AY120" i="9"/>
  <c r="AY181" i="9" s="1"/>
  <c r="BH57" i="9"/>
  <c r="BG120" i="9"/>
  <c r="BG181" i="9" s="1"/>
  <c r="BX27" i="9"/>
  <c r="BW92" i="9"/>
  <c r="BW153" i="9" s="1"/>
  <c r="BX42" i="9"/>
  <c r="BW106" i="9"/>
  <c r="BW167" i="9" s="1"/>
  <c r="BX57" i="9"/>
  <c r="BW120" i="9"/>
  <c r="BW181" i="9" s="1"/>
  <c r="BX72" i="9"/>
  <c r="BW134" i="9"/>
  <c r="BW195" i="9" s="1"/>
  <c r="CF42" i="9"/>
  <c r="CE106" i="9"/>
  <c r="CE167" i="9" s="1"/>
  <c r="CF72" i="9"/>
  <c r="CE134" i="9"/>
  <c r="CE195" i="9" s="1"/>
  <c r="T57" i="9"/>
  <c r="S120" i="9"/>
  <c r="S181" i="9" s="1"/>
  <c r="AR57" i="9"/>
  <c r="AQ120" i="9"/>
  <c r="AQ181" i="9" s="1"/>
  <c r="AZ72" i="9"/>
  <c r="AY134" i="9"/>
  <c r="AY195" i="9" s="1"/>
  <c r="BH72" i="9"/>
  <c r="BG134" i="9"/>
  <c r="BG195" i="9" s="1"/>
  <c r="CN27" i="9"/>
  <c r="CM92" i="9"/>
  <c r="CM153" i="9" s="1"/>
  <c r="CN42" i="9"/>
  <c r="CM106" i="9"/>
  <c r="CM167" i="9" s="1"/>
  <c r="CN57" i="9"/>
  <c r="CM120" i="9"/>
  <c r="CM181" i="9" s="1"/>
  <c r="CN72" i="9"/>
  <c r="CM134" i="9"/>
  <c r="CM195" i="9" s="1"/>
  <c r="DD42" i="9"/>
  <c r="DC106" i="9"/>
  <c r="DC167" i="9" s="1"/>
  <c r="DD72" i="9"/>
  <c r="DC134" i="9"/>
  <c r="DC195" i="9" s="1"/>
  <c r="CF27" i="9"/>
  <c r="CE92" i="9"/>
  <c r="CE153" i="9" s="1"/>
  <c r="AJ72" i="9"/>
  <c r="AI134" i="9"/>
  <c r="AI195" i="9" s="1"/>
  <c r="L42" i="9"/>
  <c r="K106" i="9"/>
  <c r="K167" i="9" s="1"/>
  <c r="CF57" i="9"/>
  <c r="CE120" i="9"/>
  <c r="CE181" i="9" s="1"/>
  <c r="L72" i="9"/>
  <c r="K134" i="9"/>
  <c r="K195" i="9" s="1"/>
  <c r="AR72" i="9"/>
  <c r="AQ134" i="9"/>
  <c r="AQ195" i="9" s="1"/>
  <c r="AZ27" i="9"/>
  <c r="AY92" i="9"/>
  <c r="AY153" i="9" s="1"/>
  <c r="BH27" i="9"/>
  <c r="BG92" i="9"/>
  <c r="BG153" i="9" s="1"/>
  <c r="CV27" i="9"/>
  <c r="CU92" i="9"/>
  <c r="CU153" i="9" s="1"/>
  <c r="CV57" i="9"/>
  <c r="CU120" i="9"/>
  <c r="CU181" i="9" s="1"/>
  <c r="CV42" i="9"/>
  <c r="CU106" i="9"/>
  <c r="CU167" i="9" s="1"/>
  <c r="AB57" i="9"/>
  <c r="AA120" i="9"/>
  <c r="AA181" i="9" s="1"/>
  <c r="AB72" i="9"/>
  <c r="AA134" i="9"/>
  <c r="AA195" i="9" s="1"/>
  <c r="T27" i="9"/>
  <c r="S92" i="9"/>
  <c r="S153" i="9" s="1"/>
  <c r="AJ27" i="9"/>
  <c r="AI92" i="9"/>
  <c r="AI153" i="9" s="1"/>
  <c r="AZ42" i="9"/>
  <c r="AY106" i="9"/>
  <c r="AY167" i="9" s="1"/>
  <c r="BH42" i="9"/>
  <c r="BG106" i="9"/>
  <c r="BG167" i="9" s="1"/>
  <c r="DD27" i="9"/>
  <c r="DC92" i="9"/>
  <c r="DC153" i="9" s="1"/>
  <c r="DD57" i="9"/>
  <c r="DC120" i="9"/>
  <c r="DC181" i="9" s="1"/>
  <c r="CV72" i="9"/>
  <c r="CU134" i="9"/>
  <c r="CU195" i="9" s="1"/>
  <c r="L57" i="9"/>
  <c r="K120" i="9"/>
  <c r="K181" i="9" s="1"/>
  <c r="AJ57" i="9"/>
  <c r="AI120" i="9"/>
  <c r="AI181" i="9" s="1"/>
  <c r="T72" i="9"/>
  <c r="S134" i="9"/>
  <c r="S195" i="9" s="1"/>
  <c r="L27" i="9"/>
  <c r="K92" i="9"/>
  <c r="K153" i="9" s="1"/>
  <c r="AB27" i="9"/>
  <c r="AA92" i="9"/>
  <c r="AA153" i="9" s="1"/>
  <c r="AR27" i="9"/>
  <c r="AQ92" i="9"/>
  <c r="AQ153" i="9" s="1"/>
  <c r="BP27" i="9"/>
  <c r="BO92" i="9"/>
  <c r="BO153" i="9" s="1"/>
  <c r="BP42" i="9"/>
  <c r="BO106" i="9"/>
  <c r="BO167" i="9" s="1"/>
  <c r="BP57" i="9"/>
  <c r="BO120" i="9"/>
  <c r="BO181" i="9" s="1"/>
  <c r="BP72" i="9"/>
  <c r="BO134" i="9"/>
  <c r="BO195" i="9" s="1"/>
  <c r="B71" i="9"/>
  <c r="B133" i="9" s="1"/>
  <c r="B194" i="9" s="1"/>
  <c r="B56" i="9"/>
  <c r="B119" i="9" s="1"/>
  <c r="B180" i="9" s="1"/>
  <c r="C72" i="9"/>
  <c r="C57" i="9"/>
  <c r="B41" i="9"/>
  <c r="B105" i="9" s="1"/>
  <c r="B166" i="9" s="1"/>
  <c r="C42" i="9"/>
  <c r="J65" i="20"/>
  <c r="B65" i="20"/>
  <c r="J46" i="20"/>
  <c r="B46" i="20"/>
  <c r="J27" i="20"/>
  <c r="B27" i="20"/>
  <c r="J8" i="20"/>
  <c r="K67" i="20"/>
  <c r="L67" i="20" s="1"/>
  <c r="M67" i="20" s="1"/>
  <c r="N67" i="20" s="1"/>
  <c r="O67" i="20" s="1"/>
  <c r="C67" i="20"/>
  <c r="D67" i="20" s="1"/>
  <c r="E67" i="20" s="1"/>
  <c r="F67" i="20" s="1"/>
  <c r="G67" i="20" s="1"/>
  <c r="K48" i="20"/>
  <c r="L48" i="20" s="1"/>
  <c r="M48" i="20" s="1"/>
  <c r="N48" i="20" s="1"/>
  <c r="O48" i="20" s="1"/>
  <c r="C48" i="20"/>
  <c r="D48" i="20" s="1"/>
  <c r="E48" i="20" s="1"/>
  <c r="F48" i="20" s="1"/>
  <c r="G48" i="20" s="1"/>
  <c r="K29" i="20"/>
  <c r="L29" i="20" s="1"/>
  <c r="M29" i="20" s="1"/>
  <c r="N29" i="20" s="1"/>
  <c r="O29" i="20" s="1"/>
  <c r="C29" i="20"/>
  <c r="D29" i="20" s="1"/>
  <c r="E29" i="20" s="1"/>
  <c r="F29" i="20" s="1"/>
  <c r="G29" i="20" s="1"/>
  <c r="K10" i="20"/>
  <c r="L10" i="20" s="1"/>
  <c r="M10" i="20" s="1"/>
  <c r="N10" i="20" s="1"/>
  <c r="O10" i="20" s="1"/>
  <c r="C10" i="20"/>
  <c r="D10" i="20" s="1"/>
  <c r="E10" i="20" s="1"/>
  <c r="F10" i="20" s="1"/>
  <c r="G10" i="20" s="1"/>
  <c r="C27" i="9"/>
  <c r="B26" i="9"/>
  <c r="B91" i="9" s="1"/>
  <c r="B152" i="9" s="1"/>
  <c r="DE27" i="9" l="1"/>
  <c r="DD92" i="9"/>
  <c r="DD153" i="9" s="1"/>
  <c r="AK72" i="9"/>
  <c r="AJ134" i="9"/>
  <c r="AJ195" i="9" s="1"/>
  <c r="CG72" i="9"/>
  <c r="CF134" i="9"/>
  <c r="CF195" i="9" s="1"/>
  <c r="BQ72" i="9"/>
  <c r="BP134" i="9"/>
  <c r="BP195" i="9" s="1"/>
  <c r="U27" i="9"/>
  <c r="T92" i="9"/>
  <c r="T153" i="9" s="1"/>
  <c r="CO72" i="9"/>
  <c r="CN134" i="9"/>
  <c r="CN195" i="9" s="1"/>
  <c r="BY42" i="9"/>
  <c r="BX106" i="9"/>
  <c r="BX167" i="9" s="1"/>
  <c r="BQ57" i="9"/>
  <c r="BP120" i="9"/>
  <c r="BP181" i="9" s="1"/>
  <c r="AC27" i="9"/>
  <c r="AB92" i="9"/>
  <c r="AB153" i="9" s="1"/>
  <c r="M57" i="9"/>
  <c r="L120" i="9"/>
  <c r="L181" i="9" s="1"/>
  <c r="BI42" i="9"/>
  <c r="BH106" i="9"/>
  <c r="BH167" i="9" s="1"/>
  <c r="AC72" i="9"/>
  <c r="AB134" i="9"/>
  <c r="AB195" i="9" s="1"/>
  <c r="CW27" i="9"/>
  <c r="CV92" i="9"/>
  <c r="CV153" i="9" s="1"/>
  <c r="M72" i="9"/>
  <c r="L134" i="9"/>
  <c r="L195" i="9" s="1"/>
  <c r="CG27" i="9"/>
  <c r="CF92" i="9"/>
  <c r="CF153" i="9" s="1"/>
  <c r="CO57" i="9"/>
  <c r="CN120" i="9"/>
  <c r="CN181" i="9" s="1"/>
  <c r="BA72" i="9"/>
  <c r="AZ134" i="9"/>
  <c r="AZ195" i="9" s="1"/>
  <c r="CG42" i="9"/>
  <c r="CF106" i="9"/>
  <c r="CF167" i="9" s="1"/>
  <c r="BY27" i="9"/>
  <c r="BX92" i="9"/>
  <c r="BX153" i="9" s="1"/>
  <c r="AK42" i="9"/>
  <c r="AJ106" i="9"/>
  <c r="AJ167" i="9" s="1"/>
  <c r="AK57" i="9"/>
  <c r="AJ120" i="9"/>
  <c r="AJ181" i="9" s="1"/>
  <c r="AS72" i="9"/>
  <c r="AR134" i="9"/>
  <c r="AR195" i="9" s="1"/>
  <c r="AS42" i="9"/>
  <c r="AR106" i="9"/>
  <c r="AR167" i="9" s="1"/>
  <c r="BQ42" i="9"/>
  <c r="BP106" i="9"/>
  <c r="BP167" i="9" s="1"/>
  <c r="M27" i="9"/>
  <c r="L92" i="9"/>
  <c r="L153" i="9" s="1"/>
  <c r="CW72" i="9"/>
  <c r="CV134" i="9"/>
  <c r="CV195" i="9" s="1"/>
  <c r="BA42" i="9"/>
  <c r="AZ106" i="9"/>
  <c r="AZ167" i="9" s="1"/>
  <c r="AC57" i="9"/>
  <c r="AB120" i="9"/>
  <c r="AB181" i="9" s="1"/>
  <c r="BI27" i="9"/>
  <c r="BH92" i="9"/>
  <c r="BH153" i="9" s="1"/>
  <c r="CG57" i="9"/>
  <c r="CF120" i="9"/>
  <c r="CF181" i="9" s="1"/>
  <c r="DE72" i="9"/>
  <c r="DD134" i="9"/>
  <c r="DD195" i="9" s="1"/>
  <c r="CO42" i="9"/>
  <c r="CN106" i="9"/>
  <c r="CN167" i="9" s="1"/>
  <c r="AS57" i="9"/>
  <c r="AR120" i="9"/>
  <c r="AR181" i="9" s="1"/>
  <c r="BY72" i="9"/>
  <c r="BX134" i="9"/>
  <c r="BX195" i="9" s="1"/>
  <c r="BI57" i="9"/>
  <c r="BH120" i="9"/>
  <c r="BH181" i="9" s="1"/>
  <c r="AC42" i="9"/>
  <c r="AB106" i="9"/>
  <c r="AB167" i="9" s="1"/>
  <c r="AS27" i="9"/>
  <c r="AR92" i="9"/>
  <c r="AR153" i="9" s="1"/>
  <c r="CW57" i="9"/>
  <c r="CV120" i="9"/>
  <c r="CV181" i="9" s="1"/>
  <c r="BI72" i="9"/>
  <c r="BH134" i="9"/>
  <c r="BH195" i="9" s="1"/>
  <c r="BQ27" i="9"/>
  <c r="BP92" i="9"/>
  <c r="BP153" i="9" s="1"/>
  <c r="U72" i="9"/>
  <c r="T134" i="9"/>
  <c r="T195" i="9" s="1"/>
  <c r="DE57" i="9"/>
  <c r="DD120" i="9"/>
  <c r="DD181" i="9" s="1"/>
  <c r="AK27" i="9"/>
  <c r="AJ92" i="9"/>
  <c r="AJ153" i="9" s="1"/>
  <c r="CW42" i="9"/>
  <c r="CV106" i="9"/>
  <c r="CV167" i="9" s="1"/>
  <c r="BA27" i="9"/>
  <c r="AZ92" i="9"/>
  <c r="AZ153" i="9" s="1"/>
  <c r="M42" i="9"/>
  <c r="L106" i="9"/>
  <c r="L167" i="9" s="1"/>
  <c r="DE42" i="9"/>
  <c r="DD106" i="9"/>
  <c r="DD167" i="9" s="1"/>
  <c r="CO27" i="9"/>
  <c r="CN92" i="9"/>
  <c r="CN153" i="9" s="1"/>
  <c r="U57" i="9"/>
  <c r="T120" i="9"/>
  <c r="T181" i="9" s="1"/>
  <c r="BY57" i="9"/>
  <c r="BX120" i="9"/>
  <c r="BX181" i="9" s="1"/>
  <c r="BA57" i="9"/>
  <c r="AZ120" i="9"/>
  <c r="AZ181" i="9" s="1"/>
  <c r="U42" i="9"/>
  <c r="T106" i="9"/>
  <c r="T167" i="9" s="1"/>
  <c r="D72" i="9"/>
  <c r="C134" i="9"/>
  <c r="C195" i="9" s="1"/>
  <c r="D57" i="9"/>
  <c r="C120" i="9"/>
  <c r="C181" i="9" s="1"/>
  <c r="D27" i="9"/>
  <c r="C92" i="9"/>
  <c r="C153" i="9" s="1"/>
  <c r="D42" i="9"/>
  <c r="D106" i="9" s="1"/>
  <c r="D167" i="9" s="1"/>
  <c r="C106" i="9"/>
  <c r="C167" i="9" s="1"/>
  <c r="AX9" i="26"/>
  <c r="AW9" i="26"/>
  <c r="AV9" i="26"/>
  <c r="AU9" i="26"/>
  <c r="AU10" i="26" s="1"/>
  <c r="AT9" i="26"/>
  <c r="AS9" i="26"/>
  <c r="AR9" i="26"/>
  <c r="AR10" i="26" s="1"/>
  <c r="AQ9" i="26"/>
  <c r="AQ10" i="26" s="1"/>
  <c r="AP9" i="26"/>
  <c r="AO9" i="26"/>
  <c r="AN9" i="26"/>
  <c r="AN10" i="26" s="1"/>
  <c r="AM9" i="26"/>
  <c r="AM10" i="26" s="1"/>
  <c r="AL9" i="26"/>
  <c r="AL10" i="26" s="1"/>
  <c r="AK9" i="26"/>
  <c r="AK10" i="26" s="1"/>
  <c r="AI72" i="15" l="1"/>
  <c r="AH74" i="15"/>
  <c r="AG76" i="15"/>
  <c r="AF78" i="15"/>
  <c r="AF71" i="15"/>
  <c r="AF76" i="15"/>
  <c r="AH78" i="15"/>
  <c r="AF74" i="15"/>
  <c r="AI75" i="15"/>
  <c r="AF73" i="15"/>
  <c r="AI79" i="15"/>
  <c r="AI71" i="15"/>
  <c r="AH73" i="15"/>
  <c r="AG74" i="15"/>
  <c r="AF77" i="15"/>
  <c r="AI68" i="15"/>
  <c r="AG68" i="15"/>
  <c r="AI78" i="15"/>
  <c r="AH72" i="15"/>
  <c r="AG75" i="15"/>
  <c r="AG67" i="15"/>
  <c r="AH79" i="15"/>
  <c r="AF75" i="15"/>
  <c r="AG79" i="15"/>
  <c r="AI70" i="15"/>
  <c r="AI67" i="15"/>
  <c r="AG73" i="15"/>
  <c r="AI77" i="15"/>
  <c r="AH71" i="15"/>
  <c r="AI76" i="15"/>
  <c r="AH70" i="15"/>
  <c r="AH68" i="15"/>
  <c r="AI74" i="15"/>
  <c r="AH76" i="15"/>
  <c r="AG78" i="15"/>
  <c r="AG70" i="15"/>
  <c r="AF72" i="15"/>
  <c r="AH67" i="15"/>
  <c r="AF67" i="15"/>
  <c r="AI73" i="15"/>
  <c r="AH75" i="15"/>
  <c r="AF79" i="15"/>
  <c r="AF66" i="15"/>
  <c r="AN66" i="15" s="1"/>
  <c r="AH77" i="15"/>
  <c r="AG71" i="15"/>
  <c r="AF68" i="15"/>
  <c r="AG77" i="15"/>
  <c r="AF70" i="15"/>
  <c r="AG72" i="15"/>
  <c r="AO76" i="15"/>
  <c r="T76" i="15" s="1"/>
  <c r="AO72" i="15"/>
  <c r="AM71" i="15"/>
  <c r="AN78" i="15"/>
  <c r="AP77" i="15"/>
  <c r="AM77" i="15"/>
  <c r="R77" i="15" s="1"/>
  <c r="AN76" i="15"/>
  <c r="S76" i="15" s="1"/>
  <c r="AN72" i="15"/>
  <c r="S72" i="15" s="1"/>
  <c r="AO70" i="15"/>
  <c r="AM74" i="15"/>
  <c r="AN68" i="15"/>
  <c r="AM76" i="15"/>
  <c r="AM72" i="15"/>
  <c r="AN71" i="15"/>
  <c r="AO74" i="15"/>
  <c r="AM70" i="15"/>
  <c r="AN73" i="15"/>
  <c r="S73" i="15" s="1"/>
  <c r="AP79" i="15"/>
  <c r="AP75" i="15"/>
  <c r="AP71" i="15"/>
  <c r="AM75" i="15"/>
  <c r="R75" i="15" s="1"/>
  <c r="AN74" i="15"/>
  <c r="AP73" i="15"/>
  <c r="U73" i="15" s="1"/>
  <c r="BG19" i="9" s="1"/>
  <c r="AM73" i="15"/>
  <c r="AO79" i="15"/>
  <c r="AO75" i="15"/>
  <c r="AO71" i="15"/>
  <c r="AN75" i="15"/>
  <c r="AP74" i="15"/>
  <c r="AP68" i="15"/>
  <c r="AN77" i="15"/>
  <c r="S77" i="15" s="1"/>
  <c r="AN79" i="15"/>
  <c r="AM78" i="15"/>
  <c r="R78" i="15" s="1"/>
  <c r="AP72" i="15"/>
  <c r="AM79" i="15"/>
  <c r="R79" i="15" s="1"/>
  <c r="AM68" i="15"/>
  <c r="AP78" i="15"/>
  <c r="U78" i="15" s="1"/>
  <c r="CU19" i="9" s="1"/>
  <c r="AP70" i="15"/>
  <c r="AN70" i="15"/>
  <c r="AO77" i="15"/>
  <c r="T77" i="15" s="1"/>
  <c r="AO78" i="15"/>
  <c r="AO73" i="15"/>
  <c r="AP76" i="15"/>
  <c r="AO68" i="15"/>
  <c r="AP67" i="15"/>
  <c r="AO67" i="15"/>
  <c r="AN67" i="15"/>
  <c r="AM67" i="15"/>
  <c r="AM66" i="15"/>
  <c r="V42" i="9"/>
  <c r="U106" i="9"/>
  <c r="U167" i="9" s="1"/>
  <c r="CX42" i="9"/>
  <c r="CW106" i="9"/>
  <c r="CW167" i="9" s="1"/>
  <c r="AD42" i="9"/>
  <c r="AC106" i="9"/>
  <c r="AC167" i="9" s="1"/>
  <c r="BR42" i="9"/>
  <c r="BQ106" i="9"/>
  <c r="BQ167" i="9" s="1"/>
  <c r="AL42" i="9"/>
  <c r="AK106" i="9"/>
  <c r="AK167" i="9" s="1"/>
  <c r="AD72" i="9"/>
  <c r="AC134" i="9"/>
  <c r="AC195" i="9" s="1"/>
  <c r="BR72" i="9"/>
  <c r="BQ134" i="9"/>
  <c r="BQ195" i="9" s="1"/>
  <c r="BB57" i="9"/>
  <c r="BA120" i="9"/>
  <c r="BA181" i="9" s="1"/>
  <c r="DF42" i="9"/>
  <c r="DE106" i="9"/>
  <c r="DE167" i="9" s="1"/>
  <c r="AL27" i="9"/>
  <c r="AK92" i="9"/>
  <c r="AK153" i="9" s="1"/>
  <c r="BJ72" i="9"/>
  <c r="BI134" i="9"/>
  <c r="BI195" i="9" s="1"/>
  <c r="BJ57" i="9"/>
  <c r="BI120" i="9"/>
  <c r="BI181" i="9" s="1"/>
  <c r="DF72" i="9"/>
  <c r="DE134" i="9"/>
  <c r="DE195" i="9" s="1"/>
  <c r="BB42" i="9"/>
  <c r="BA106" i="9"/>
  <c r="BA167" i="9" s="1"/>
  <c r="AT42" i="9"/>
  <c r="AS106" i="9"/>
  <c r="AS167" i="9" s="1"/>
  <c r="BZ27" i="9"/>
  <c r="BY92" i="9"/>
  <c r="BY153" i="9" s="1"/>
  <c r="CH27" i="9"/>
  <c r="CG92" i="9"/>
  <c r="CG153" i="9" s="1"/>
  <c r="BJ42" i="9"/>
  <c r="BI106" i="9"/>
  <c r="BI167" i="9" s="1"/>
  <c r="BZ42" i="9"/>
  <c r="BY106" i="9"/>
  <c r="BY167" i="9" s="1"/>
  <c r="CH72" i="9"/>
  <c r="CG134" i="9"/>
  <c r="CG195" i="9" s="1"/>
  <c r="V57" i="9"/>
  <c r="U120" i="9"/>
  <c r="U181" i="9" s="1"/>
  <c r="BB27" i="9"/>
  <c r="BA92" i="9"/>
  <c r="BA153" i="9" s="1"/>
  <c r="V72" i="9"/>
  <c r="U134" i="9"/>
  <c r="U195" i="9" s="1"/>
  <c r="AT27" i="9"/>
  <c r="AS92" i="9"/>
  <c r="AS153" i="9" s="1"/>
  <c r="AT57" i="9"/>
  <c r="AS120" i="9"/>
  <c r="AS181" i="9" s="1"/>
  <c r="BJ27" i="9"/>
  <c r="BI92" i="9"/>
  <c r="BI153" i="9" s="1"/>
  <c r="N27" i="9"/>
  <c r="M92" i="9"/>
  <c r="M153" i="9" s="1"/>
  <c r="AL57" i="9"/>
  <c r="AK120" i="9"/>
  <c r="AK181" i="9" s="1"/>
  <c r="BB72" i="9"/>
  <c r="BA134" i="9"/>
  <c r="BA195" i="9" s="1"/>
  <c r="CX27" i="9"/>
  <c r="CW92" i="9"/>
  <c r="CW153" i="9" s="1"/>
  <c r="AD27" i="9"/>
  <c r="AC92" i="9"/>
  <c r="AC153" i="9" s="1"/>
  <c r="V27" i="9"/>
  <c r="U92" i="9"/>
  <c r="U153" i="9" s="1"/>
  <c r="DF27" i="9"/>
  <c r="DE92" i="9"/>
  <c r="DE153" i="9" s="1"/>
  <c r="CP27" i="9"/>
  <c r="CO92" i="9"/>
  <c r="CO153" i="9" s="1"/>
  <c r="BR27" i="9"/>
  <c r="BQ92" i="9"/>
  <c r="BQ153" i="9" s="1"/>
  <c r="CP42" i="9"/>
  <c r="CO106" i="9"/>
  <c r="CO167" i="9" s="1"/>
  <c r="AD57" i="9"/>
  <c r="AC120" i="9"/>
  <c r="AC181" i="9" s="1"/>
  <c r="CP57" i="9"/>
  <c r="CO120" i="9"/>
  <c r="CO181" i="9" s="1"/>
  <c r="BR57" i="9"/>
  <c r="BQ120" i="9"/>
  <c r="BQ181" i="9" s="1"/>
  <c r="BZ57" i="9"/>
  <c r="BY120" i="9"/>
  <c r="BY181" i="9" s="1"/>
  <c r="N42" i="9"/>
  <c r="M106" i="9"/>
  <c r="M167" i="9" s="1"/>
  <c r="DF57" i="9"/>
  <c r="DE120" i="9"/>
  <c r="DE181" i="9" s="1"/>
  <c r="CX57" i="9"/>
  <c r="CW120" i="9"/>
  <c r="CW181" i="9" s="1"/>
  <c r="BZ72" i="9"/>
  <c r="BY134" i="9"/>
  <c r="BY195" i="9" s="1"/>
  <c r="CH57" i="9"/>
  <c r="CG120" i="9"/>
  <c r="CG181" i="9" s="1"/>
  <c r="CX72" i="9"/>
  <c r="CW134" i="9"/>
  <c r="CW195" i="9" s="1"/>
  <c r="AT72" i="9"/>
  <c r="AS134" i="9"/>
  <c r="AS195" i="9" s="1"/>
  <c r="CH42" i="9"/>
  <c r="CG106" i="9"/>
  <c r="CG167" i="9" s="1"/>
  <c r="N72" i="9"/>
  <c r="M134" i="9"/>
  <c r="M195" i="9" s="1"/>
  <c r="N57" i="9"/>
  <c r="M120" i="9"/>
  <c r="M181" i="9" s="1"/>
  <c r="CP72" i="9"/>
  <c r="CO134" i="9"/>
  <c r="CO195" i="9" s="1"/>
  <c r="AL72" i="9"/>
  <c r="AK134" i="9"/>
  <c r="AK195" i="9" s="1"/>
  <c r="E72" i="9"/>
  <c r="D134" i="9"/>
  <c r="D195" i="9" s="1"/>
  <c r="E57" i="9"/>
  <c r="D120" i="9"/>
  <c r="D181" i="9" s="1"/>
  <c r="E42" i="9"/>
  <c r="E106" i="9" s="1"/>
  <c r="E167" i="9" s="1"/>
  <c r="E27" i="9"/>
  <c r="D92" i="9"/>
  <c r="D153" i="9" s="1"/>
  <c r="AT10" i="26"/>
  <c r="AS10" i="26"/>
  <c r="AO10" i="26"/>
  <c r="AP10" i="26"/>
  <c r="AX10" i="26"/>
  <c r="AV10" i="26"/>
  <c r="AW10" i="26"/>
  <c r="CM13" i="9" l="1"/>
  <c r="CO13" i="9"/>
  <c r="CN13" i="9"/>
  <c r="CN10" i="9"/>
  <c r="CP10" i="9"/>
  <c r="CO10" i="9"/>
  <c r="CM10" i="9"/>
  <c r="BW10" i="9"/>
  <c r="BY10" i="9"/>
  <c r="BX10" i="9"/>
  <c r="BZ10" i="9"/>
  <c r="DC10" i="9"/>
  <c r="DE10" i="9"/>
  <c r="DF10" i="9"/>
  <c r="DD10" i="9"/>
  <c r="CX10" i="9"/>
  <c r="CV10" i="9"/>
  <c r="CW10" i="9"/>
  <c r="CU10" i="9"/>
  <c r="CE16" i="9"/>
  <c r="CF16" i="9"/>
  <c r="CG13" i="9"/>
  <c r="CF13" i="9"/>
  <c r="CE13" i="9"/>
  <c r="CN16" i="9"/>
  <c r="CM16" i="9"/>
  <c r="BG13" i="9"/>
  <c r="BI13" i="9"/>
  <c r="BH13" i="9"/>
  <c r="AZ13" i="9"/>
  <c r="AY13" i="9"/>
  <c r="BA13" i="9"/>
  <c r="S74" i="15"/>
  <c r="U76" i="15"/>
  <c r="CE19" i="9" s="1"/>
  <c r="V68" i="15"/>
  <c r="T78" i="15"/>
  <c r="T79" i="15"/>
  <c r="R72" i="15"/>
  <c r="T71" i="15"/>
  <c r="U75" i="15"/>
  <c r="BW19" i="9" s="1"/>
  <c r="U72" i="15"/>
  <c r="AY19" i="9" s="1"/>
  <c r="AG66" i="15"/>
  <c r="S71" i="15"/>
  <c r="R71" i="15"/>
  <c r="R73" i="15"/>
  <c r="T74" i="15"/>
  <c r="S75" i="15"/>
  <c r="U71" i="15"/>
  <c r="AQ19" i="9" s="1"/>
  <c r="R76" i="15"/>
  <c r="S78" i="15"/>
  <c r="U74" i="15"/>
  <c r="BO19" i="9" s="1"/>
  <c r="U77" i="15"/>
  <c r="T73" i="15"/>
  <c r="T75" i="15"/>
  <c r="U79" i="15"/>
  <c r="DC19" i="9" s="1"/>
  <c r="R74" i="15"/>
  <c r="T72" i="15"/>
  <c r="S79" i="15"/>
  <c r="CI42" i="9"/>
  <c r="CI106" i="9" s="1"/>
  <c r="CI167" i="9" s="1"/>
  <c r="CH106" i="9"/>
  <c r="CH167" i="9" s="1"/>
  <c r="CQ42" i="9"/>
  <c r="CQ106" i="9" s="1"/>
  <c r="CQ167" i="9" s="1"/>
  <c r="CP106" i="9"/>
  <c r="CP167" i="9" s="1"/>
  <c r="AU27" i="9"/>
  <c r="AU92" i="9" s="1"/>
  <c r="AU153" i="9" s="1"/>
  <c r="AT92" i="9"/>
  <c r="AT153" i="9" s="1"/>
  <c r="CA27" i="9"/>
  <c r="CA92" i="9" s="1"/>
  <c r="CA153" i="9" s="1"/>
  <c r="BZ92" i="9"/>
  <c r="BZ153" i="9" s="1"/>
  <c r="BS42" i="9"/>
  <c r="BS106" i="9" s="1"/>
  <c r="BS167" i="9" s="1"/>
  <c r="BR106" i="9"/>
  <c r="BR167" i="9" s="1"/>
  <c r="CA72" i="9"/>
  <c r="CA134" i="9" s="1"/>
  <c r="CA195" i="9" s="1"/>
  <c r="BZ134" i="9"/>
  <c r="BZ195" i="9" s="1"/>
  <c r="AM57" i="9"/>
  <c r="AM120" i="9" s="1"/>
  <c r="AM181" i="9" s="1"/>
  <c r="AL120" i="9"/>
  <c r="AL181" i="9" s="1"/>
  <c r="CI72" i="9"/>
  <c r="CI134" i="9" s="1"/>
  <c r="CI195" i="9" s="1"/>
  <c r="CH134" i="9"/>
  <c r="CH195" i="9" s="1"/>
  <c r="BC57" i="9"/>
  <c r="BC120" i="9" s="1"/>
  <c r="BC181" i="9" s="1"/>
  <c r="BB120" i="9"/>
  <c r="BB181" i="9" s="1"/>
  <c r="CQ72" i="9"/>
  <c r="CQ134" i="9" s="1"/>
  <c r="CQ195" i="9" s="1"/>
  <c r="CP134" i="9"/>
  <c r="CP195" i="9" s="1"/>
  <c r="AU72" i="9"/>
  <c r="AU134" i="9" s="1"/>
  <c r="AU195" i="9" s="1"/>
  <c r="AT134" i="9"/>
  <c r="AT195" i="9" s="1"/>
  <c r="CY57" i="9"/>
  <c r="CY120" i="9" s="1"/>
  <c r="CY181" i="9" s="1"/>
  <c r="CX120" i="9"/>
  <c r="CX181" i="9" s="1"/>
  <c r="BS57" i="9"/>
  <c r="BS120" i="9" s="1"/>
  <c r="BS181" i="9" s="1"/>
  <c r="BR120" i="9"/>
  <c r="BR181" i="9" s="1"/>
  <c r="BS27" i="9"/>
  <c r="BS92" i="9" s="1"/>
  <c r="BS153" i="9" s="1"/>
  <c r="BR92" i="9"/>
  <c r="BR153" i="9" s="1"/>
  <c r="AE27" i="9"/>
  <c r="AE92" i="9" s="1"/>
  <c r="AE153" i="9" s="1"/>
  <c r="AD92" i="9"/>
  <c r="AD153" i="9" s="1"/>
  <c r="O27" i="9"/>
  <c r="O92" i="9" s="1"/>
  <c r="O153" i="9" s="1"/>
  <c r="N92" i="9"/>
  <c r="N153" i="9" s="1"/>
  <c r="W72" i="9"/>
  <c r="W134" i="9" s="1"/>
  <c r="W195" i="9" s="1"/>
  <c r="V134" i="9"/>
  <c r="V195" i="9" s="1"/>
  <c r="CA42" i="9"/>
  <c r="CA106" i="9" s="1"/>
  <c r="CA167" i="9" s="1"/>
  <c r="BZ106" i="9"/>
  <c r="BZ167" i="9" s="1"/>
  <c r="AU42" i="9"/>
  <c r="AU106" i="9" s="1"/>
  <c r="AU167" i="9" s="1"/>
  <c r="AT106" i="9"/>
  <c r="AT167" i="9" s="1"/>
  <c r="BK72" i="9"/>
  <c r="BK134" i="9" s="1"/>
  <c r="BK195" i="9" s="1"/>
  <c r="BJ134" i="9"/>
  <c r="BJ195" i="9" s="1"/>
  <c r="BS72" i="9"/>
  <c r="BS134" i="9" s="1"/>
  <c r="BS195" i="9" s="1"/>
  <c r="BR134" i="9"/>
  <c r="BR195" i="9" s="1"/>
  <c r="AE42" i="9"/>
  <c r="AE106" i="9" s="1"/>
  <c r="AE167" i="9" s="1"/>
  <c r="AD106" i="9"/>
  <c r="AD167" i="9" s="1"/>
  <c r="CY27" i="9"/>
  <c r="CY92" i="9" s="1"/>
  <c r="CY153" i="9" s="1"/>
  <c r="CX92" i="9"/>
  <c r="CX153" i="9" s="1"/>
  <c r="BK27" i="9"/>
  <c r="BK92" i="9" s="1"/>
  <c r="BK153" i="9" s="1"/>
  <c r="BJ92" i="9"/>
  <c r="BJ153" i="9" s="1"/>
  <c r="BC27" i="9"/>
  <c r="BC92" i="9" s="1"/>
  <c r="BC153" i="9" s="1"/>
  <c r="BB92" i="9"/>
  <c r="BB153" i="9" s="1"/>
  <c r="BK42" i="9"/>
  <c r="BK106" i="9" s="1"/>
  <c r="BK167" i="9" s="1"/>
  <c r="BJ106" i="9"/>
  <c r="BJ167" i="9" s="1"/>
  <c r="BC42" i="9"/>
  <c r="BC106" i="9" s="1"/>
  <c r="BC167" i="9" s="1"/>
  <c r="BB106" i="9"/>
  <c r="BB167" i="9" s="1"/>
  <c r="AM27" i="9"/>
  <c r="AM92" i="9" s="1"/>
  <c r="AM153" i="9" s="1"/>
  <c r="AL92" i="9"/>
  <c r="AL153" i="9" s="1"/>
  <c r="AE72" i="9"/>
  <c r="AE134" i="9" s="1"/>
  <c r="AE195" i="9" s="1"/>
  <c r="AD134" i="9"/>
  <c r="AD195" i="9" s="1"/>
  <c r="CY42" i="9"/>
  <c r="CY106" i="9" s="1"/>
  <c r="CY167" i="9" s="1"/>
  <c r="CX106" i="9"/>
  <c r="CX167" i="9" s="1"/>
  <c r="AM72" i="9"/>
  <c r="AM134" i="9" s="1"/>
  <c r="AM195" i="9" s="1"/>
  <c r="AL134" i="9"/>
  <c r="AL195" i="9" s="1"/>
  <c r="CA57" i="9"/>
  <c r="CA120" i="9" s="1"/>
  <c r="CA181" i="9" s="1"/>
  <c r="BZ120" i="9"/>
  <c r="BZ181" i="9" s="1"/>
  <c r="W27" i="9"/>
  <c r="W92" i="9" s="1"/>
  <c r="W153" i="9" s="1"/>
  <c r="V92" i="9"/>
  <c r="V153" i="9" s="1"/>
  <c r="BK57" i="9"/>
  <c r="BK120" i="9" s="1"/>
  <c r="BK181" i="9" s="1"/>
  <c r="BJ120" i="9"/>
  <c r="BJ181" i="9" s="1"/>
  <c r="O57" i="9"/>
  <c r="O120" i="9" s="1"/>
  <c r="O181" i="9" s="1"/>
  <c r="N120" i="9"/>
  <c r="N181" i="9" s="1"/>
  <c r="CY72" i="9"/>
  <c r="CY134" i="9" s="1"/>
  <c r="CY195" i="9" s="1"/>
  <c r="CX134" i="9"/>
  <c r="CX195" i="9" s="1"/>
  <c r="DG57" i="9"/>
  <c r="DG120" i="9" s="1"/>
  <c r="DG181" i="9" s="1"/>
  <c r="DF120" i="9"/>
  <c r="DF181" i="9" s="1"/>
  <c r="CQ57" i="9"/>
  <c r="CQ120" i="9" s="1"/>
  <c r="CQ181" i="9" s="1"/>
  <c r="CP120" i="9"/>
  <c r="CP181" i="9" s="1"/>
  <c r="CQ27" i="9"/>
  <c r="CQ92" i="9" s="1"/>
  <c r="CQ153" i="9" s="1"/>
  <c r="CP92" i="9"/>
  <c r="CP153" i="9" s="1"/>
  <c r="O72" i="9"/>
  <c r="O134" i="9" s="1"/>
  <c r="O195" i="9" s="1"/>
  <c r="N134" i="9"/>
  <c r="N195" i="9" s="1"/>
  <c r="CI57" i="9"/>
  <c r="CI120" i="9" s="1"/>
  <c r="CI181" i="9" s="1"/>
  <c r="CH120" i="9"/>
  <c r="CH181" i="9" s="1"/>
  <c r="O42" i="9"/>
  <c r="O106" i="9" s="1"/>
  <c r="O167" i="9" s="1"/>
  <c r="N106" i="9"/>
  <c r="N167" i="9" s="1"/>
  <c r="AE57" i="9"/>
  <c r="AE120" i="9" s="1"/>
  <c r="AE181" i="9" s="1"/>
  <c r="AD120" i="9"/>
  <c r="AD181" i="9" s="1"/>
  <c r="DG27" i="9"/>
  <c r="DG92" i="9" s="1"/>
  <c r="DG153" i="9" s="1"/>
  <c r="DF92" i="9"/>
  <c r="DF153" i="9" s="1"/>
  <c r="BC72" i="9"/>
  <c r="BC134" i="9" s="1"/>
  <c r="BC195" i="9" s="1"/>
  <c r="BB134" i="9"/>
  <c r="BB195" i="9" s="1"/>
  <c r="AU57" i="9"/>
  <c r="AU120" i="9" s="1"/>
  <c r="AU181" i="9" s="1"/>
  <c r="AT120" i="9"/>
  <c r="AT181" i="9" s="1"/>
  <c r="W57" i="9"/>
  <c r="W120" i="9" s="1"/>
  <c r="W181" i="9" s="1"/>
  <c r="V120" i="9"/>
  <c r="V181" i="9" s="1"/>
  <c r="CI27" i="9"/>
  <c r="CI92" i="9" s="1"/>
  <c r="CI153" i="9" s="1"/>
  <c r="CH92" i="9"/>
  <c r="CH153" i="9" s="1"/>
  <c r="DG72" i="9"/>
  <c r="DG134" i="9" s="1"/>
  <c r="DG195" i="9" s="1"/>
  <c r="DF134" i="9"/>
  <c r="DF195" i="9" s="1"/>
  <c r="DG42" i="9"/>
  <c r="DG106" i="9" s="1"/>
  <c r="DG167" i="9" s="1"/>
  <c r="DF106" i="9"/>
  <c r="DF167" i="9" s="1"/>
  <c r="AM42" i="9"/>
  <c r="AM106" i="9" s="1"/>
  <c r="AM167" i="9" s="1"/>
  <c r="AL106" i="9"/>
  <c r="AL167" i="9" s="1"/>
  <c r="W42" i="9"/>
  <c r="W106" i="9" s="1"/>
  <c r="W167" i="9" s="1"/>
  <c r="V106" i="9"/>
  <c r="V167" i="9" s="1"/>
  <c r="F72" i="9"/>
  <c r="E134" i="9"/>
  <c r="E195" i="9" s="1"/>
  <c r="F42" i="9"/>
  <c r="F106" i="9" s="1"/>
  <c r="F167" i="9" s="1"/>
  <c r="F57" i="9"/>
  <c r="E120" i="9"/>
  <c r="E181" i="9" s="1"/>
  <c r="F27" i="9"/>
  <c r="E92" i="9"/>
  <c r="E153" i="9" s="1"/>
  <c r="H203" i="4"/>
  <c r="H204" i="4" s="1"/>
  <c r="H205" i="4" s="1"/>
  <c r="H206" i="4" s="1"/>
  <c r="H207" i="4" s="1"/>
  <c r="H208" i="4" s="1"/>
  <c r="H209" i="4" s="1"/>
  <c r="H210" i="4" s="1"/>
  <c r="H211" i="4" s="1"/>
  <c r="H212" i="4" s="1"/>
  <c r="H213" i="4" s="1"/>
  <c r="H214" i="4" s="1"/>
  <c r="H215" i="4" s="1"/>
  <c r="G203" i="4"/>
  <c r="G204" i="4" s="1"/>
  <c r="G205" i="4" s="1"/>
  <c r="G206" i="4" s="1"/>
  <c r="G207" i="4" s="1"/>
  <c r="G208" i="4" s="1"/>
  <c r="G209" i="4" s="1"/>
  <c r="G210" i="4" s="1"/>
  <c r="G211" i="4" s="1"/>
  <c r="G212" i="4" s="1"/>
  <c r="G213" i="4" s="1"/>
  <c r="G214" i="4" s="1"/>
  <c r="G215" i="4" s="1"/>
  <c r="I189" i="4"/>
  <c r="I188" i="4"/>
  <c r="I187" i="4"/>
  <c r="I186" i="4"/>
  <c r="I185" i="4"/>
  <c r="I184" i="4"/>
  <c r="I183" i="4"/>
  <c r="I182" i="4"/>
  <c r="I181" i="4"/>
  <c r="I180" i="4"/>
  <c r="BG16" i="9" l="1"/>
  <c r="BH16" i="9"/>
  <c r="DD16" i="9"/>
  <c r="DC16" i="9"/>
  <c r="V77" i="15"/>
  <c r="CM19" i="9"/>
  <c r="CV16" i="9"/>
  <c r="CU16" i="9"/>
  <c r="V79" i="15"/>
  <c r="DE13" i="9"/>
  <c r="DD13" i="9"/>
  <c r="DC13" i="9"/>
  <c r="V78" i="15"/>
  <c r="CW13" i="9"/>
  <c r="CV13" i="9"/>
  <c r="CU13" i="9"/>
  <c r="BR10" i="9"/>
  <c r="BQ10" i="9"/>
  <c r="BP10" i="9"/>
  <c r="BO10" i="9"/>
  <c r="V75" i="15"/>
  <c r="BY13" i="9"/>
  <c r="BX13" i="9"/>
  <c r="BW13" i="9"/>
  <c r="BX16" i="9"/>
  <c r="BW16" i="9"/>
  <c r="BP16" i="9"/>
  <c r="BO16" i="9"/>
  <c r="CG10" i="9"/>
  <c r="CF10" i="9"/>
  <c r="CE10" i="9"/>
  <c r="CH10" i="9"/>
  <c r="BQ13" i="9"/>
  <c r="BP13" i="9"/>
  <c r="BO13" i="9"/>
  <c r="AZ16" i="9"/>
  <c r="AY16" i="9"/>
  <c r="AR16" i="9"/>
  <c r="AQ16" i="9"/>
  <c r="AY10" i="9"/>
  <c r="BB10" i="9"/>
  <c r="BA10" i="9"/>
  <c r="AZ10" i="9"/>
  <c r="V73" i="15"/>
  <c r="BJ10" i="9"/>
  <c r="BI10" i="9"/>
  <c r="BH10" i="9"/>
  <c r="BG10" i="9"/>
  <c r="V71" i="15"/>
  <c r="AT10" i="9"/>
  <c r="AS10" i="9"/>
  <c r="AR10" i="9"/>
  <c r="AQ10" i="9"/>
  <c r="AS13" i="9"/>
  <c r="AR13" i="9"/>
  <c r="AQ13" i="9"/>
  <c r="V74" i="15"/>
  <c r="V72" i="15"/>
  <c r="V76" i="15"/>
  <c r="V67" i="15"/>
  <c r="AO66" i="15"/>
  <c r="AH66" i="15"/>
  <c r="I32" i="4"/>
  <c r="G42" i="9"/>
  <c r="G106" i="9" s="1"/>
  <c r="G167" i="9" s="1"/>
  <c r="G72" i="9"/>
  <c r="G134" i="9" s="1"/>
  <c r="G195" i="9" s="1"/>
  <c r="F134" i="9"/>
  <c r="F195" i="9" s="1"/>
  <c r="G57" i="9"/>
  <c r="G120" i="9" s="1"/>
  <c r="G181" i="9" s="1"/>
  <c r="F120" i="9"/>
  <c r="F181" i="9" s="1"/>
  <c r="G27" i="9"/>
  <c r="G92" i="9" s="1"/>
  <c r="G153" i="9" s="1"/>
  <c r="F92" i="9"/>
  <c r="F153" i="9" s="1"/>
  <c r="AP66" i="15" l="1"/>
  <c r="I38" i="4"/>
  <c r="I41" i="4"/>
  <c r="I39" i="4"/>
  <c r="I40" i="4"/>
  <c r="I42" i="4"/>
  <c r="I34" i="4"/>
  <c r="I45" i="4"/>
  <c r="I35" i="4"/>
  <c r="I44" i="4"/>
  <c r="I43" i="4"/>
  <c r="I37" i="4"/>
  <c r="I36" i="4"/>
  <c r="I33" i="4"/>
  <c r="I174" i="4"/>
  <c r="I173" i="4"/>
  <c r="I172" i="4"/>
  <c r="I171" i="4"/>
  <c r="I170" i="4"/>
  <c r="I169" i="4"/>
  <c r="I168" i="4"/>
  <c r="I167" i="4"/>
  <c r="I166" i="4"/>
  <c r="I165" i="4"/>
  <c r="I121" i="4"/>
  <c r="I120" i="4"/>
  <c r="I119" i="4"/>
  <c r="I118" i="4"/>
  <c r="I140" i="4"/>
  <c r="I139" i="4"/>
  <c r="I105" i="4"/>
  <c r="I104" i="4"/>
  <c r="I103" i="4"/>
  <c r="I102" i="4"/>
  <c r="I101" i="4"/>
  <c r="I100" i="4"/>
  <c r="I99" i="4"/>
  <c r="I57" i="4"/>
  <c r="I56" i="4"/>
  <c r="D36" i="4" s="1"/>
  <c r="F18" i="7" s="1"/>
  <c r="W18" i="7" s="1"/>
  <c r="I58" i="4"/>
  <c r="I59" i="4"/>
  <c r="I60" i="4"/>
  <c r="I61" i="4"/>
  <c r="I62" i="4"/>
  <c r="I63" i="4"/>
  <c r="I64" i="4"/>
  <c r="I65" i="4"/>
  <c r="I66" i="4"/>
  <c r="I67" i="4"/>
  <c r="I68" i="4"/>
  <c r="I55" i="4"/>
  <c r="S18" i="5"/>
  <c r="S17" i="5"/>
  <c r="S16" i="5"/>
  <c r="S15" i="5"/>
  <c r="S14" i="5"/>
  <c r="S13" i="5"/>
  <c r="S12" i="5"/>
  <c r="S11" i="5"/>
  <c r="E18" i="7" l="1"/>
  <c r="V18" i="7"/>
  <c r="D33" i="4"/>
  <c r="F15" i="7" s="1"/>
  <c r="W15" i="7" s="1"/>
  <c r="D32" i="4"/>
  <c r="F14" i="7" s="1"/>
  <c r="W14" i="7" s="1"/>
  <c r="H32" i="4"/>
  <c r="V14" i="7" l="1"/>
  <c r="E15" i="7"/>
  <c r="V15" i="7"/>
  <c r="I15" i="7" s="1"/>
  <c r="I18" i="7"/>
  <c r="H34" i="4"/>
  <c r="H44" i="4"/>
  <c r="H43" i="4"/>
  <c r="H45" i="4"/>
  <c r="H38" i="4"/>
  <c r="H35" i="4"/>
  <c r="H39" i="4"/>
  <c r="H41" i="4"/>
  <c r="H40" i="4"/>
  <c r="H42" i="4"/>
  <c r="H37" i="4"/>
  <c r="H36" i="4"/>
  <c r="H33" i="4"/>
  <c r="E45" i="24"/>
  <c r="E53" i="24" s="1"/>
  <c r="I14" i="7" l="1"/>
  <c r="N18" i="7"/>
  <c r="M18" i="7"/>
  <c r="K45" i="24"/>
  <c r="K53" i="24" s="1"/>
  <c r="L45" i="24"/>
  <c r="L53" i="24" s="1"/>
  <c r="J45" i="24"/>
  <c r="J53" i="24" s="1"/>
  <c r="I45" i="24"/>
  <c r="I53" i="24" s="1"/>
  <c r="H45" i="24"/>
  <c r="H53" i="24" s="1"/>
  <c r="G45" i="24"/>
  <c r="G53" i="24" s="1"/>
  <c r="F45" i="24"/>
  <c r="F53" i="24" s="1"/>
  <c r="D45" i="24"/>
  <c r="G18" i="7" l="1"/>
  <c r="N14" i="7"/>
  <c r="M14" i="7"/>
  <c r="N15" i="7"/>
  <c r="M15" i="7"/>
  <c r="D53" i="24"/>
  <c r="G14" i="7" l="1"/>
  <c r="E14" i="7" s="1"/>
  <c r="G15" i="7"/>
  <c r="D60" i="24" a="1"/>
  <c r="D60" i="24" s="1"/>
  <c r="D63" i="24"/>
  <c r="D64" i="24" s="1"/>
  <c r="E64" i="24" s="1"/>
  <c r="F64" i="24" s="1"/>
  <c r="G64" i="24" s="1"/>
  <c r="H64" i="24" s="1"/>
  <c r="E63" i="24"/>
  <c r="F63" i="24"/>
  <c r="G63" i="24"/>
  <c r="H63" i="24"/>
  <c r="D67" i="24" l="1"/>
  <c r="B8" i="20" l="1"/>
  <c r="I142" i="4"/>
  <c r="I141" i="4"/>
  <c r="I138" i="4"/>
  <c r="I137" i="4"/>
  <c r="I136" i="4"/>
  <c r="I135" i="4"/>
  <c r="I134" i="4"/>
  <c r="I133" i="4"/>
  <c r="I132" i="4"/>
  <c r="I131" i="4"/>
  <c r="I130" i="4"/>
  <c r="I129" i="4"/>
  <c r="I128" i="4"/>
  <c r="I127" i="4"/>
  <c r="I126" i="4"/>
  <c r="I125" i="4"/>
  <c r="I124" i="4"/>
  <c r="I123" i="4"/>
  <c r="I122" i="4"/>
  <c r="I117" i="4"/>
  <c r="I116" i="4"/>
  <c r="I115" i="4"/>
  <c r="I114" i="4"/>
  <c r="I113" i="4"/>
  <c r="I82" i="4"/>
  <c r="E42" i="4" s="1"/>
  <c r="F38" i="7" s="1"/>
  <c r="W38" i="7" s="1"/>
  <c r="I83" i="4"/>
  <c r="E43" i="4" s="1"/>
  <c r="F39" i="7" s="1"/>
  <c r="W39" i="7" s="1"/>
  <c r="I84" i="4"/>
  <c r="E44" i="4" s="1"/>
  <c r="F40" i="7" s="1"/>
  <c r="W40" i="7" s="1"/>
  <c r="I85" i="4"/>
  <c r="I86" i="4"/>
  <c r="I87" i="4"/>
  <c r="E34" i="4" s="1"/>
  <c r="F30" i="7" s="1"/>
  <c r="W30" i="7" s="1"/>
  <c r="I88" i="4"/>
  <c r="E35" i="4" s="1"/>
  <c r="F31" i="7" s="1"/>
  <c r="W31" i="7" s="1"/>
  <c r="I94" i="4"/>
  <c r="I95" i="4"/>
  <c r="I96" i="4"/>
  <c r="I97" i="4"/>
  <c r="I98" i="4"/>
  <c r="I89" i="4"/>
  <c r="I90" i="4"/>
  <c r="I91" i="4"/>
  <c r="I92" i="4"/>
  <c r="I93" i="4"/>
  <c r="I77" i="4"/>
  <c r="E37" i="4" s="1"/>
  <c r="F33" i="7" s="1"/>
  <c r="W33" i="7" s="1"/>
  <c r="I78" i="4"/>
  <c r="E38" i="4" s="1"/>
  <c r="F34" i="7" s="1"/>
  <c r="W34" i="7" s="1"/>
  <c r="I80" i="4"/>
  <c r="E40" i="4" s="1"/>
  <c r="F36" i="7" s="1"/>
  <c r="W36" i="7" s="1"/>
  <c r="I81" i="4"/>
  <c r="E41" i="4" s="1"/>
  <c r="F37" i="7" s="1"/>
  <c r="W37" i="7" s="1"/>
  <c r="I76" i="4"/>
  <c r="E30" i="7" l="1"/>
  <c r="V30" i="7"/>
  <c r="E33" i="7"/>
  <c r="V33" i="7"/>
  <c r="E39" i="7"/>
  <c r="V39" i="7"/>
  <c r="I39" i="7" s="1"/>
  <c r="E38" i="7"/>
  <c r="V38" i="7"/>
  <c r="E31" i="7"/>
  <c r="V31" i="7"/>
  <c r="E37" i="7"/>
  <c r="V37" i="7"/>
  <c r="E36" i="7"/>
  <c r="V36" i="7"/>
  <c r="E34" i="7"/>
  <c r="V34" i="7"/>
  <c r="E40" i="7"/>
  <c r="V40" i="7"/>
  <c r="E32" i="4"/>
  <c r="F28" i="7" s="1"/>
  <c r="W28" i="7" s="1"/>
  <c r="E36" i="4"/>
  <c r="F32" i="7" s="1"/>
  <c r="W32" i="7" s="1"/>
  <c r="E33" i="4"/>
  <c r="F29" i="7" s="1"/>
  <c r="W29" i="7" s="1"/>
  <c r="E69" i="11"/>
  <c r="C69" i="11"/>
  <c r="C68" i="11"/>
  <c r="D47" i="11"/>
  <c r="E47" i="11" s="1"/>
  <c r="F47" i="11" s="1"/>
  <c r="G47" i="11" s="1"/>
  <c r="H47" i="11" s="1"/>
  <c r="E44" i="11"/>
  <c r="C44" i="11"/>
  <c r="C43" i="11"/>
  <c r="E81" i="11"/>
  <c r="F81" i="11" s="1"/>
  <c r="G81" i="11" s="1"/>
  <c r="H81" i="11" s="1"/>
  <c r="E72" i="11"/>
  <c r="F72" i="11" s="1"/>
  <c r="G72" i="11" s="1"/>
  <c r="H72" i="11" s="1"/>
  <c r="D56" i="11"/>
  <c r="E56" i="11" s="1"/>
  <c r="F56" i="11" s="1"/>
  <c r="G56" i="11" s="1"/>
  <c r="H56" i="11" s="1"/>
  <c r="D30" i="11"/>
  <c r="E30" i="11" s="1"/>
  <c r="F30" i="11" s="1"/>
  <c r="G30" i="11" s="1"/>
  <c r="H30" i="11" s="1"/>
  <c r="D21" i="11"/>
  <c r="C17" i="11"/>
  <c r="H8" i="11"/>
  <c r="G8" i="11"/>
  <c r="F8" i="11"/>
  <c r="E8" i="11"/>
  <c r="D8" i="11"/>
  <c r="E59" i="24"/>
  <c r="E60" i="24" s="1" a="1"/>
  <c r="E60" i="24" s="1"/>
  <c r="E67" i="24" s="1"/>
  <c r="E79" i="24"/>
  <c r="I34" i="7" l="1"/>
  <c r="E29" i="7"/>
  <c r="N36" i="29" s="1"/>
  <c r="V29" i="7"/>
  <c r="E28" i="7"/>
  <c r="V28" i="7"/>
  <c r="V32" i="7"/>
  <c r="I32" i="7" s="1"/>
  <c r="I36" i="7"/>
  <c r="I37" i="7"/>
  <c r="I38" i="7"/>
  <c r="I30" i="7"/>
  <c r="I33" i="7"/>
  <c r="I40" i="7"/>
  <c r="I31" i="7"/>
  <c r="E21" i="11"/>
  <c r="F21" i="11" s="1"/>
  <c r="G21" i="11" s="1"/>
  <c r="H21" i="11" s="1"/>
  <c r="F79" i="24"/>
  <c r="F59" i="24"/>
  <c r="F60" i="24" s="1" a="1"/>
  <c r="F60" i="24" s="1"/>
  <c r="F67" i="24" s="1"/>
  <c r="I28" i="7" l="1"/>
  <c r="I29" i="7"/>
  <c r="N37" i="7"/>
  <c r="M37" i="7"/>
  <c r="N31" i="7"/>
  <c r="M31" i="7"/>
  <c r="N30" i="7"/>
  <c r="M30" i="7"/>
  <c r="N34" i="7"/>
  <c r="M34" i="7"/>
  <c r="N39" i="7"/>
  <c r="M39" i="7"/>
  <c r="N40" i="7"/>
  <c r="M40" i="7"/>
  <c r="N36" i="7"/>
  <c r="M36" i="7"/>
  <c r="N38" i="7"/>
  <c r="M38" i="7"/>
  <c r="N33" i="7"/>
  <c r="M33" i="7"/>
  <c r="G79" i="24"/>
  <c r="G59" i="24"/>
  <c r="G60" i="24" s="1" a="1"/>
  <c r="G60" i="24" s="1"/>
  <c r="G67" i="24" s="1"/>
  <c r="H26" i="24"/>
  <c r="G26" i="24"/>
  <c r="F26" i="24"/>
  <c r="E26" i="24"/>
  <c r="D26" i="24"/>
  <c r="J79" i="3"/>
  <c r="J59" i="3"/>
  <c r="J39" i="3"/>
  <c r="J19" i="3"/>
  <c r="E52" i="1"/>
  <c r="M8" i="3"/>
  <c r="N81" i="3"/>
  <c r="M81" i="3"/>
  <c r="L81" i="3"/>
  <c r="K81" i="3"/>
  <c r="J81" i="3"/>
  <c r="G81" i="3"/>
  <c r="F81" i="3"/>
  <c r="E81" i="3"/>
  <c r="D81" i="3"/>
  <c r="C81" i="3"/>
  <c r="N61" i="3"/>
  <c r="M61" i="3"/>
  <c r="L61" i="3"/>
  <c r="K61" i="3"/>
  <c r="J61" i="3"/>
  <c r="G61" i="3"/>
  <c r="F61" i="3"/>
  <c r="E61" i="3"/>
  <c r="D61" i="3"/>
  <c r="C61" i="3"/>
  <c r="G41" i="3"/>
  <c r="F41" i="3"/>
  <c r="E41" i="3"/>
  <c r="D41" i="3"/>
  <c r="C41" i="3"/>
  <c r="N41" i="3"/>
  <c r="M41" i="3"/>
  <c r="L41" i="3"/>
  <c r="K41" i="3"/>
  <c r="J41" i="3"/>
  <c r="N21" i="3"/>
  <c r="M21" i="3"/>
  <c r="L21" i="3"/>
  <c r="K21" i="3"/>
  <c r="J21" i="3"/>
  <c r="G21" i="3"/>
  <c r="F21" i="3"/>
  <c r="E21" i="3"/>
  <c r="D21" i="3"/>
  <c r="C21" i="3"/>
  <c r="C79" i="3"/>
  <c r="C59" i="3"/>
  <c r="C39" i="3"/>
  <c r="C19" i="3"/>
  <c r="J81" i="20"/>
  <c r="B81" i="20"/>
  <c r="J62" i="20"/>
  <c r="B62" i="20"/>
  <c r="J43" i="20"/>
  <c r="B43" i="20"/>
  <c r="J24" i="20"/>
  <c r="B24" i="20"/>
  <c r="J80" i="20"/>
  <c r="B80" i="20"/>
  <c r="J61" i="20"/>
  <c r="B61" i="20"/>
  <c r="J42" i="20"/>
  <c r="B42" i="20"/>
  <c r="J23" i="20"/>
  <c r="B23" i="20"/>
  <c r="J79" i="20"/>
  <c r="B79" i="20"/>
  <c r="J60" i="20"/>
  <c r="B60" i="20"/>
  <c r="J41" i="20"/>
  <c r="B41" i="20"/>
  <c r="J22" i="20"/>
  <c r="B22" i="20"/>
  <c r="J78" i="20"/>
  <c r="B78" i="20"/>
  <c r="J59" i="20"/>
  <c r="B59" i="20"/>
  <c r="J40" i="20"/>
  <c r="B40" i="20"/>
  <c r="J21" i="20"/>
  <c r="B21" i="20"/>
  <c r="J77" i="20"/>
  <c r="B77" i="20"/>
  <c r="J58" i="20"/>
  <c r="B58" i="20"/>
  <c r="J39" i="20"/>
  <c r="B39" i="20"/>
  <c r="J20" i="20"/>
  <c r="B20" i="20"/>
  <c r="J76" i="20"/>
  <c r="B76" i="20"/>
  <c r="J57" i="20"/>
  <c r="B57" i="20"/>
  <c r="J38" i="20"/>
  <c r="B38" i="20"/>
  <c r="J19" i="20"/>
  <c r="B19" i="20"/>
  <c r="J75" i="20"/>
  <c r="B75" i="20"/>
  <c r="J56" i="20"/>
  <c r="B56" i="20"/>
  <c r="J37" i="20"/>
  <c r="B37" i="20"/>
  <c r="J18" i="20"/>
  <c r="B18" i="20"/>
  <c r="J74" i="20"/>
  <c r="B74" i="20"/>
  <c r="J55" i="20"/>
  <c r="B55" i="20"/>
  <c r="J36" i="20"/>
  <c r="B36" i="20"/>
  <c r="J17" i="20"/>
  <c r="B17" i="20"/>
  <c r="J73" i="20"/>
  <c r="B73" i="20"/>
  <c r="J54" i="20"/>
  <c r="B54" i="20"/>
  <c r="J35" i="20"/>
  <c r="B35" i="20"/>
  <c r="J16" i="20"/>
  <c r="B16" i="20"/>
  <c r="J72" i="20"/>
  <c r="B72" i="20"/>
  <c r="J53" i="20"/>
  <c r="B53" i="20"/>
  <c r="J34" i="20"/>
  <c r="B34" i="20"/>
  <c r="J15" i="20"/>
  <c r="B15" i="20"/>
  <c r="J71" i="20"/>
  <c r="B71" i="20"/>
  <c r="J52" i="20"/>
  <c r="B52" i="20"/>
  <c r="J33" i="20"/>
  <c r="B33" i="20"/>
  <c r="J14" i="20"/>
  <c r="B14" i="20"/>
  <c r="J70" i="20"/>
  <c r="B70" i="20"/>
  <c r="J51" i="20"/>
  <c r="B51" i="20"/>
  <c r="J32" i="20"/>
  <c r="B32" i="20"/>
  <c r="J13" i="20"/>
  <c r="B13" i="20"/>
  <c r="J69" i="20"/>
  <c r="B69" i="20"/>
  <c r="J50" i="20"/>
  <c r="B50" i="20"/>
  <c r="J31" i="20"/>
  <c r="B31" i="20"/>
  <c r="J12" i="20"/>
  <c r="B12" i="20"/>
  <c r="J68" i="20"/>
  <c r="B68" i="20"/>
  <c r="J49" i="20"/>
  <c r="B49" i="20"/>
  <c r="J30" i="20"/>
  <c r="B30" i="20"/>
  <c r="J11" i="20"/>
  <c r="B11" i="20"/>
  <c r="DB5" i="9"/>
  <c r="DB103" i="9" s="1"/>
  <c r="DB117" i="9" s="1"/>
  <c r="DB131" i="9" s="1"/>
  <c r="DB145" i="9" s="1"/>
  <c r="DB164" i="9" s="1"/>
  <c r="CT5" i="9"/>
  <c r="CT103" i="9" s="1"/>
  <c r="CT117" i="9" s="1"/>
  <c r="CT131" i="9" s="1"/>
  <c r="CT145" i="9" s="1"/>
  <c r="CT164" i="9" s="1"/>
  <c r="CL5" i="9"/>
  <c r="CL103" i="9" s="1"/>
  <c r="CL117" i="9" s="1"/>
  <c r="CL131" i="9" s="1"/>
  <c r="CL145" i="9" s="1"/>
  <c r="CL164" i="9" s="1"/>
  <c r="CD5" i="9"/>
  <c r="CD103" i="9" s="1"/>
  <c r="CD117" i="9" s="1"/>
  <c r="CD131" i="9" s="1"/>
  <c r="CD145" i="9" s="1"/>
  <c r="CD164" i="9" s="1"/>
  <c r="BV5" i="9"/>
  <c r="BV103" i="9" s="1"/>
  <c r="BV117" i="9" s="1"/>
  <c r="BV131" i="9" s="1"/>
  <c r="BV145" i="9" s="1"/>
  <c r="BV164" i="9" s="1"/>
  <c r="BN5" i="9"/>
  <c r="BN103" i="9" s="1"/>
  <c r="BN117" i="9" s="1"/>
  <c r="BN131" i="9" s="1"/>
  <c r="BN145" i="9" s="1"/>
  <c r="BN164" i="9" s="1"/>
  <c r="BF5" i="9"/>
  <c r="BF103" i="9" s="1"/>
  <c r="BF117" i="9" s="1"/>
  <c r="BF131" i="9" s="1"/>
  <c r="BF145" i="9" s="1"/>
  <c r="BF164" i="9" s="1"/>
  <c r="AX5" i="9"/>
  <c r="AX103" i="9" s="1"/>
  <c r="AX117" i="9" s="1"/>
  <c r="AX131" i="9" s="1"/>
  <c r="AX145" i="9" s="1"/>
  <c r="AX164" i="9" s="1"/>
  <c r="AP5" i="9"/>
  <c r="AP103" i="9" s="1"/>
  <c r="AP117" i="9" s="1"/>
  <c r="AP131" i="9" s="1"/>
  <c r="AP145" i="9" s="1"/>
  <c r="AP164" i="9" s="1"/>
  <c r="AH5" i="9"/>
  <c r="AH103" i="9" s="1"/>
  <c r="AH117" i="9" s="1"/>
  <c r="AH131" i="9" s="1"/>
  <c r="AH145" i="9" s="1"/>
  <c r="AH164" i="9" s="1"/>
  <c r="Z5" i="9"/>
  <c r="Z103" i="9" s="1"/>
  <c r="Z117" i="9" s="1"/>
  <c r="Z131" i="9" s="1"/>
  <c r="Z145" i="9" s="1"/>
  <c r="Z164" i="9" s="1"/>
  <c r="R5" i="9"/>
  <c r="R103" i="9" s="1"/>
  <c r="R117" i="9" s="1"/>
  <c r="R131" i="9" s="1"/>
  <c r="R145" i="9" s="1"/>
  <c r="R164" i="9" s="1"/>
  <c r="J5" i="9"/>
  <c r="J103" i="9" s="1"/>
  <c r="J117" i="9" s="1"/>
  <c r="J131" i="9" s="1"/>
  <c r="J145" i="9" s="1"/>
  <c r="J164" i="9" s="1"/>
  <c r="G36" i="7" l="1"/>
  <c r="G30" i="7"/>
  <c r="G33" i="7"/>
  <c r="G39" i="7"/>
  <c r="G37" i="7"/>
  <c r="G38" i="7"/>
  <c r="G34" i="7"/>
  <c r="G40" i="7"/>
  <c r="G31" i="7"/>
  <c r="N32" i="7"/>
  <c r="M32" i="7"/>
  <c r="N29" i="7"/>
  <c r="M29" i="7"/>
  <c r="N28" i="7"/>
  <c r="M28" i="7"/>
  <c r="H79" i="24"/>
  <c r="AH192" i="9"/>
  <c r="AH178" i="9"/>
  <c r="AH206" i="9"/>
  <c r="R192" i="9"/>
  <c r="R178" i="9"/>
  <c r="R206" i="9"/>
  <c r="Z178" i="9"/>
  <c r="Z192" i="9"/>
  <c r="Z206" i="9"/>
  <c r="J178" i="9"/>
  <c r="J192" i="9"/>
  <c r="J206" i="9"/>
  <c r="BN192" i="9"/>
  <c r="BN178" i="9"/>
  <c r="BN206" i="9"/>
  <c r="BV206" i="9"/>
  <c r="BV192" i="9"/>
  <c r="BV178" i="9"/>
  <c r="CD206" i="9"/>
  <c r="CD192" i="9"/>
  <c r="CD178" i="9"/>
  <c r="CL192" i="9"/>
  <c r="CL206" i="9"/>
  <c r="CL178" i="9"/>
  <c r="CT192" i="9"/>
  <c r="CT206" i="9"/>
  <c r="CT178" i="9"/>
  <c r="AP206" i="9"/>
  <c r="AP178" i="9"/>
  <c r="AP192" i="9"/>
  <c r="DB206" i="9"/>
  <c r="DB178" i="9"/>
  <c r="DB192" i="9"/>
  <c r="AX206" i="9"/>
  <c r="AX192" i="9"/>
  <c r="AX178" i="9"/>
  <c r="BF192" i="9"/>
  <c r="BF206" i="9"/>
  <c r="BF178" i="9"/>
  <c r="H59" i="24"/>
  <c r="H60" i="24" s="1" a="1"/>
  <c r="H60" i="24" s="1"/>
  <c r="H67" i="24" s="1"/>
  <c r="G32" i="7" l="1"/>
  <c r="E32" i="7" s="1"/>
  <c r="G28" i="7"/>
  <c r="G29" i="7"/>
  <c r="I79" i="24"/>
  <c r="B1" i="1"/>
  <c r="B1" i="28" s="1"/>
  <c r="B1" i="3"/>
  <c r="B1" i="21" l="1"/>
  <c r="B1" i="27"/>
  <c r="B1" i="26"/>
  <c r="B1" i="20"/>
  <c r="B1" i="11"/>
  <c r="B1" i="15"/>
  <c r="B1" i="4"/>
  <c r="B1" i="24"/>
  <c r="B1" i="5"/>
  <c r="B1" i="7"/>
  <c r="E18" i="11" l="1"/>
  <c r="C18" i="11"/>
  <c r="B5" i="21" l="1"/>
  <c r="B103" i="9" l="1"/>
  <c r="B117" i="9" s="1"/>
  <c r="B131" i="9" s="1"/>
  <c r="B145" i="9" s="1"/>
  <c r="B164" i="9" s="1"/>
  <c r="B206" i="9" l="1"/>
  <c r="B178" i="9"/>
  <c r="B192" i="9"/>
  <c r="CX128" i="9" l="1"/>
  <c r="AZ110" i="9"/>
  <c r="BX124" i="9"/>
  <c r="BP96" i="9"/>
  <c r="AS126" i="9"/>
  <c r="AY108" i="9"/>
  <c r="CM94" i="9"/>
  <c r="CE122" i="9"/>
  <c r="BW136" i="9"/>
  <c r="BJ128" i="9"/>
  <c r="AI136" i="9"/>
  <c r="CP142" i="9"/>
  <c r="CH128" i="9"/>
  <c r="AS140" i="9"/>
  <c r="AT142" i="9"/>
  <c r="CW140" i="9"/>
  <c r="AL100" i="9"/>
  <c r="CO98" i="9"/>
  <c r="CG98" i="9"/>
  <c r="DF128" i="9"/>
  <c r="AD142" i="9"/>
  <c r="K94" i="9"/>
  <c r="S122" i="9"/>
  <c r="AD100" i="9"/>
  <c r="AB138" i="9"/>
  <c r="AA122" i="9"/>
  <c r="E140" i="9"/>
  <c r="F114" i="9"/>
  <c r="BA98" i="9"/>
  <c r="BI126" i="9"/>
  <c r="AK140" i="9"/>
  <c r="DF100" i="9"/>
  <c r="D138" i="9"/>
  <c r="K136" i="9"/>
  <c r="U98" i="9"/>
  <c r="AB110" i="9"/>
  <c r="T110" i="9"/>
  <c r="AB96" i="9"/>
  <c r="DC136" i="9"/>
  <c r="T138" i="9"/>
  <c r="T96" i="9"/>
  <c r="AC112" i="9"/>
  <c r="U112" i="9"/>
  <c r="M98" i="9"/>
  <c r="L124" i="9"/>
  <c r="K122" i="9"/>
  <c r="CX100" i="9"/>
  <c r="AZ96" i="9"/>
  <c r="BX110" i="9"/>
  <c r="AJ138" i="9"/>
  <c r="AK98" i="9"/>
  <c r="BI98" i="9"/>
  <c r="BG136" i="9"/>
  <c r="CE108" i="9"/>
  <c r="BW122" i="9"/>
  <c r="CU108" i="9"/>
  <c r="AI122" i="9"/>
  <c r="CP128" i="9"/>
  <c r="CH114" i="9"/>
  <c r="BH96" i="9"/>
  <c r="AT128" i="9"/>
  <c r="CW112" i="9"/>
  <c r="U140" i="9"/>
  <c r="AB124" i="9"/>
  <c r="D110" i="9"/>
  <c r="N100" i="9"/>
  <c r="N114" i="9"/>
  <c r="D124" i="9"/>
  <c r="U126" i="9"/>
  <c r="C108" i="9"/>
  <c r="CF138" i="9"/>
  <c r="BJ142" i="9"/>
  <c r="BX96" i="9"/>
  <c r="AJ124" i="9"/>
  <c r="CW126" i="9"/>
  <c r="CU136" i="9"/>
  <c r="AY122" i="9"/>
  <c r="CE94" i="9"/>
  <c r="BW108" i="9"/>
  <c r="CU122" i="9"/>
  <c r="AI108" i="9"/>
  <c r="CP114" i="9"/>
  <c r="CH100" i="9"/>
  <c r="DE140" i="9"/>
  <c r="AT114" i="9"/>
  <c r="BR142" i="9"/>
  <c r="BQ140" i="9"/>
  <c r="BQ126" i="9"/>
  <c r="CN138" i="9"/>
  <c r="N128" i="9"/>
  <c r="V100" i="9"/>
  <c r="K108" i="9"/>
  <c r="AA108" i="9"/>
  <c r="F128" i="9"/>
  <c r="E112" i="9"/>
  <c r="CF124" i="9"/>
  <c r="AS98" i="9"/>
  <c r="AR138" i="9"/>
  <c r="AJ96" i="9"/>
  <c r="CW98" i="9"/>
  <c r="DD124" i="9"/>
  <c r="BA140" i="9"/>
  <c r="AY136" i="9"/>
  <c r="BW94" i="9"/>
  <c r="CU94" i="9"/>
  <c r="AI94" i="9"/>
  <c r="CP100" i="9"/>
  <c r="BB142" i="9"/>
  <c r="DE112" i="9"/>
  <c r="AT100" i="9"/>
  <c r="BR128" i="9"/>
  <c r="DD138" i="9"/>
  <c r="CV138" i="9"/>
  <c r="DC108" i="9"/>
  <c r="CN124" i="9"/>
  <c r="AD128" i="9"/>
  <c r="M112" i="9"/>
  <c r="S94" i="9"/>
  <c r="L138" i="9"/>
  <c r="CF110" i="9"/>
  <c r="AK112" i="9"/>
  <c r="AR124" i="9"/>
  <c r="BG122" i="9"/>
  <c r="BP138" i="9"/>
  <c r="DD96" i="9"/>
  <c r="BH124" i="9"/>
  <c r="BA112" i="9"/>
  <c r="AQ136" i="9"/>
  <c r="BO136" i="9"/>
  <c r="BA126" i="9"/>
  <c r="BJ100" i="9"/>
  <c r="BB128" i="9"/>
  <c r="BZ142" i="9"/>
  <c r="AL114" i="9"/>
  <c r="BR114" i="9"/>
  <c r="DD110" i="9"/>
  <c r="CV110" i="9"/>
  <c r="BY140" i="9"/>
  <c r="CN110" i="9"/>
  <c r="N142" i="9"/>
  <c r="CF96" i="9"/>
  <c r="DE126" i="9"/>
  <c r="AR110" i="9"/>
  <c r="BG94" i="9"/>
  <c r="BP110" i="9"/>
  <c r="CM136" i="9"/>
  <c r="CV124" i="9"/>
  <c r="BQ98" i="9"/>
  <c r="AQ122" i="9"/>
  <c r="BO122" i="9"/>
  <c r="BQ112" i="9"/>
  <c r="CX142" i="9"/>
  <c r="BB114" i="9"/>
  <c r="BZ128" i="9"/>
  <c r="BI112" i="9"/>
  <c r="BR100" i="9"/>
  <c r="CO140" i="9"/>
  <c r="CG140" i="9"/>
  <c r="BY126" i="9"/>
  <c r="CN96" i="9"/>
  <c r="T124" i="9"/>
  <c r="V142" i="9"/>
  <c r="C94" i="9"/>
  <c r="E126" i="9"/>
  <c r="AC140" i="9"/>
  <c r="AZ138" i="9"/>
  <c r="DE98" i="9"/>
  <c r="AR96" i="9"/>
  <c r="AY94" i="9"/>
  <c r="AJ110" i="9"/>
  <c r="CM122" i="9"/>
  <c r="CV96" i="9"/>
  <c r="DC122" i="9"/>
  <c r="AQ108" i="9"/>
  <c r="BO108" i="9"/>
  <c r="DF142" i="9"/>
  <c r="CX114" i="9"/>
  <c r="BB100" i="9"/>
  <c r="BZ114" i="9"/>
  <c r="AS112" i="9"/>
  <c r="AL142" i="9"/>
  <c r="CO126" i="9"/>
  <c r="CG126" i="9"/>
  <c r="BY112" i="9"/>
  <c r="BH138" i="9"/>
  <c r="AC98" i="9"/>
  <c r="S136" i="9"/>
  <c r="V114" i="9"/>
  <c r="F100" i="9"/>
  <c r="AA136" i="9"/>
  <c r="C122" i="9"/>
  <c r="L110" i="9"/>
  <c r="M140" i="9"/>
  <c r="M126" i="9"/>
  <c r="AZ124" i="9"/>
  <c r="BX138" i="9"/>
  <c r="BP124" i="9"/>
  <c r="BJ114" i="9"/>
  <c r="BG108" i="9"/>
  <c r="CM108" i="9"/>
  <c r="CE136" i="9"/>
  <c r="DC94" i="9"/>
  <c r="AQ94" i="9"/>
  <c r="BO94" i="9"/>
  <c r="DF114" i="9"/>
  <c r="CH142" i="9"/>
  <c r="BI140" i="9"/>
  <c r="BZ100" i="9"/>
  <c r="AK126" i="9"/>
  <c r="AL128" i="9"/>
  <c r="CO112" i="9"/>
  <c r="CG112" i="9"/>
  <c r="BY98" i="9"/>
  <c r="BH110" i="9"/>
  <c r="AA94" i="9"/>
  <c r="V128" i="9"/>
  <c r="S108" i="9"/>
  <c r="E98" i="9"/>
  <c r="AC126" i="9"/>
  <c r="D96" i="9"/>
  <c r="F142" i="9"/>
  <c r="C136" i="9"/>
  <c r="L96" i="9"/>
  <c r="AD114" i="9"/>
  <c r="E81" i="24"/>
  <c r="F81" i="24" l="1"/>
  <c r="G81" i="24" s="1"/>
  <c r="E82" i="24"/>
  <c r="H81" i="24" l="1"/>
  <c r="I81" i="24" s="1"/>
  <c r="F82" i="24"/>
  <c r="G82" i="24" s="1"/>
  <c r="E83" i="24"/>
  <c r="E84" i="24" l="1"/>
  <c r="H82" i="24"/>
  <c r="I82" i="24" s="1"/>
  <c r="J81" i="24"/>
  <c r="F83" i="24"/>
  <c r="G83" i="24" s="1"/>
  <c r="H83" i="24" l="1"/>
  <c r="I83" i="24" s="1"/>
  <c r="E85" i="24"/>
  <c r="E89" i="24" s="1"/>
  <c r="D9" i="11" s="1"/>
  <c r="AI7" i="9" s="1"/>
  <c r="F84" i="24"/>
  <c r="G84" i="24" s="1"/>
  <c r="J82" i="24"/>
  <c r="K18" i="9"/>
  <c r="K12" i="9"/>
  <c r="K15" i="9"/>
  <c r="J83" i="24" l="1"/>
  <c r="H84" i="24"/>
  <c r="I84" i="24" s="1"/>
  <c r="DC7" i="9"/>
  <c r="DC8" i="9" s="1"/>
  <c r="DC11" i="9" s="1"/>
  <c r="DC14" i="9" s="1"/>
  <c r="DC17" i="9" s="1"/>
  <c r="AA7" i="29"/>
  <c r="S7" i="29"/>
  <c r="AI7" i="29"/>
  <c r="AQ7" i="9"/>
  <c r="AQ8" i="9" s="1"/>
  <c r="AQ11" i="9" s="1"/>
  <c r="AQ14" i="9" s="1"/>
  <c r="AQ17" i="9" s="1"/>
  <c r="AQ20" i="9" s="1"/>
  <c r="CE7" i="29"/>
  <c r="BO7" i="29"/>
  <c r="CE7" i="9"/>
  <c r="CE8" i="9" s="1"/>
  <c r="CE11" i="9" s="1"/>
  <c r="CE14" i="9" s="1"/>
  <c r="CE17" i="9" s="1"/>
  <c r="CM7" i="9"/>
  <c r="CM8" i="9" s="1"/>
  <c r="CM11" i="9" s="1"/>
  <c r="CM14" i="9" s="1"/>
  <c r="CM17" i="9" s="1"/>
  <c r="CM20" i="9" s="1"/>
  <c r="CU7" i="9"/>
  <c r="CU8" i="9" s="1"/>
  <c r="CU11" i="9" s="1"/>
  <c r="CU14" i="9" s="1"/>
  <c r="CU17" i="9" s="1"/>
  <c r="AY7" i="9"/>
  <c r="AY8" i="9" s="1"/>
  <c r="AY11" i="9" s="1"/>
  <c r="AY14" i="9" s="1"/>
  <c r="AY17" i="9" s="1"/>
  <c r="AY20" i="9" s="1"/>
  <c r="AA7" i="9"/>
  <c r="AA8" i="9" s="1"/>
  <c r="AA11" i="9" s="1"/>
  <c r="AA14" i="9" s="1"/>
  <c r="AA17" i="9" s="1"/>
  <c r="AA20" i="9" s="1"/>
  <c r="K7" i="9"/>
  <c r="AY7" i="29"/>
  <c r="BO7" i="9"/>
  <c r="BO8" i="9" s="1"/>
  <c r="BO11" i="9" s="1"/>
  <c r="BO14" i="9" s="1"/>
  <c r="BO17" i="9" s="1"/>
  <c r="BW7" i="29"/>
  <c r="BG7" i="9"/>
  <c r="BG8" i="9" s="1"/>
  <c r="BG11" i="9" s="1"/>
  <c r="BG14" i="9" s="1"/>
  <c r="BG17" i="9" s="1"/>
  <c r="K7" i="29"/>
  <c r="AQ7" i="29"/>
  <c r="S7" i="9"/>
  <c r="S8" i="9" s="1"/>
  <c r="S11" i="9" s="1"/>
  <c r="S14" i="9" s="1"/>
  <c r="S17" i="9" s="1"/>
  <c r="BG7" i="29"/>
  <c r="BW7" i="9"/>
  <c r="BW8" i="9" s="1"/>
  <c r="BW11" i="9" s="1"/>
  <c r="BW14" i="9" s="1"/>
  <c r="BW17" i="9" s="1"/>
  <c r="CU7" i="29"/>
  <c r="C7" i="29"/>
  <c r="CM7" i="29"/>
  <c r="DC7" i="29"/>
  <c r="F85" i="24"/>
  <c r="G85" i="24" s="1"/>
  <c r="H85" i="24" l="1"/>
  <c r="I85" i="24" s="1"/>
  <c r="J84" i="24"/>
  <c r="DC20" i="9"/>
  <c r="CU20" i="9"/>
  <c r="BO20" i="9"/>
  <c r="BG20" i="9"/>
  <c r="CE20" i="9"/>
  <c r="S20" i="9"/>
  <c r="AY27" i="29"/>
  <c r="AY19" i="29"/>
  <c r="AY15" i="29"/>
  <c r="AY23" i="29"/>
  <c r="CE23" i="29"/>
  <c r="CE27" i="29"/>
  <c r="CE19" i="29"/>
  <c r="CE15" i="29"/>
  <c r="BG15" i="29"/>
  <c r="BG19" i="29"/>
  <c r="BG23" i="29"/>
  <c r="BG27" i="29"/>
  <c r="G89" i="24"/>
  <c r="AQ27" i="29"/>
  <c r="AQ19" i="29"/>
  <c r="AQ23" i="29"/>
  <c r="AQ15" i="29"/>
  <c r="AI27" i="29"/>
  <c r="AI23" i="29"/>
  <c r="AI44" i="29" s="1"/>
  <c r="AI15" i="29"/>
  <c r="AI36" i="29" s="1"/>
  <c r="AI19" i="29"/>
  <c r="AI40" i="29" s="1"/>
  <c r="DC27" i="29"/>
  <c r="DC19" i="29"/>
  <c r="DC15" i="29"/>
  <c r="DC23" i="29"/>
  <c r="K15" i="29"/>
  <c r="K23" i="29"/>
  <c r="K19" i="29"/>
  <c r="K27" i="29"/>
  <c r="S15" i="29"/>
  <c r="S23" i="29"/>
  <c r="S19" i="29"/>
  <c r="S27" i="29"/>
  <c r="CM15" i="29"/>
  <c r="CM23" i="29"/>
  <c r="CM19" i="29"/>
  <c r="CM27" i="29"/>
  <c r="F89" i="24"/>
  <c r="E9" i="11" s="1"/>
  <c r="BW20" i="9"/>
  <c r="C19" i="29"/>
  <c r="C23" i="29"/>
  <c r="C15" i="29"/>
  <c r="C27" i="29"/>
  <c r="BW23" i="29"/>
  <c r="BW19" i="29"/>
  <c r="BW15" i="29"/>
  <c r="BW27" i="29"/>
  <c r="AA19" i="29"/>
  <c r="AA23" i="29"/>
  <c r="AA27" i="29"/>
  <c r="AA15" i="29"/>
  <c r="CU27" i="29"/>
  <c r="CU15" i="29"/>
  <c r="CU23" i="29"/>
  <c r="CU19" i="29"/>
  <c r="BO15" i="29"/>
  <c r="BO27" i="29"/>
  <c r="BO19" i="29"/>
  <c r="BO23" i="29"/>
  <c r="AJ9" i="9"/>
  <c r="AJ12" i="9"/>
  <c r="AJ15" i="9"/>
  <c r="L15" i="9"/>
  <c r="L12" i="9"/>
  <c r="J85" i="24" l="1"/>
  <c r="H89" i="24"/>
  <c r="G9" i="11" s="1"/>
  <c r="AL7" i="29" s="1"/>
  <c r="CE36" i="29"/>
  <c r="CE57" i="29"/>
  <c r="CU44" i="29"/>
  <c r="CU65" i="29"/>
  <c r="BW36" i="29"/>
  <c r="BW57" i="29"/>
  <c r="AZ7" i="29"/>
  <c r="AB7" i="29"/>
  <c r="BX7" i="9"/>
  <c r="BX8" i="9" s="1"/>
  <c r="BX11" i="9" s="1"/>
  <c r="BX14" i="9" s="1"/>
  <c r="K67" i="3"/>
  <c r="CF7" i="29"/>
  <c r="BX7" i="29"/>
  <c r="T7" i="9"/>
  <c r="T8" i="9" s="1"/>
  <c r="T11" i="9" s="1"/>
  <c r="T14" i="9" s="1"/>
  <c r="K47" i="3"/>
  <c r="K48" i="3"/>
  <c r="CN7" i="29"/>
  <c r="T7" i="29"/>
  <c r="L7" i="29"/>
  <c r="AR7" i="9"/>
  <c r="AR8" i="9" s="1"/>
  <c r="AR11" i="9" s="1"/>
  <c r="AR14" i="9" s="1"/>
  <c r="K46" i="3"/>
  <c r="D7" i="29"/>
  <c r="CV7" i="29"/>
  <c r="CV7" i="9"/>
  <c r="CV8" i="9" s="1"/>
  <c r="CV11" i="9" s="1"/>
  <c r="CV14" i="9" s="1"/>
  <c r="K49" i="3"/>
  <c r="K88" i="3"/>
  <c r="K68" i="3"/>
  <c r="AB7" i="9"/>
  <c r="AB8" i="9" s="1"/>
  <c r="AB11" i="9" s="1"/>
  <c r="AB14" i="9" s="1"/>
  <c r="DD7" i="29"/>
  <c r="AJ7" i="29"/>
  <c r="BH7" i="9"/>
  <c r="BH8" i="9" s="1"/>
  <c r="BH11" i="9" s="1"/>
  <c r="BH14" i="9" s="1"/>
  <c r="AR7" i="29"/>
  <c r="CF7" i="9"/>
  <c r="CF8" i="9" s="1"/>
  <c r="CF11" i="9" s="1"/>
  <c r="CF14" i="9" s="1"/>
  <c r="K86" i="3"/>
  <c r="AZ7" i="9"/>
  <c r="AZ8" i="9" s="1"/>
  <c r="AZ11" i="9" s="1"/>
  <c r="AZ14" i="9" s="1"/>
  <c r="AZ20" i="9" s="1"/>
  <c r="K66" i="3"/>
  <c r="BP7" i="29"/>
  <c r="CN7" i="9"/>
  <c r="CN8" i="9" s="1"/>
  <c r="CN11" i="9" s="1"/>
  <c r="CN14" i="9" s="1"/>
  <c r="DD7" i="9"/>
  <c r="DD8" i="9" s="1"/>
  <c r="DD11" i="9" s="1"/>
  <c r="DD14" i="9" s="1"/>
  <c r="K87" i="3"/>
  <c r="BH7" i="29"/>
  <c r="BP7" i="9"/>
  <c r="BP8" i="9" s="1"/>
  <c r="BP11" i="9" s="1"/>
  <c r="BP14" i="9" s="1"/>
  <c r="S57" i="29"/>
  <c r="S36" i="29"/>
  <c r="DC48" i="29"/>
  <c r="DC69" i="29"/>
  <c r="AQ48" i="29"/>
  <c r="AQ69" i="29"/>
  <c r="CE40" i="29"/>
  <c r="CE61" i="29"/>
  <c r="CU36" i="29"/>
  <c r="CU57" i="29"/>
  <c r="BW40" i="29"/>
  <c r="BW61" i="29"/>
  <c r="CM48" i="29"/>
  <c r="CM69" i="29"/>
  <c r="K48" i="29"/>
  <c r="K69" i="29"/>
  <c r="AI61" i="29"/>
  <c r="CE69" i="29"/>
  <c r="CE48" i="29"/>
  <c r="DC40" i="29"/>
  <c r="DC61" i="29"/>
  <c r="CU69" i="29"/>
  <c r="CU48" i="29"/>
  <c r="BW65" i="29"/>
  <c r="BW44" i="29"/>
  <c r="CM40" i="29"/>
  <c r="CM61" i="29"/>
  <c r="K40" i="29"/>
  <c r="K61" i="29"/>
  <c r="AI57" i="29"/>
  <c r="BG69" i="29"/>
  <c r="BG48" i="29"/>
  <c r="CE44" i="29"/>
  <c r="CE65" i="29"/>
  <c r="CU40" i="29"/>
  <c r="CU61" i="29"/>
  <c r="BW48" i="29"/>
  <c r="BW69" i="29"/>
  <c r="S44" i="29"/>
  <c r="S65" i="29"/>
  <c r="AQ40" i="29"/>
  <c r="AQ61" i="29"/>
  <c r="BO44" i="29"/>
  <c r="BO65" i="29"/>
  <c r="AA36" i="29"/>
  <c r="AA57" i="29"/>
  <c r="C48" i="29"/>
  <c r="C69" i="29"/>
  <c r="CM65" i="29"/>
  <c r="CM44" i="29"/>
  <c r="K65" i="29"/>
  <c r="K44" i="29"/>
  <c r="AI65" i="29"/>
  <c r="BG44" i="29"/>
  <c r="BG65" i="29"/>
  <c r="AY65" i="29"/>
  <c r="AY44" i="29"/>
  <c r="BO40" i="29"/>
  <c r="BO61" i="29"/>
  <c r="AA69" i="29"/>
  <c r="AA48" i="29"/>
  <c r="C36" i="29"/>
  <c r="C57" i="29"/>
  <c r="CM57" i="29"/>
  <c r="CM36" i="29"/>
  <c r="K36" i="29"/>
  <c r="K57" i="29"/>
  <c r="AI48" i="29"/>
  <c r="AI69" i="29"/>
  <c r="BG40" i="29"/>
  <c r="BG61" i="29"/>
  <c r="AY36" i="29"/>
  <c r="AY57" i="29"/>
  <c r="BO69" i="29"/>
  <c r="BO48" i="29"/>
  <c r="AA44" i="29"/>
  <c r="AA65" i="29"/>
  <c r="C44" i="29"/>
  <c r="C65" i="29"/>
  <c r="S69" i="29"/>
  <c r="S48" i="29"/>
  <c r="DC65" i="29"/>
  <c r="DC44" i="29"/>
  <c r="AQ57" i="29"/>
  <c r="AQ36" i="29"/>
  <c r="BG36" i="29"/>
  <c r="BG57" i="29"/>
  <c r="AY40" i="29"/>
  <c r="AY61" i="29"/>
  <c r="BO36" i="29"/>
  <c r="BO57" i="29"/>
  <c r="AA40" i="29"/>
  <c r="AA61" i="29"/>
  <c r="C61" i="29"/>
  <c r="C40" i="29"/>
  <c r="S61" i="29"/>
  <c r="S40" i="29"/>
  <c r="DC57" i="29"/>
  <c r="DC36" i="29"/>
  <c r="AQ65" i="29"/>
  <c r="AQ44" i="29"/>
  <c r="AY69" i="29"/>
  <c r="AY48" i="29"/>
  <c r="J87" i="3"/>
  <c r="J68" i="3"/>
  <c r="C7" i="9"/>
  <c r="J46" i="3"/>
  <c r="J47" i="3"/>
  <c r="J48" i="3"/>
  <c r="J88" i="3"/>
  <c r="J67" i="3"/>
  <c r="J66" i="3"/>
  <c r="J86" i="3"/>
  <c r="J49" i="3"/>
  <c r="AD7" i="29" l="1"/>
  <c r="AD15" i="29" s="1"/>
  <c r="M47" i="3"/>
  <c r="M49" i="3"/>
  <c r="CX7" i="29"/>
  <c r="CX27" i="29" s="1"/>
  <c r="M66" i="3"/>
  <c r="AT7" i="29"/>
  <c r="AT27" i="29" s="1"/>
  <c r="N7" i="29"/>
  <c r="N23" i="29" s="1"/>
  <c r="BZ7" i="29"/>
  <c r="BZ27" i="29" s="1"/>
  <c r="M68" i="3"/>
  <c r="DF7" i="29"/>
  <c r="DF23" i="29" s="1"/>
  <c r="M67" i="3"/>
  <c r="F7" i="29"/>
  <c r="F15" i="29" s="1"/>
  <c r="M87" i="3"/>
  <c r="BR7" i="29"/>
  <c r="BR15" i="29" s="1"/>
  <c r="M46" i="3"/>
  <c r="V7" i="29"/>
  <c r="V23" i="29" s="1"/>
  <c r="M86" i="3"/>
  <c r="CH7" i="29"/>
  <c r="CH19" i="29" s="1"/>
  <c r="M88" i="3"/>
  <c r="BB7" i="29"/>
  <c r="BB19" i="29" s="1"/>
  <c r="BJ7" i="29"/>
  <c r="BJ23" i="29" s="1"/>
  <c r="M48" i="3"/>
  <c r="CP7" i="29"/>
  <c r="CP27" i="29" s="1"/>
  <c r="BX20" i="9"/>
  <c r="AB20" i="9"/>
  <c r="AR20" i="9"/>
  <c r="BP20" i="9"/>
  <c r="BH20" i="9"/>
  <c r="CV20" i="9"/>
  <c r="DD20" i="9"/>
  <c r="T20" i="9"/>
  <c r="CN20" i="9"/>
  <c r="CF20" i="9"/>
  <c r="AB23" i="29"/>
  <c r="AB19" i="29"/>
  <c r="AB15" i="29"/>
  <c r="AB27" i="29"/>
  <c r="AR23" i="29"/>
  <c r="AR27" i="29"/>
  <c r="AR19" i="29"/>
  <c r="AR15" i="29"/>
  <c r="AZ19" i="29"/>
  <c r="AZ27" i="29"/>
  <c r="AZ23" i="29"/>
  <c r="AZ15" i="29"/>
  <c r="BH23" i="29"/>
  <c r="BH15" i="29"/>
  <c r="BH19" i="29"/>
  <c r="BH27" i="29"/>
  <c r="CN15" i="29"/>
  <c r="CN27" i="29"/>
  <c r="CN23" i="29"/>
  <c r="CN19" i="29"/>
  <c r="CV15" i="29"/>
  <c r="CV27" i="29"/>
  <c r="CV19" i="29"/>
  <c r="CV23" i="29"/>
  <c r="AJ15" i="29"/>
  <c r="AJ36" i="29" s="1"/>
  <c r="AJ27" i="29"/>
  <c r="AJ23" i="29"/>
  <c r="AJ44" i="29" s="1"/>
  <c r="AJ19" i="29"/>
  <c r="AJ40" i="29" s="1"/>
  <c r="D23" i="29"/>
  <c r="D19" i="29"/>
  <c r="D40" i="29" s="1"/>
  <c r="D27" i="29"/>
  <c r="D15" i="29"/>
  <c r="BP27" i="29"/>
  <c r="BP23" i="29"/>
  <c r="BP15" i="29"/>
  <c r="BP19" i="29"/>
  <c r="DD19" i="29"/>
  <c r="DD27" i="29"/>
  <c r="DD15" i="29"/>
  <c r="DD23" i="29"/>
  <c r="BX15" i="29"/>
  <c r="BX27" i="29"/>
  <c r="BX23" i="29"/>
  <c r="BX19" i="29"/>
  <c r="CF19" i="29"/>
  <c r="CF23" i="29"/>
  <c r="CF27" i="29"/>
  <c r="CF15" i="29"/>
  <c r="L15" i="29"/>
  <c r="L19" i="29"/>
  <c r="L23" i="29"/>
  <c r="L27" i="29"/>
  <c r="T27" i="29"/>
  <c r="T19" i="29"/>
  <c r="T15" i="29"/>
  <c r="T23" i="29"/>
  <c r="AL23" i="29"/>
  <c r="AL27" i="29"/>
  <c r="AL15" i="29"/>
  <c r="AL19" i="29"/>
  <c r="BO58" i="9"/>
  <c r="BO68" i="9" s="1"/>
  <c r="BO73" i="9"/>
  <c r="BO83" i="9" s="1"/>
  <c r="BO43" i="9"/>
  <c r="BO53" i="9" s="1"/>
  <c r="BO28" i="9"/>
  <c r="BO38" i="9" s="1"/>
  <c r="CE73" i="9"/>
  <c r="CE83" i="9" s="1"/>
  <c r="CE28" i="9"/>
  <c r="CE38" i="9" s="1"/>
  <c r="CE43" i="9"/>
  <c r="CE53" i="9" s="1"/>
  <c r="CE58" i="9"/>
  <c r="CE68" i="9" s="1"/>
  <c r="K58" i="9"/>
  <c r="K68" i="9" s="1"/>
  <c r="K28" i="9"/>
  <c r="K38" i="9" s="1"/>
  <c r="K43" i="9"/>
  <c r="K53" i="9" s="1"/>
  <c r="K73" i="9"/>
  <c r="K83" i="9" s="1"/>
  <c r="AY28" i="9"/>
  <c r="AY38" i="9" s="1"/>
  <c r="AY58" i="9"/>
  <c r="AY68" i="9" s="1"/>
  <c r="AY73" i="9"/>
  <c r="AY83" i="9" s="1"/>
  <c r="AY43" i="9"/>
  <c r="AY53" i="9" s="1"/>
  <c r="BG43" i="9"/>
  <c r="BG53" i="9" s="1"/>
  <c r="BG58" i="9"/>
  <c r="BG68" i="9" s="1"/>
  <c r="BG73" i="9"/>
  <c r="BG83" i="9" s="1"/>
  <c r="BG28" i="9"/>
  <c r="BG38" i="9" s="1"/>
  <c r="AA28" i="9"/>
  <c r="AA38" i="9" s="1"/>
  <c r="AA43" i="9"/>
  <c r="AA53" i="9" s="1"/>
  <c r="AA73" i="9"/>
  <c r="AA83" i="9" s="1"/>
  <c r="AA58" i="9"/>
  <c r="AA68" i="9" s="1"/>
  <c r="DC43" i="9"/>
  <c r="DC53" i="9" s="1"/>
  <c r="DC73" i="9"/>
  <c r="DC83" i="9" s="1"/>
  <c r="DC58" i="9"/>
  <c r="DC68" i="9" s="1"/>
  <c r="DC28" i="9"/>
  <c r="DC38" i="9" s="1"/>
  <c r="CU73" i="9"/>
  <c r="CU83" i="9" s="1"/>
  <c r="CU28" i="9"/>
  <c r="CU38" i="9" s="1"/>
  <c r="CU43" i="9"/>
  <c r="CU53" i="9" s="1"/>
  <c r="CU58" i="9"/>
  <c r="CU68" i="9" s="1"/>
  <c r="S28" i="9"/>
  <c r="S38" i="9" s="1"/>
  <c r="S58" i="9"/>
  <c r="S68" i="9" s="1"/>
  <c r="S73" i="9"/>
  <c r="S83" i="9" s="1"/>
  <c r="S43" i="9"/>
  <c r="S53" i="9" s="1"/>
  <c r="BW28" i="9"/>
  <c r="BW38" i="9" s="1"/>
  <c r="BW43" i="9"/>
  <c r="BW53" i="9" s="1"/>
  <c r="BW58" i="9"/>
  <c r="BW68" i="9" s="1"/>
  <c r="BW73" i="9"/>
  <c r="BW83" i="9" s="1"/>
  <c r="AQ58" i="9"/>
  <c r="AQ68" i="9" s="1"/>
  <c r="AQ43" i="9"/>
  <c r="AQ53" i="9" s="1"/>
  <c r="AQ73" i="9"/>
  <c r="AQ83" i="9" s="1"/>
  <c r="AQ28" i="9"/>
  <c r="AQ38" i="9" s="1"/>
  <c r="AI28" i="9"/>
  <c r="AI38" i="9" s="1"/>
  <c r="AI73" i="9"/>
  <c r="AI83" i="9" s="1"/>
  <c r="AI43" i="9"/>
  <c r="AI53" i="9" s="1"/>
  <c r="AI58" i="9"/>
  <c r="AI68" i="9" s="1"/>
  <c r="CM73" i="9"/>
  <c r="CM83" i="9" s="1"/>
  <c r="CM28" i="9"/>
  <c r="CM38" i="9" s="1"/>
  <c r="CM58" i="9"/>
  <c r="CM68" i="9" s="1"/>
  <c r="CM43" i="9"/>
  <c r="CM53" i="9" s="1"/>
  <c r="F9" i="11"/>
  <c r="M82" i="3"/>
  <c r="AD23" i="29" l="1"/>
  <c r="DF27" i="29"/>
  <c r="AD19" i="29"/>
  <c r="AD27" i="29"/>
  <c r="CX23" i="29"/>
  <c r="CX19" i="29"/>
  <c r="CX15" i="29"/>
  <c r="DF19" i="29"/>
  <c r="DF15" i="29"/>
  <c r="AT23" i="29"/>
  <c r="AT15" i="29"/>
  <c r="AT19" i="29"/>
  <c r="BZ15" i="29"/>
  <c r="N19" i="29"/>
  <c r="N27" i="29"/>
  <c r="N15" i="29"/>
  <c r="BZ19" i="29"/>
  <c r="BZ23" i="29"/>
  <c r="F19" i="29"/>
  <c r="BR23" i="29"/>
  <c r="BR19" i="29"/>
  <c r="BR27" i="29"/>
  <c r="CP19" i="29"/>
  <c r="CP23" i="29"/>
  <c r="F27" i="29"/>
  <c r="CP15" i="29"/>
  <c r="F23" i="29"/>
  <c r="V15" i="29"/>
  <c r="CH23" i="29"/>
  <c r="CH27" i="29"/>
  <c r="CH15" i="29"/>
  <c r="V27" i="29"/>
  <c r="V19" i="29"/>
  <c r="BB23" i="29"/>
  <c r="BJ19" i="29"/>
  <c r="BB27" i="29"/>
  <c r="BB15" i="29"/>
  <c r="BJ15" i="29"/>
  <c r="BJ27" i="29"/>
  <c r="AR36" i="29"/>
  <c r="AR57" i="29"/>
  <c r="T57" i="29"/>
  <c r="T36" i="29"/>
  <c r="CF48" i="29"/>
  <c r="CF69" i="29"/>
  <c r="DD57" i="29"/>
  <c r="DD36" i="29"/>
  <c r="D69" i="29"/>
  <c r="D48" i="29"/>
  <c r="CV61" i="29"/>
  <c r="CV40" i="29"/>
  <c r="BH61" i="29"/>
  <c r="BH40" i="29"/>
  <c r="AR40" i="29"/>
  <c r="AR61" i="29"/>
  <c r="D57" i="29"/>
  <c r="D36" i="29"/>
  <c r="T40" i="29"/>
  <c r="T61" i="29"/>
  <c r="CF44" i="29"/>
  <c r="CF65" i="29"/>
  <c r="DD69" i="29"/>
  <c r="DD48" i="29"/>
  <c r="D61" i="29"/>
  <c r="CV48" i="29"/>
  <c r="CV69" i="29"/>
  <c r="BH36" i="29"/>
  <c r="BH57" i="29"/>
  <c r="AR48" i="29"/>
  <c r="AR69" i="29"/>
  <c r="T44" i="29"/>
  <c r="T65" i="29"/>
  <c r="CF36" i="29"/>
  <c r="CF57" i="29"/>
  <c r="BH48" i="29"/>
  <c r="BH69" i="29"/>
  <c r="T48" i="29"/>
  <c r="T69" i="29"/>
  <c r="CF40" i="29"/>
  <c r="CF61" i="29"/>
  <c r="DD40" i="29"/>
  <c r="DD61" i="29"/>
  <c r="D44" i="29"/>
  <c r="D65" i="29"/>
  <c r="CV36" i="29"/>
  <c r="CV57" i="29"/>
  <c r="BH44" i="29"/>
  <c r="BH65" i="29"/>
  <c r="AR44" i="29"/>
  <c r="AR65" i="29"/>
  <c r="CV44" i="29"/>
  <c r="CV65" i="29"/>
  <c r="L48" i="29"/>
  <c r="L69" i="29"/>
  <c r="BX61" i="29"/>
  <c r="BX40" i="29"/>
  <c r="BP61" i="29"/>
  <c r="BP40" i="29"/>
  <c r="AJ61" i="29"/>
  <c r="CN61" i="29"/>
  <c r="CN40" i="29"/>
  <c r="AZ57" i="29"/>
  <c r="AZ36" i="29"/>
  <c r="AB48" i="29"/>
  <c r="AB69" i="29"/>
  <c r="DD65" i="29"/>
  <c r="DD44" i="29"/>
  <c r="L44" i="29"/>
  <c r="L65" i="29"/>
  <c r="BX65" i="29"/>
  <c r="BX44" i="29"/>
  <c r="BP36" i="29"/>
  <c r="BP57" i="29"/>
  <c r="AJ65" i="29"/>
  <c r="CN65" i="29"/>
  <c r="CN44" i="29"/>
  <c r="AZ65" i="29"/>
  <c r="AZ44" i="29"/>
  <c r="AB36" i="29"/>
  <c r="AB57" i="29"/>
  <c r="L61" i="29"/>
  <c r="L40" i="29"/>
  <c r="BX69" i="29"/>
  <c r="BX48" i="29"/>
  <c r="BP65" i="29"/>
  <c r="BP44" i="29"/>
  <c r="AJ48" i="29"/>
  <c r="AJ69" i="29"/>
  <c r="CN48" i="29"/>
  <c r="CN69" i="29"/>
  <c r="AZ69" i="29"/>
  <c r="AZ48" i="29"/>
  <c r="AB40" i="29"/>
  <c r="AB61" i="29"/>
  <c r="L36" i="29"/>
  <c r="L57" i="29"/>
  <c r="BX36" i="29"/>
  <c r="BX57" i="29"/>
  <c r="BP48" i="29"/>
  <c r="BP69" i="29"/>
  <c r="AJ57" i="29"/>
  <c r="CN36" i="29"/>
  <c r="CN57" i="29"/>
  <c r="AZ61" i="29"/>
  <c r="AZ40" i="29"/>
  <c r="AB44" i="29"/>
  <c r="AB65" i="29"/>
  <c r="CW7" i="29"/>
  <c r="AK7" i="29"/>
  <c r="BI7" i="29"/>
  <c r="CG7" i="29"/>
  <c r="U7" i="29"/>
  <c r="E7" i="29"/>
  <c r="DE7" i="29"/>
  <c r="AS7" i="29"/>
  <c r="CO7" i="29"/>
  <c r="BQ7" i="29"/>
  <c r="AC7" i="29"/>
  <c r="BA7" i="29"/>
  <c r="BY7" i="29"/>
  <c r="M7" i="29"/>
  <c r="BY7" i="9"/>
  <c r="U7" i="9"/>
  <c r="CO7" i="9"/>
  <c r="CW7" i="9"/>
  <c r="DE7" i="9"/>
  <c r="BI7" i="9"/>
  <c r="BQ7" i="9"/>
  <c r="CG7" i="9"/>
  <c r="AS7" i="9"/>
  <c r="AS8" i="9" s="1"/>
  <c r="AC7" i="9"/>
  <c r="BA7" i="9"/>
  <c r="BA8" i="9" s="1"/>
  <c r="L66" i="3"/>
  <c r="L86" i="3"/>
  <c r="L48" i="3"/>
  <c r="L67" i="3"/>
  <c r="L46" i="3"/>
  <c r="L88" i="3"/>
  <c r="L49" i="3"/>
  <c r="L68" i="3"/>
  <c r="L87" i="3"/>
  <c r="L47" i="3"/>
  <c r="AI84" i="9"/>
  <c r="AI196" i="9"/>
  <c r="AI135" i="9"/>
  <c r="AI145" i="9" s="1"/>
  <c r="C72" i="20" s="1"/>
  <c r="BW54" i="9"/>
  <c r="BW107" i="9"/>
  <c r="BW117" i="9" s="1"/>
  <c r="C39" i="20" s="1"/>
  <c r="BW168" i="9"/>
  <c r="CU54" i="9"/>
  <c r="CU168" i="9"/>
  <c r="CU107" i="9"/>
  <c r="CU117" i="9" s="1"/>
  <c r="C42" i="20" s="1"/>
  <c r="AA69" i="9"/>
  <c r="AA182" i="9"/>
  <c r="AA121" i="9"/>
  <c r="AY54" i="9"/>
  <c r="AY168" i="9"/>
  <c r="AY107" i="9"/>
  <c r="AY117" i="9" s="1"/>
  <c r="C36" i="20" s="1"/>
  <c r="CE69" i="9"/>
  <c r="CE182" i="9"/>
  <c r="CE121" i="9"/>
  <c r="CE131" i="9" s="1"/>
  <c r="C59" i="20" s="1"/>
  <c r="AI39" i="9"/>
  <c r="AI154" i="9"/>
  <c r="AI93" i="9"/>
  <c r="AI103" i="9" s="1"/>
  <c r="C15" i="20" s="1"/>
  <c r="CU39" i="9"/>
  <c r="CU154" i="9"/>
  <c r="CU93" i="9"/>
  <c r="CU103" i="9" s="1"/>
  <c r="C23" i="20" s="1"/>
  <c r="AY84" i="9"/>
  <c r="AY196" i="9"/>
  <c r="AY135" i="9"/>
  <c r="AY145" i="9" s="1"/>
  <c r="C74" i="20" s="1"/>
  <c r="CM69" i="9"/>
  <c r="CM182" i="9"/>
  <c r="CM121" i="9"/>
  <c r="CM131" i="9" s="1"/>
  <c r="C60" i="20" s="1"/>
  <c r="CU84" i="9"/>
  <c r="CU135" i="9"/>
  <c r="CU145" i="9" s="1"/>
  <c r="C80" i="20" s="1"/>
  <c r="CU196" i="9"/>
  <c r="CE39" i="9"/>
  <c r="CE154" i="9"/>
  <c r="CE93" i="9"/>
  <c r="CE103" i="9" s="1"/>
  <c r="C21" i="20" s="1"/>
  <c r="AQ84" i="9"/>
  <c r="AQ135" i="9"/>
  <c r="AQ145" i="9" s="1"/>
  <c r="C73" i="20" s="1"/>
  <c r="AQ196" i="9"/>
  <c r="DC39" i="9"/>
  <c r="DC154" i="9"/>
  <c r="DC93" i="9"/>
  <c r="DC103" i="9" s="1"/>
  <c r="C24" i="20" s="1"/>
  <c r="AY39" i="9"/>
  <c r="AY154" i="9"/>
  <c r="AY93" i="9"/>
  <c r="AY103" i="9" s="1"/>
  <c r="C17" i="20" s="1"/>
  <c r="CM84" i="9"/>
  <c r="CM196" i="9"/>
  <c r="CM135" i="9"/>
  <c r="CM145" i="9" s="1"/>
  <c r="C79" i="20" s="1"/>
  <c r="AQ54" i="9"/>
  <c r="AQ107" i="9"/>
  <c r="AQ117" i="9" s="1"/>
  <c r="C35" i="20" s="1"/>
  <c r="AQ168" i="9"/>
  <c r="S84" i="9"/>
  <c r="S135" i="9"/>
  <c r="S196" i="9"/>
  <c r="BG39" i="9"/>
  <c r="BG93" i="9"/>
  <c r="BG103" i="9" s="1"/>
  <c r="C18" i="20" s="1"/>
  <c r="BG154" i="9"/>
  <c r="K84" i="9"/>
  <c r="K135" i="9"/>
  <c r="K196" i="9"/>
  <c r="BO39" i="9"/>
  <c r="BO154" i="9"/>
  <c r="BO93" i="9"/>
  <c r="BO103" i="9" s="1"/>
  <c r="C19" i="20" s="1"/>
  <c r="S69" i="9"/>
  <c r="S182" i="9"/>
  <c r="S121" i="9"/>
  <c r="BG84" i="9"/>
  <c r="BG135" i="9"/>
  <c r="BG145" i="9" s="1"/>
  <c r="C75" i="20" s="1"/>
  <c r="BG196" i="9"/>
  <c r="K54" i="9"/>
  <c r="K168" i="9"/>
  <c r="K107" i="9"/>
  <c r="BO54" i="9"/>
  <c r="BO168" i="9"/>
  <c r="BO107" i="9"/>
  <c r="BO117" i="9" s="1"/>
  <c r="C38" i="20" s="1"/>
  <c r="BW39" i="9"/>
  <c r="BW93" i="9"/>
  <c r="BW103" i="9" s="1"/>
  <c r="C20" i="20" s="1"/>
  <c r="BW154" i="9"/>
  <c r="AA84" i="9"/>
  <c r="AA135" i="9"/>
  <c r="AA196" i="9"/>
  <c r="CE54" i="9"/>
  <c r="CE107" i="9"/>
  <c r="CE117" i="9" s="1"/>
  <c r="C40" i="20" s="1"/>
  <c r="CE168" i="9"/>
  <c r="AQ39" i="9"/>
  <c r="AQ93" i="9"/>
  <c r="AQ103" i="9" s="1"/>
  <c r="C16" i="20" s="1"/>
  <c r="AQ154" i="9"/>
  <c r="AA54" i="9"/>
  <c r="AA107" i="9"/>
  <c r="AA168" i="9"/>
  <c r="CE84" i="9"/>
  <c r="CE196" i="9"/>
  <c r="CE135" i="9"/>
  <c r="CE145" i="9" s="1"/>
  <c r="C78" i="20" s="1"/>
  <c r="AQ69" i="9"/>
  <c r="AQ182" i="9"/>
  <c r="AQ121" i="9"/>
  <c r="AQ131" i="9" s="1"/>
  <c r="C54" i="20" s="1"/>
  <c r="DC84" i="9"/>
  <c r="DC135" i="9"/>
  <c r="DC145" i="9" s="1"/>
  <c r="C81" i="20" s="1"/>
  <c r="DC196" i="9"/>
  <c r="AI69" i="9"/>
  <c r="AI182" i="9"/>
  <c r="AI121" i="9"/>
  <c r="AI131" i="9" s="1"/>
  <c r="C53" i="20" s="1"/>
  <c r="BW84" i="9"/>
  <c r="BW135" i="9"/>
  <c r="BW145" i="9" s="1"/>
  <c r="C77" i="20" s="1"/>
  <c r="BW196" i="9"/>
  <c r="S39" i="9"/>
  <c r="S93" i="9"/>
  <c r="S154" i="9"/>
  <c r="DC54" i="9"/>
  <c r="DC107" i="9"/>
  <c r="DC117" i="9" s="1"/>
  <c r="C43" i="20" s="1"/>
  <c r="DC168" i="9"/>
  <c r="BG69" i="9"/>
  <c r="BG121" i="9"/>
  <c r="BG131" i="9" s="1"/>
  <c r="C56" i="20" s="1"/>
  <c r="BG182" i="9"/>
  <c r="K39" i="9"/>
  <c r="K154" i="9"/>
  <c r="K93" i="9"/>
  <c r="BO84" i="9"/>
  <c r="BO135" i="9"/>
  <c r="BO145" i="9" s="1"/>
  <c r="C76" i="20" s="1"/>
  <c r="BO196" i="9"/>
  <c r="CM54" i="9"/>
  <c r="CM168" i="9"/>
  <c r="CM107" i="9"/>
  <c r="CM117" i="9" s="1"/>
  <c r="C41" i="20" s="1"/>
  <c r="AY69" i="9"/>
  <c r="AY121" i="9"/>
  <c r="AY131" i="9" s="1"/>
  <c r="C55" i="20" s="1"/>
  <c r="AY182" i="9"/>
  <c r="CM39" i="9"/>
  <c r="CM154" i="9"/>
  <c r="CM93" i="9"/>
  <c r="CM103" i="9" s="1"/>
  <c r="C22" i="20" s="1"/>
  <c r="S54" i="9"/>
  <c r="S107" i="9"/>
  <c r="S168" i="9"/>
  <c r="AA39" i="9"/>
  <c r="AA93" i="9"/>
  <c r="AA154" i="9"/>
  <c r="DC69" i="9"/>
  <c r="DC121" i="9"/>
  <c r="DC131" i="9" s="1"/>
  <c r="C62" i="20" s="1"/>
  <c r="DC182" i="9"/>
  <c r="AI54" i="9"/>
  <c r="AI107" i="9"/>
  <c r="AI117" i="9" s="1"/>
  <c r="C34" i="20" s="1"/>
  <c r="AI168" i="9"/>
  <c r="BW69" i="9"/>
  <c r="BW182" i="9"/>
  <c r="BW121" i="9"/>
  <c r="BW131" i="9" s="1"/>
  <c r="C58" i="20" s="1"/>
  <c r="CU69" i="9"/>
  <c r="CU121" i="9"/>
  <c r="CU131" i="9" s="1"/>
  <c r="C61" i="20" s="1"/>
  <c r="CU182" i="9"/>
  <c r="BG54" i="9"/>
  <c r="BG107" i="9"/>
  <c r="BG117" i="9" s="1"/>
  <c r="C37" i="20" s="1"/>
  <c r="BG168" i="9"/>
  <c r="K69" i="9"/>
  <c r="K182" i="9"/>
  <c r="K121" i="9"/>
  <c r="BO69" i="9"/>
  <c r="BO182" i="9"/>
  <c r="BO121" i="9"/>
  <c r="BO131" i="9" s="1"/>
  <c r="C57" i="20" s="1"/>
  <c r="K51" i="3"/>
  <c r="M32" i="3"/>
  <c r="M94" i="3"/>
  <c r="M28" i="3"/>
  <c r="M72" i="3"/>
  <c r="M42" i="3"/>
  <c r="M27" i="3"/>
  <c r="M55" i="3"/>
  <c r="M74" i="3"/>
  <c r="M24" i="3"/>
  <c r="M22" i="3"/>
  <c r="M92" i="3"/>
  <c r="M52" i="3"/>
  <c r="M85" i="3"/>
  <c r="M30" i="3"/>
  <c r="M25" i="3"/>
  <c r="M26" i="3"/>
  <c r="M34" i="3"/>
  <c r="M91" i="3"/>
  <c r="M33" i="3"/>
  <c r="M29" i="3"/>
  <c r="M53" i="3"/>
  <c r="M93" i="3"/>
  <c r="M90" i="3"/>
  <c r="M71" i="3"/>
  <c r="M51" i="3"/>
  <c r="M44" i="3"/>
  <c r="M63" i="3"/>
  <c r="M23" i="3"/>
  <c r="M35" i="3"/>
  <c r="M62" i="3"/>
  <c r="M50" i="3"/>
  <c r="M31" i="3"/>
  <c r="M43" i="3"/>
  <c r="M83" i="3"/>
  <c r="M65" i="3"/>
  <c r="M73" i="3"/>
  <c r="M45" i="3"/>
  <c r="M95" i="3"/>
  <c r="M75" i="3"/>
  <c r="M64" i="3"/>
  <c r="J32" i="3"/>
  <c r="M84" i="3"/>
  <c r="M69" i="3"/>
  <c r="M54" i="3"/>
  <c r="M89" i="3"/>
  <c r="M70" i="3"/>
  <c r="AC27" i="29" l="1"/>
  <c r="AC23" i="29"/>
  <c r="AC19" i="29"/>
  <c r="AC15" i="29"/>
  <c r="BI15" i="29"/>
  <c r="BI19" i="29"/>
  <c r="BI27" i="29"/>
  <c r="BI23" i="29"/>
  <c r="BA15" i="29"/>
  <c r="BA27" i="29"/>
  <c r="BA23" i="29"/>
  <c r="BA19" i="29"/>
  <c r="BQ15" i="29"/>
  <c r="BQ19" i="29"/>
  <c r="BQ27" i="29"/>
  <c r="BQ23" i="29"/>
  <c r="AK27" i="29"/>
  <c r="AK19" i="29"/>
  <c r="AK15" i="29"/>
  <c r="AK23" i="29"/>
  <c r="CO15" i="29"/>
  <c r="CO27" i="29"/>
  <c r="CO23" i="29"/>
  <c r="CO19" i="29"/>
  <c r="CW15" i="29"/>
  <c r="CW27" i="29"/>
  <c r="CW19" i="29"/>
  <c r="CW23" i="29"/>
  <c r="CG15" i="29"/>
  <c r="CG19" i="29"/>
  <c r="CG23" i="29"/>
  <c r="CG27" i="29"/>
  <c r="AS23" i="29"/>
  <c r="AS19" i="29"/>
  <c r="AS27" i="29"/>
  <c r="AS15" i="29"/>
  <c r="DE15" i="29"/>
  <c r="DE23" i="29"/>
  <c r="DE19" i="29"/>
  <c r="DE27" i="29"/>
  <c r="M15" i="29"/>
  <c r="M23" i="29"/>
  <c r="M27" i="29"/>
  <c r="M19" i="29"/>
  <c r="E27" i="29"/>
  <c r="E19" i="29"/>
  <c r="E40" i="29" s="1"/>
  <c r="E23" i="29"/>
  <c r="E15" i="29"/>
  <c r="BY15" i="29"/>
  <c r="BY23" i="29"/>
  <c r="BY19" i="29"/>
  <c r="BY27" i="29"/>
  <c r="U15" i="29"/>
  <c r="U27" i="29"/>
  <c r="U19" i="29"/>
  <c r="U23" i="29"/>
  <c r="BA11" i="9"/>
  <c r="BA20" i="9" s="1"/>
  <c r="BB7" i="9"/>
  <c r="BB8" i="9" s="1"/>
  <c r="BB20" i="9" s="1"/>
  <c r="AS11" i="9"/>
  <c r="AS20" i="9" s="1"/>
  <c r="AT7" i="9"/>
  <c r="AT8" i="9" s="1"/>
  <c r="AT20" i="9" s="1"/>
  <c r="AK9" i="9"/>
  <c r="AK12" i="9"/>
  <c r="BQ8" i="9"/>
  <c r="CW8" i="9"/>
  <c r="BI8" i="9"/>
  <c r="DE8" i="9"/>
  <c r="M12" i="9"/>
  <c r="AC8" i="9"/>
  <c r="CO8" i="9"/>
  <c r="U8" i="9"/>
  <c r="CG8" i="9"/>
  <c r="BY8" i="9"/>
  <c r="BO192" i="9"/>
  <c r="K57" i="20" s="1"/>
  <c r="DC206" i="9"/>
  <c r="K81" i="20" s="1"/>
  <c r="AQ178" i="9"/>
  <c r="K35" i="20" s="1"/>
  <c r="DC192" i="9"/>
  <c r="K62" i="20" s="1"/>
  <c r="BG178" i="9"/>
  <c r="K37" i="20" s="1"/>
  <c r="AA103" i="9"/>
  <c r="C14" i="20" s="1"/>
  <c r="AY192" i="9"/>
  <c r="K55" i="20" s="1"/>
  <c r="BW164" i="9"/>
  <c r="K20" i="20" s="1"/>
  <c r="BO164" i="9"/>
  <c r="K19" i="20" s="1"/>
  <c r="S206" i="9"/>
  <c r="K70" i="20" s="1"/>
  <c r="AY178" i="9"/>
  <c r="K36" i="20" s="1"/>
  <c r="BW178" i="9"/>
  <c r="K39" i="20" s="1"/>
  <c r="AI178" i="9"/>
  <c r="K34" i="20" s="1"/>
  <c r="K103" i="9"/>
  <c r="C12" i="20" s="1"/>
  <c r="AI192" i="9"/>
  <c r="K53" i="20" s="1"/>
  <c r="BG206" i="9"/>
  <c r="K75" i="20" s="1"/>
  <c r="S145" i="9"/>
  <c r="C70" i="20" s="1"/>
  <c r="CM192" i="9"/>
  <c r="K60" i="20" s="1"/>
  <c r="S178" i="9"/>
  <c r="K32" i="20" s="1"/>
  <c r="K164" i="9"/>
  <c r="K12" i="20" s="1"/>
  <c r="S164" i="9"/>
  <c r="K13" i="20" s="1"/>
  <c r="CE206" i="9"/>
  <c r="K78" i="20" s="1"/>
  <c r="CE178" i="9"/>
  <c r="K40" i="20" s="1"/>
  <c r="K206" i="9"/>
  <c r="K69" i="20" s="1"/>
  <c r="AY164" i="9"/>
  <c r="K17" i="20" s="1"/>
  <c r="AI164" i="9"/>
  <c r="K15" i="20" s="1"/>
  <c r="AA131" i="9"/>
  <c r="C52" i="20" s="1"/>
  <c r="CE164" i="9"/>
  <c r="K21" i="20" s="1"/>
  <c r="AA192" i="9"/>
  <c r="K52" i="20" s="1"/>
  <c r="AI206" i="9"/>
  <c r="K72" i="20" s="1"/>
  <c r="CU192" i="9"/>
  <c r="K61" i="20" s="1"/>
  <c r="S117" i="9"/>
  <c r="C32" i="20" s="1"/>
  <c r="S103" i="9"/>
  <c r="C13" i="20" s="1"/>
  <c r="K145" i="9"/>
  <c r="C69" i="20" s="1"/>
  <c r="CM178" i="9"/>
  <c r="K41" i="20" s="1"/>
  <c r="BG192" i="9"/>
  <c r="K56" i="20" s="1"/>
  <c r="AA178" i="9"/>
  <c r="K33" i="20" s="1"/>
  <c r="BO178" i="9"/>
  <c r="K38" i="20" s="1"/>
  <c r="S131" i="9"/>
  <c r="C51" i="20" s="1"/>
  <c r="AY206" i="9"/>
  <c r="K74" i="20" s="1"/>
  <c r="K131" i="9"/>
  <c r="C50" i="20" s="1"/>
  <c r="BW206" i="9"/>
  <c r="K77" i="20" s="1"/>
  <c r="AA117" i="9"/>
  <c r="C33" i="20" s="1"/>
  <c r="AA206" i="9"/>
  <c r="K71" i="20" s="1"/>
  <c r="S192" i="9"/>
  <c r="K51" i="20" s="1"/>
  <c r="BG164" i="9"/>
  <c r="K18" i="20" s="1"/>
  <c r="DC164" i="9"/>
  <c r="K24" i="20" s="1"/>
  <c r="CU206" i="9"/>
  <c r="K80" i="20" s="1"/>
  <c r="CE192" i="9"/>
  <c r="K59" i="20" s="1"/>
  <c r="K192" i="9"/>
  <c r="K50" i="20" s="1"/>
  <c r="CM164" i="9"/>
  <c r="K22" i="20" s="1"/>
  <c r="BO206" i="9"/>
  <c r="K76" i="20" s="1"/>
  <c r="AA145" i="9"/>
  <c r="C71" i="20" s="1"/>
  <c r="K117" i="9"/>
  <c r="C31" i="20" s="1"/>
  <c r="CU178" i="9"/>
  <c r="K42" i="20" s="1"/>
  <c r="BW192" i="9"/>
  <c r="K58" i="20" s="1"/>
  <c r="AA164" i="9"/>
  <c r="K14" i="20" s="1"/>
  <c r="DC178" i="9"/>
  <c r="K43" i="20" s="1"/>
  <c r="AQ192" i="9"/>
  <c r="K54" i="20" s="1"/>
  <c r="AQ164" i="9"/>
  <c r="K16" i="20" s="1"/>
  <c r="K178" i="9"/>
  <c r="K31" i="20" s="1"/>
  <c r="CM206" i="9"/>
  <c r="K79" i="20" s="1"/>
  <c r="AQ206" i="9"/>
  <c r="K73" i="20" s="1"/>
  <c r="CU164" i="9"/>
  <c r="K23" i="20" s="1"/>
  <c r="I89" i="24"/>
  <c r="L64" i="3"/>
  <c r="L25" i="3"/>
  <c r="L63" i="3"/>
  <c r="K72" i="3"/>
  <c r="K28" i="3"/>
  <c r="K23" i="3"/>
  <c r="K63" i="3"/>
  <c r="K71" i="3"/>
  <c r="K22" i="3"/>
  <c r="K91" i="3"/>
  <c r="K82" i="3"/>
  <c r="K73" i="3"/>
  <c r="K83" i="3"/>
  <c r="K24" i="3"/>
  <c r="K29" i="3"/>
  <c r="L31" i="3"/>
  <c r="L27" i="3"/>
  <c r="L90" i="3"/>
  <c r="K32" i="3"/>
  <c r="K31" i="3"/>
  <c r="K89" i="3"/>
  <c r="K55" i="3"/>
  <c r="L75" i="3"/>
  <c r="K44" i="3"/>
  <c r="K43" i="3"/>
  <c r="K90" i="3"/>
  <c r="L45" i="3"/>
  <c r="L85" i="3"/>
  <c r="K85" i="3"/>
  <c r="K84" i="3"/>
  <c r="K75" i="3"/>
  <c r="K34" i="3"/>
  <c r="K25" i="3"/>
  <c r="K95" i="3"/>
  <c r="L62" i="3"/>
  <c r="L93" i="3"/>
  <c r="L50" i="3"/>
  <c r="K52" i="3"/>
  <c r="L84" i="3"/>
  <c r="L71" i="3"/>
  <c r="K45" i="3"/>
  <c r="K50" i="3"/>
  <c r="K94" i="3"/>
  <c r="L51" i="3"/>
  <c r="L52" i="3"/>
  <c r="L74" i="3"/>
  <c r="L29" i="3"/>
  <c r="K26" i="3"/>
  <c r="K69" i="3"/>
  <c r="K93" i="3"/>
  <c r="K42" i="3"/>
  <c r="K27" i="3"/>
  <c r="L54" i="3"/>
  <c r="K70" i="3"/>
  <c r="K30" i="3"/>
  <c r="L32" i="3"/>
  <c r="L22" i="3"/>
  <c r="L73" i="3"/>
  <c r="K65" i="3"/>
  <c r="K35" i="3"/>
  <c r="K92" i="3"/>
  <c r="K62" i="3"/>
  <c r="L43" i="3"/>
  <c r="L72" i="3"/>
  <c r="K64" i="3"/>
  <c r="K33" i="3"/>
  <c r="K53" i="3"/>
  <c r="K54" i="3"/>
  <c r="K74" i="3"/>
  <c r="L42" i="3"/>
  <c r="L92" i="3"/>
  <c r="L95" i="3"/>
  <c r="L28" i="3"/>
  <c r="L91" i="3"/>
  <c r="L89" i="3"/>
  <c r="J25" i="3"/>
  <c r="L65" i="3"/>
  <c r="L55" i="3"/>
  <c r="L69" i="3"/>
  <c r="L35" i="3"/>
  <c r="L82" i="3"/>
  <c r="L23" i="3"/>
  <c r="J93" i="3"/>
  <c r="L70" i="3"/>
  <c r="L44" i="3"/>
  <c r="L94" i="3"/>
  <c r="L30" i="3"/>
  <c r="L83" i="3"/>
  <c r="L34" i="3"/>
  <c r="J53" i="3"/>
  <c r="L26" i="3"/>
  <c r="L53" i="3"/>
  <c r="L24" i="3"/>
  <c r="L33" i="3"/>
  <c r="J90" i="3"/>
  <c r="J31" i="3"/>
  <c r="J27" i="3"/>
  <c r="J69" i="3"/>
  <c r="J26" i="3"/>
  <c r="J92" i="3"/>
  <c r="J70" i="3"/>
  <c r="J94" i="3"/>
  <c r="J23" i="3"/>
  <c r="J55" i="3"/>
  <c r="J85" i="3"/>
  <c r="J84" i="3"/>
  <c r="J29" i="3"/>
  <c r="J82" i="3"/>
  <c r="J42" i="3"/>
  <c r="J33" i="3"/>
  <c r="J83" i="3"/>
  <c r="J71" i="3"/>
  <c r="J43" i="3"/>
  <c r="J30" i="3"/>
  <c r="J75" i="3"/>
  <c r="J50" i="3"/>
  <c r="J22" i="3"/>
  <c r="J45" i="3"/>
  <c r="J72" i="3"/>
  <c r="J73" i="3"/>
  <c r="J52" i="3"/>
  <c r="J34" i="3"/>
  <c r="J54" i="3"/>
  <c r="J95" i="3"/>
  <c r="J51" i="3"/>
  <c r="J65" i="3"/>
  <c r="J63" i="3"/>
  <c r="J62" i="3"/>
  <c r="J89" i="3"/>
  <c r="J64" i="3"/>
  <c r="J74" i="3"/>
  <c r="J28" i="3"/>
  <c r="J91" i="3"/>
  <c r="J44" i="3"/>
  <c r="J24" i="3"/>
  <c r="J35" i="3"/>
  <c r="AK44" i="29" l="1"/>
  <c r="AL44" i="29"/>
  <c r="AK36" i="29"/>
  <c r="AL36" i="29"/>
  <c r="AK40" i="29"/>
  <c r="AL40" i="29"/>
  <c r="F40" i="29"/>
  <c r="BA61" i="29"/>
  <c r="BB61" i="29"/>
  <c r="BB40" i="29"/>
  <c r="BA40" i="29"/>
  <c r="BY61" i="29"/>
  <c r="BZ61" i="29"/>
  <c r="BY40" i="29"/>
  <c r="BZ40" i="29"/>
  <c r="M69" i="29"/>
  <c r="M48" i="29"/>
  <c r="N69" i="29"/>
  <c r="N48" i="29"/>
  <c r="AS69" i="29"/>
  <c r="AT48" i="29"/>
  <c r="AS48" i="29"/>
  <c r="AT69" i="29"/>
  <c r="CW61" i="29"/>
  <c r="CX40" i="29"/>
  <c r="CX61" i="29"/>
  <c r="CW40" i="29"/>
  <c r="AK57" i="29"/>
  <c r="AL57" i="29"/>
  <c r="BB44" i="29"/>
  <c r="BA65" i="29"/>
  <c r="BA44" i="29"/>
  <c r="BB65" i="29"/>
  <c r="AC61" i="29"/>
  <c r="AC40" i="29"/>
  <c r="AD40" i="29"/>
  <c r="AD61" i="29"/>
  <c r="BZ44" i="29"/>
  <c r="BY44" i="29"/>
  <c r="BY65" i="29"/>
  <c r="BZ65" i="29"/>
  <c r="M65" i="29"/>
  <c r="N65" i="29"/>
  <c r="N44" i="29"/>
  <c r="M44" i="29"/>
  <c r="AT61" i="29"/>
  <c r="AS61" i="29"/>
  <c r="AT40" i="29"/>
  <c r="AS40" i="29"/>
  <c r="CX69" i="29"/>
  <c r="CW48" i="29"/>
  <c r="CW69" i="29"/>
  <c r="CX48" i="29"/>
  <c r="AK61" i="29"/>
  <c r="AL61" i="29"/>
  <c r="BB48" i="29"/>
  <c r="BB69" i="29"/>
  <c r="BA69" i="29"/>
  <c r="BA48" i="29"/>
  <c r="AD44" i="29"/>
  <c r="AC65" i="29"/>
  <c r="AD65" i="29"/>
  <c r="AC44" i="29"/>
  <c r="BY48" i="29"/>
  <c r="BY69" i="29"/>
  <c r="BZ48" i="29"/>
  <c r="BZ69" i="29"/>
  <c r="N61" i="29"/>
  <c r="M40" i="29"/>
  <c r="N40" i="29"/>
  <c r="M61" i="29"/>
  <c r="AD57" i="29"/>
  <c r="AD36" i="29"/>
  <c r="AC36" i="29"/>
  <c r="AC57" i="29"/>
  <c r="BY36" i="29"/>
  <c r="BY57" i="29"/>
  <c r="BZ36" i="29"/>
  <c r="BZ57" i="29"/>
  <c r="N57" i="29"/>
  <c r="M36" i="29"/>
  <c r="M57" i="29"/>
  <c r="AT44" i="29"/>
  <c r="AS44" i="29"/>
  <c r="AS65" i="29"/>
  <c r="AT65" i="29"/>
  <c r="CX36" i="29"/>
  <c r="CW57" i="29"/>
  <c r="CX57" i="29"/>
  <c r="CW36" i="29"/>
  <c r="AL69" i="29"/>
  <c r="AK48" i="29"/>
  <c r="AL48" i="29"/>
  <c r="AK69" i="29"/>
  <c r="BA57" i="29"/>
  <c r="BB57" i="29"/>
  <c r="BA36" i="29"/>
  <c r="BB36" i="29"/>
  <c r="AD48" i="29"/>
  <c r="AC48" i="29"/>
  <c r="AC69" i="29"/>
  <c r="AD69" i="29"/>
  <c r="AK65" i="29"/>
  <c r="AL65" i="29"/>
  <c r="V44" i="29"/>
  <c r="U65" i="29"/>
  <c r="V65" i="29"/>
  <c r="U44" i="29"/>
  <c r="F57" i="29"/>
  <c r="E57" i="29"/>
  <c r="E36" i="29"/>
  <c r="F36" i="29"/>
  <c r="DE48" i="29"/>
  <c r="DF48" i="29"/>
  <c r="DE69" i="29"/>
  <c r="DF69" i="29"/>
  <c r="CH69" i="29"/>
  <c r="CH48" i="29"/>
  <c r="CG48" i="29"/>
  <c r="CG69" i="29"/>
  <c r="CO40" i="29"/>
  <c r="CP61" i="29"/>
  <c r="CO61" i="29"/>
  <c r="CP40" i="29"/>
  <c r="BR44" i="29"/>
  <c r="BQ65" i="29"/>
  <c r="BQ44" i="29"/>
  <c r="BR65" i="29"/>
  <c r="BI65" i="29"/>
  <c r="BJ65" i="29"/>
  <c r="BJ44" i="29"/>
  <c r="BI44" i="29"/>
  <c r="U40" i="29"/>
  <c r="V61" i="29"/>
  <c r="V40" i="29"/>
  <c r="U61" i="29"/>
  <c r="E65" i="29"/>
  <c r="F65" i="29"/>
  <c r="E44" i="29"/>
  <c r="F44" i="29"/>
  <c r="DF40" i="29"/>
  <c r="DE61" i="29"/>
  <c r="DE40" i="29"/>
  <c r="DF61" i="29"/>
  <c r="CG65" i="29"/>
  <c r="CH65" i="29"/>
  <c r="CH44" i="29"/>
  <c r="CG44" i="29"/>
  <c r="CP44" i="29"/>
  <c r="CP65" i="29"/>
  <c r="CO65" i="29"/>
  <c r="CO44" i="29"/>
  <c r="BR48" i="29"/>
  <c r="BQ48" i="29"/>
  <c r="BQ69" i="29"/>
  <c r="BR69" i="29"/>
  <c r="BI48" i="29"/>
  <c r="BI69" i="29"/>
  <c r="BJ69" i="29"/>
  <c r="BJ48" i="29"/>
  <c r="AT57" i="29"/>
  <c r="AS36" i="29"/>
  <c r="AT36" i="29"/>
  <c r="AS57" i="29"/>
  <c r="V48" i="29"/>
  <c r="V69" i="29"/>
  <c r="U48" i="29"/>
  <c r="U69" i="29"/>
  <c r="E61" i="29"/>
  <c r="F61" i="29"/>
  <c r="DE44" i="29"/>
  <c r="DF44" i="29"/>
  <c r="DE65" i="29"/>
  <c r="DF65" i="29"/>
  <c r="CG61" i="29"/>
  <c r="CH40" i="29"/>
  <c r="CG40" i="29"/>
  <c r="CH61" i="29"/>
  <c r="CO69" i="29"/>
  <c r="CP48" i="29"/>
  <c r="CO48" i="29"/>
  <c r="CP69" i="29"/>
  <c r="BQ61" i="29"/>
  <c r="BQ40" i="29"/>
  <c r="BR61" i="29"/>
  <c r="BR40" i="29"/>
  <c r="BJ61" i="29"/>
  <c r="BJ40" i="29"/>
  <c r="BI40" i="29"/>
  <c r="BI61" i="29"/>
  <c r="CX65" i="29"/>
  <c r="CW44" i="29"/>
  <c r="CW65" i="29"/>
  <c r="CX44" i="29"/>
  <c r="U36" i="29"/>
  <c r="V36" i="29"/>
  <c r="V57" i="29"/>
  <c r="U57" i="29"/>
  <c r="F69" i="29"/>
  <c r="E69" i="29"/>
  <c r="F48" i="29"/>
  <c r="E48" i="29"/>
  <c r="DF36" i="29"/>
  <c r="DE57" i="29"/>
  <c r="DF57" i="29"/>
  <c r="DE36" i="29"/>
  <c r="CG57" i="29"/>
  <c r="CH57" i="29"/>
  <c r="CG36" i="29"/>
  <c r="CH36" i="29"/>
  <c r="CO36" i="29"/>
  <c r="CO57" i="29"/>
  <c r="CP57" i="29"/>
  <c r="CP36" i="29"/>
  <c r="BQ57" i="29"/>
  <c r="BQ36" i="29"/>
  <c r="BR36" i="29"/>
  <c r="BR57" i="29"/>
  <c r="BI57" i="29"/>
  <c r="BJ57" i="29"/>
  <c r="BJ36" i="29"/>
  <c r="BI36" i="29"/>
  <c r="BY11" i="9"/>
  <c r="BY20" i="9" s="1"/>
  <c r="BZ7" i="9"/>
  <c r="BZ8" i="9" s="1"/>
  <c r="BZ20" i="9" s="1"/>
  <c r="CW11" i="9"/>
  <c r="CW20" i="9" s="1"/>
  <c r="CX7" i="9"/>
  <c r="CX8" i="9" s="1"/>
  <c r="CX20" i="9" s="1"/>
  <c r="CG11" i="9"/>
  <c r="CG20" i="9" s="1"/>
  <c r="CH7" i="9"/>
  <c r="CH8" i="9" s="1"/>
  <c r="CH20" i="9" s="1"/>
  <c r="BQ11" i="9"/>
  <c r="BQ20" i="9" s="1"/>
  <c r="BR7" i="9"/>
  <c r="BR8" i="9" s="1"/>
  <c r="BR20" i="9" s="1"/>
  <c r="U11" i="9"/>
  <c r="U20" i="9" s="1"/>
  <c r="V7" i="9"/>
  <c r="V8" i="9" s="1"/>
  <c r="V20" i="9" s="1"/>
  <c r="CO11" i="9"/>
  <c r="CO20" i="9" s="1"/>
  <c r="CP7" i="9"/>
  <c r="CP8" i="9" s="1"/>
  <c r="CP20" i="9" s="1"/>
  <c r="AC11" i="9"/>
  <c r="AC20" i="9" s="1"/>
  <c r="AD7" i="9"/>
  <c r="AD8" i="9" s="1"/>
  <c r="AD20" i="9" s="1"/>
  <c r="DE11" i="9"/>
  <c r="DE20" i="9" s="1"/>
  <c r="DF7" i="9"/>
  <c r="DF8" i="9" s="1"/>
  <c r="DF20" i="9" s="1"/>
  <c r="BI11" i="9"/>
  <c r="BI20" i="9" s="1"/>
  <c r="BJ7" i="9"/>
  <c r="BJ8" i="9" s="1"/>
  <c r="BJ20" i="9" s="1"/>
  <c r="H9" i="11"/>
  <c r="C28" i="9"/>
  <c r="C73" i="9"/>
  <c r="C135" i="9" s="1"/>
  <c r="C43" i="9"/>
  <c r="C107" i="9" s="1"/>
  <c r="C58" i="9"/>
  <c r="BC7" i="29" l="1"/>
  <c r="CA7" i="29"/>
  <c r="O7" i="29"/>
  <c r="CY7" i="29"/>
  <c r="AM7" i="29"/>
  <c r="BK7" i="29"/>
  <c r="AU7" i="29"/>
  <c r="CI7" i="29"/>
  <c r="W7" i="29"/>
  <c r="G7" i="29"/>
  <c r="DG7" i="29"/>
  <c r="BS7" i="29"/>
  <c r="CQ7" i="29"/>
  <c r="AE7" i="29"/>
  <c r="N64" i="3"/>
  <c r="BK7" i="9"/>
  <c r="CI7" i="9"/>
  <c r="AE7" i="9"/>
  <c r="W7" i="9"/>
  <c r="CY7" i="9"/>
  <c r="DG7" i="9"/>
  <c r="AU7" i="9"/>
  <c r="CQ7" i="9"/>
  <c r="CA7" i="9"/>
  <c r="BS7" i="9"/>
  <c r="BC7" i="9"/>
  <c r="N29" i="3"/>
  <c r="N22" i="3"/>
  <c r="N50" i="3"/>
  <c r="N49" i="3"/>
  <c r="N53" i="3"/>
  <c r="N85" i="3"/>
  <c r="N95" i="3"/>
  <c r="N30" i="3"/>
  <c r="N74" i="3"/>
  <c r="N69" i="3"/>
  <c r="N86" i="3"/>
  <c r="N33" i="3"/>
  <c r="N31" i="3"/>
  <c r="N67" i="3"/>
  <c r="N94" i="3"/>
  <c r="N24" i="3"/>
  <c r="N51" i="3"/>
  <c r="N88" i="3"/>
  <c r="N72" i="3"/>
  <c r="N63" i="3"/>
  <c r="N35" i="3"/>
  <c r="N90" i="3"/>
  <c r="N34" i="3"/>
  <c r="N46" i="3"/>
  <c r="N92" i="3"/>
  <c r="N45" i="3"/>
  <c r="N73" i="3"/>
  <c r="N43" i="3"/>
  <c r="N54" i="3"/>
  <c r="N83" i="3"/>
  <c r="N32" i="3"/>
  <c r="N75" i="3"/>
  <c r="N26" i="3"/>
  <c r="N70" i="3"/>
  <c r="N82" i="3"/>
  <c r="K9" i="11"/>
  <c r="N87" i="3"/>
  <c r="N28" i="3"/>
  <c r="N93" i="3"/>
  <c r="N23" i="3"/>
  <c r="N91" i="3"/>
  <c r="N68" i="3"/>
  <c r="N55" i="3"/>
  <c r="N89" i="3"/>
  <c r="N48" i="3"/>
  <c r="N42" i="3"/>
  <c r="N44" i="3"/>
  <c r="N71" i="3"/>
  <c r="N27" i="3"/>
  <c r="N52" i="3"/>
  <c r="N66" i="3"/>
  <c r="N47" i="3"/>
  <c r="N84" i="3"/>
  <c r="N65" i="3"/>
  <c r="N25" i="3"/>
  <c r="N62" i="3"/>
  <c r="C69" i="9"/>
  <c r="C68" i="9"/>
  <c r="C54" i="9"/>
  <c r="C53" i="9"/>
  <c r="C84" i="9"/>
  <c r="C83" i="9"/>
  <c r="C39" i="9"/>
  <c r="C38" i="9"/>
  <c r="C182" i="9"/>
  <c r="C121" i="9"/>
  <c r="C131" i="9" s="1"/>
  <c r="C49" i="20" s="1"/>
  <c r="C168" i="9"/>
  <c r="C117" i="9"/>
  <c r="C30" i="20" s="1"/>
  <c r="C196" i="9"/>
  <c r="C145" i="9"/>
  <c r="C68" i="20" s="1"/>
  <c r="C93" i="9"/>
  <c r="C103" i="9" s="1"/>
  <c r="C11" i="20" s="1"/>
  <c r="C154" i="9"/>
  <c r="CI15" i="29" l="1"/>
  <c r="CI27" i="29"/>
  <c r="CI23" i="29"/>
  <c r="CI19" i="29"/>
  <c r="AU19" i="29"/>
  <c r="AU27" i="29"/>
  <c r="AU23" i="29"/>
  <c r="AU15" i="29"/>
  <c r="AE15" i="29"/>
  <c r="AE23" i="29"/>
  <c r="AE27" i="29"/>
  <c r="AE19" i="29"/>
  <c r="CQ15" i="29"/>
  <c r="CQ27" i="29"/>
  <c r="CQ23" i="29"/>
  <c r="CQ19" i="29"/>
  <c r="AM15" i="29"/>
  <c r="AM36" i="29" s="1"/>
  <c r="AM19" i="29"/>
  <c r="AM40" i="29" s="1"/>
  <c r="AM23" i="29"/>
  <c r="AM44" i="29" s="1"/>
  <c r="AM27" i="29"/>
  <c r="BS27" i="29"/>
  <c r="BS15" i="29"/>
  <c r="BS23" i="29"/>
  <c r="BS19" i="29"/>
  <c r="CY19" i="29"/>
  <c r="CY15" i="29"/>
  <c r="CY23" i="29"/>
  <c r="CY27" i="29"/>
  <c r="BK15" i="29"/>
  <c r="BK19" i="29"/>
  <c r="BK27" i="29"/>
  <c r="BK23" i="29"/>
  <c r="DG19" i="29"/>
  <c r="DG15" i="29"/>
  <c r="DG23" i="29"/>
  <c r="DG27" i="29"/>
  <c r="O19" i="29"/>
  <c r="O27" i="29"/>
  <c r="O23" i="29"/>
  <c r="O15" i="29"/>
  <c r="G15" i="29"/>
  <c r="G23" i="29"/>
  <c r="G19" i="29"/>
  <c r="G40" i="29" s="1"/>
  <c r="G27" i="29"/>
  <c r="CA27" i="29"/>
  <c r="CA23" i="29"/>
  <c r="CA15" i="29"/>
  <c r="CA19" i="29"/>
  <c r="W15" i="29"/>
  <c r="W19" i="29"/>
  <c r="W27" i="29"/>
  <c r="W23" i="29"/>
  <c r="BC15" i="29"/>
  <c r="BC27" i="29"/>
  <c r="BC19" i="29"/>
  <c r="BC23" i="29"/>
  <c r="C164" i="9"/>
  <c r="C206" i="9"/>
  <c r="C178" i="9"/>
  <c r="C192" i="9"/>
  <c r="C25" i="20"/>
  <c r="D22" i="11" s="1"/>
  <c r="C63" i="20"/>
  <c r="C44" i="20"/>
  <c r="C82" i="20"/>
  <c r="D74" i="11" s="1"/>
  <c r="K49" i="20" l="1"/>
  <c r="K63" i="20" s="1"/>
  <c r="D58" i="11" s="1"/>
  <c r="K30" i="20"/>
  <c r="K44" i="20" s="1"/>
  <c r="D32" i="11" s="1"/>
  <c r="AM5" i="28" s="1"/>
  <c r="K68" i="20"/>
  <c r="K82" i="20" s="1"/>
  <c r="D83" i="11" s="1"/>
  <c r="K11" i="20"/>
  <c r="K25" i="20" s="1"/>
  <c r="BC65" i="29"/>
  <c r="BC44" i="29"/>
  <c r="CA61" i="29"/>
  <c r="CA40" i="29"/>
  <c r="BK65" i="29"/>
  <c r="BK44" i="29"/>
  <c r="BS40" i="29"/>
  <c r="BS61" i="29"/>
  <c r="CQ61" i="29"/>
  <c r="CQ40" i="29"/>
  <c r="AU57" i="29"/>
  <c r="AU36" i="29"/>
  <c r="BC40" i="29"/>
  <c r="BC61" i="29"/>
  <c r="CA36" i="29"/>
  <c r="CA57" i="29"/>
  <c r="O65" i="29"/>
  <c r="O44" i="29"/>
  <c r="BK69" i="29"/>
  <c r="BK48" i="29"/>
  <c r="BS44" i="29"/>
  <c r="BS65" i="29"/>
  <c r="CQ44" i="29"/>
  <c r="CQ65" i="29"/>
  <c r="AU65" i="29"/>
  <c r="AU44" i="29"/>
  <c r="AU48" i="29"/>
  <c r="AU69" i="29"/>
  <c r="BC48" i="29"/>
  <c r="BC69" i="29"/>
  <c r="O48" i="29"/>
  <c r="O69" i="29"/>
  <c r="BK61" i="29"/>
  <c r="BK40" i="29"/>
  <c r="BS57" i="29"/>
  <c r="BS36" i="29"/>
  <c r="CQ48" i="29"/>
  <c r="CQ69" i="29"/>
  <c r="BC36" i="29"/>
  <c r="BC57" i="29"/>
  <c r="CA69" i="29"/>
  <c r="CA48" i="29"/>
  <c r="O61" i="29"/>
  <c r="O40" i="29"/>
  <c r="BK36" i="29"/>
  <c r="BK57" i="29"/>
  <c r="BS48" i="29"/>
  <c r="BS69" i="29"/>
  <c r="CQ36" i="29"/>
  <c r="CQ57" i="29"/>
  <c r="AU40" i="29"/>
  <c r="AU61" i="29"/>
  <c r="O36" i="29"/>
  <c r="O57" i="29"/>
  <c r="W44" i="29"/>
  <c r="W65" i="29"/>
  <c r="G69" i="29"/>
  <c r="G48" i="29"/>
  <c r="DG48" i="29"/>
  <c r="DG69" i="29"/>
  <c r="CY69" i="29"/>
  <c r="CY48" i="29"/>
  <c r="AM69" i="29"/>
  <c r="AM48" i="29"/>
  <c r="AE40" i="29"/>
  <c r="AE61" i="29"/>
  <c r="CI40" i="29"/>
  <c r="CI61" i="29"/>
  <c r="CA44" i="29"/>
  <c r="CA65" i="29"/>
  <c r="W48" i="29"/>
  <c r="W69" i="29"/>
  <c r="G61" i="29"/>
  <c r="DG65" i="29"/>
  <c r="DG44" i="29"/>
  <c r="CY44" i="29"/>
  <c r="CY65" i="29"/>
  <c r="AM65" i="29"/>
  <c r="AE48" i="29"/>
  <c r="AE69" i="29"/>
  <c r="CI44" i="29"/>
  <c r="CI65" i="29"/>
  <c r="W40" i="29"/>
  <c r="W61" i="29"/>
  <c r="G65" i="29"/>
  <c r="G44" i="29"/>
  <c r="DG57" i="29"/>
  <c r="DG36" i="29"/>
  <c r="CY36" i="29"/>
  <c r="CY57" i="29"/>
  <c r="AM61" i="29"/>
  <c r="AE44" i="29"/>
  <c r="AE65" i="29"/>
  <c r="CI69" i="29"/>
  <c r="CI48" i="29"/>
  <c r="W57" i="29"/>
  <c r="W36" i="29"/>
  <c r="G36" i="29"/>
  <c r="G57" i="29"/>
  <c r="DG40" i="29"/>
  <c r="DG61" i="29"/>
  <c r="CY40" i="29"/>
  <c r="CY61" i="29"/>
  <c r="AM57" i="29"/>
  <c r="AE36" i="29"/>
  <c r="AE57" i="29"/>
  <c r="CI57" i="29"/>
  <c r="CI36" i="29"/>
  <c r="D82" i="11"/>
  <c r="D48" i="11"/>
  <c r="D73" i="11"/>
  <c r="D75" i="11" s="1"/>
  <c r="C5" i="28"/>
  <c r="D23" i="11"/>
  <c r="J5" i="28" s="1"/>
  <c r="D49" i="11"/>
  <c r="D84" i="11" l="1"/>
  <c r="D31" i="11"/>
  <c r="AF5" i="28" s="1"/>
  <c r="AT5" i="28" s="1"/>
  <c r="D57" i="11"/>
  <c r="D59" i="11" s="1"/>
  <c r="D24" i="11"/>
  <c r="D50" i="11"/>
  <c r="D33" i="11" l="1"/>
  <c r="Q5" i="28"/>
  <c r="AW55" i="26" l="1"/>
  <c r="AT55" i="26"/>
  <c r="AS55" i="26"/>
  <c r="AR55" i="26"/>
  <c r="AQ55" i="26"/>
  <c r="AP55" i="26"/>
  <c r="AO55" i="26"/>
  <c r="AN55" i="26"/>
  <c r="AM55" i="26"/>
  <c r="AL55" i="26"/>
  <c r="AV55" i="26"/>
  <c r="AU55" i="26"/>
  <c r="AK55" i="26"/>
  <c r="AX55" i="26"/>
  <c r="AT47" i="26"/>
  <c r="AS47" i="26"/>
  <c r="AR47" i="26"/>
  <c r="AQ47" i="26"/>
  <c r="AV47" i="26"/>
  <c r="AP47" i="26"/>
  <c r="AO47" i="26"/>
  <c r="AU47" i="26"/>
  <c r="AN47" i="26"/>
  <c r="AW47" i="26"/>
  <c r="AM47" i="26"/>
  <c r="AL47" i="26"/>
  <c r="AX47" i="26"/>
  <c r="AK47" i="26"/>
  <c r="AT39" i="26"/>
  <c r="AS39" i="26"/>
  <c r="AR39" i="26"/>
  <c r="AP39" i="26"/>
  <c r="AN39" i="26"/>
  <c r="AM39" i="26"/>
  <c r="AQ39" i="26"/>
  <c r="AO39" i="26"/>
  <c r="AL39" i="26"/>
  <c r="AK39" i="26"/>
  <c r="AX39" i="26"/>
  <c r="AW39" i="26"/>
  <c r="AV39" i="26"/>
  <c r="AU39" i="26"/>
  <c r="AN38" i="26"/>
  <c r="AK38" i="26"/>
  <c r="AR38" i="26"/>
  <c r="AL38" i="26"/>
  <c r="AQ38" i="26"/>
  <c r="AP38" i="26"/>
  <c r="AO38" i="26"/>
  <c r="AM38" i="26"/>
  <c r="AX38" i="26"/>
  <c r="AW38" i="26"/>
  <c r="AV38" i="26"/>
  <c r="AU38" i="26"/>
  <c r="AT38" i="26"/>
  <c r="AS38" i="26"/>
  <c r="AR31" i="26"/>
  <c r="AP31" i="26"/>
  <c r="AT31" i="26"/>
  <c r="AN31" i="26"/>
  <c r="AM31" i="26"/>
  <c r="AS31" i="26"/>
  <c r="AQ31" i="26"/>
  <c r="AO31" i="26"/>
  <c r="AL31" i="26"/>
  <c r="AK31" i="26"/>
  <c r="AX31" i="26"/>
  <c r="AW31" i="26"/>
  <c r="AV31" i="26"/>
  <c r="AU31" i="26"/>
  <c r="AR30" i="26"/>
  <c r="AQ30" i="26"/>
  <c r="AP30" i="26"/>
  <c r="AN30" i="26"/>
  <c r="AL30" i="26"/>
  <c r="AK30" i="26"/>
  <c r="AO30" i="26"/>
  <c r="AM30" i="26"/>
  <c r="AX30" i="26"/>
  <c r="AW30" i="26"/>
  <c r="AV30" i="26"/>
  <c r="AU30" i="26"/>
  <c r="AT30" i="26"/>
  <c r="AS30" i="26"/>
  <c r="AL29" i="26"/>
  <c r="AP29" i="26"/>
  <c r="AO29" i="26"/>
  <c r="AN29" i="26"/>
  <c r="AM29" i="26"/>
  <c r="AK29" i="26"/>
  <c r="AX29" i="26"/>
  <c r="AW29" i="26"/>
  <c r="AV29" i="26"/>
  <c r="AU29" i="26"/>
  <c r="AT29" i="26"/>
  <c r="AS29" i="26"/>
  <c r="AR29" i="26"/>
  <c r="AQ29" i="26"/>
  <c r="AX28" i="26"/>
  <c r="AN28" i="26"/>
  <c r="AM28" i="26"/>
  <c r="AL28" i="26"/>
  <c r="AW28" i="26"/>
  <c r="AK28" i="26"/>
  <c r="AV28" i="26"/>
  <c r="AU28" i="26"/>
  <c r="AT28" i="26"/>
  <c r="AS28" i="26"/>
  <c r="AR28" i="26"/>
  <c r="AQ28" i="26"/>
  <c r="AP28" i="26"/>
  <c r="AO28" i="26"/>
  <c r="AT23" i="26"/>
  <c r="AS23" i="26"/>
  <c r="AR23" i="26"/>
  <c r="AN23" i="26"/>
  <c r="AQ23" i="26"/>
  <c r="AP23" i="26"/>
  <c r="AO23" i="26"/>
  <c r="AM23" i="26"/>
  <c r="AL23" i="26"/>
  <c r="AK23" i="26"/>
  <c r="AX23" i="26"/>
  <c r="AW23" i="26"/>
  <c r="AV23" i="26"/>
  <c r="AU23" i="26"/>
  <c r="AR22" i="26"/>
  <c r="AQ22" i="26"/>
  <c r="AP22" i="26"/>
  <c r="AL22" i="26"/>
  <c r="AO22" i="26"/>
  <c r="AN22" i="26"/>
  <c r="AM22" i="26"/>
  <c r="AK22" i="26"/>
  <c r="AX22" i="26"/>
  <c r="AW22" i="26"/>
  <c r="AV22" i="26"/>
  <c r="AU22" i="26"/>
  <c r="AT22" i="26"/>
  <c r="AS22" i="26"/>
  <c r="AP21" i="26"/>
  <c r="AO21" i="26"/>
  <c r="AN21" i="26"/>
  <c r="AM21" i="26"/>
  <c r="AL21" i="26"/>
  <c r="AK21" i="26"/>
  <c r="AX21" i="26"/>
  <c r="AW21" i="26"/>
  <c r="AV21" i="26"/>
  <c r="AU21" i="26"/>
  <c r="AT21" i="26"/>
  <c r="AS21" i="26"/>
  <c r="AR21" i="26"/>
  <c r="AQ21" i="26"/>
  <c r="AN20" i="26"/>
  <c r="AM20" i="26"/>
  <c r="AL20" i="26"/>
  <c r="AX20" i="26"/>
  <c r="AK20" i="26"/>
  <c r="AW20" i="26"/>
  <c r="AV20" i="26"/>
  <c r="AU20" i="26"/>
  <c r="AT20" i="26"/>
  <c r="AS20" i="26"/>
  <c r="AR20" i="26"/>
  <c r="AQ20" i="26"/>
  <c r="AP20" i="26"/>
  <c r="AO20" i="26"/>
  <c r="AN15" i="26"/>
  <c r="AT15" i="26"/>
  <c r="AS15" i="26"/>
  <c r="AR15" i="26"/>
  <c r="AQ15" i="26"/>
  <c r="AP15" i="26"/>
  <c r="AO15" i="26"/>
  <c r="AM15" i="26"/>
  <c r="AL15" i="26"/>
  <c r="AK15" i="26"/>
  <c r="AX15" i="26"/>
  <c r="AW15" i="26"/>
  <c r="AV15" i="26"/>
  <c r="AU15" i="26"/>
  <c r="AL14" i="26"/>
  <c r="AQ14" i="26"/>
  <c r="AR14" i="26"/>
  <c r="AP14" i="26"/>
  <c r="AO14" i="26"/>
  <c r="AN14" i="26"/>
  <c r="AM14" i="26"/>
  <c r="AK14" i="26"/>
  <c r="AX14" i="26"/>
  <c r="AW14" i="26"/>
  <c r="AV14" i="26"/>
  <c r="AU14" i="26"/>
  <c r="AT14" i="26"/>
  <c r="AS14" i="26"/>
  <c r="AP13" i="26"/>
  <c r="AO13" i="26"/>
  <c r="AN13" i="26"/>
  <c r="AM13" i="26"/>
  <c r="AL13" i="26"/>
  <c r="AK13" i="26"/>
  <c r="AX13" i="26"/>
  <c r="AW13" i="26"/>
  <c r="AV13" i="26"/>
  <c r="AU13" i="26"/>
  <c r="AT13" i="26"/>
  <c r="AS13" i="26"/>
  <c r="AR13" i="26"/>
  <c r="AQ13" i="26"/>
  <c r="AX12" i="26"/>
  <c r="AN12" i="26"/>
  <c r="AM12" i="26"/>
  <c r="AL12" i="26"/>
  <c r="AK12" i="26"/>
  <c r="AW12" i="26"/>
  <c r="AV12" i="26"/>
  <c r="AU12" i="26"/>
  <c r="AT12" i="26"/>
  <c r="AS12" i="26"/>
  <c r="AR12" i="26"/>
  <c r="AQ12" i="26"/>
  <c r="AP12" i="26"/>
  <c r="AO12" i="26"/>
  <c r="AX58" i="26"/>
  <c r="AW58" i="26"/>
  <c r="AM58" i="26"/>
  <c r="AV58" i="26"/>
  <c r="AU58" i="26"/>
  <c r="AT58" i="26"/>
  <c r="AS58" i="26"/>
  <c r="AR58" i="26"/>
  <c r="AQ58" i="26"/>
  <c r="AL58" i="26"/>
  <c r="AK58" i="26"/>
  <c r="AP58" i="26"/>
  <c r="AO58" i="26"/>
  <c r="AN58" i="26"/>
  <c r="AX57" i="26"/>
  <c r="AW57" i="26"/>
  <c r="AV57" i="26"/>
  <c r="AU57" i="26"/>
  <c r="AT57" i="26"/>
  <c r="AK57" i="26"/>
  <c r="AS57" i="26"/>
  <c r="AR57" i="26"/>
  <c r="AQ57" i="26"/>
  <c r="AP57" i="26"/>
  <c r="AO57" i="26"/>
  <c r="AN57" i="26"/>
  <c r="AM57" i="26"/>
  <c r="AL57" i="26"/>
  <c r="AV56" i="26"/>
  <c r="AU56" i="26"/>
  <c r="AT56" i="26"/>
  <c r="AS56" i="26"/>
  <c r="AX56" i="26"/>
  <c r="AR56" i="26"/>
  <c r="AQ56" i="26"/>
  <c r="AW56" i="26"/>
  <c r="AP56" i="26"/>
  <c r="AO56" i="26"/>
  <c r="AN56" i="26"/>
  <c r="AM56" i="26"/>
  <c r="AL56" i="26"/>
  <c r="AK56" i="26"/>
  <c r="AU54" i="26"/>
  <c r="AR54" i="26"/>
  <c r="AQ54" i="26"/>
  <c r="AP54" i="26"/>
  <c r="AO54" i="26"/>
  <c r="AN54" i="26"/>
  <c r="AT54" i="26"/>
  <c r="AM54" i="26"/>
  <c r="AL54" i="26"/>
  <c r="AK54" i="26"/>
  <c r="AX54" i="26"/>
  <c r="AS54" i="26"/>
  <c r="AW54" i="26"/>
  <c r="AV54" i="26"/>
  <c r="AP53" i="26"/>
  <c r="AO53" i="26"/>
  <c r="AR53" i="26"/>
  <c r="AN53" i="26"/>
  <c r="AM53" i="26"/>
  <c r="AL53" i="26"/>
  <c r="AK53" i="26"/>
  <c r="AX53" i="26"/>
  <c r="AW53" i="26"/>
  <c r="AQ53" i="26"/>
  <c r="AV53" i="26"/>
  <c r="AU53" i="26"/>
  <c r="AS53" i="26"/>
  <c r="AT53" i="26"/>
  <c r="AN52" i="26"/>
  <c r="AP52" i="26"/>
  <c r="AM52" i="26"/>
  <c r="AL52" i="26"/>
  <c r="AK52" i="26"/>
  <c r="AO52" i="26"/>
  <c r="AX52" i="26"/>
  <c r="AW52" i="26"/>
  <c r="AV52" i="26"/>
  <c r="AU52" i="26"/>
  <c r="AQ52" i="26"/>
  <c r="AT52" i="26"/>
  <c r="AS52" i="26"/>
  <c r="AR52" i="26"/>
  <c r="AL51" i="26"/>
  <c r="AK51" i="26"/>
  <c r="AX51" i="26"/>
  <c r="AW51" i="26"/>
  <c r="AV51" i="26"/>
  <c r="AU51" i="26"/>
  <c r="AM51" i="26"/>
  <c r="AT51" i="26"/>
  <c r="AO51" i="26"/>
  <c r="AS51" i="26"/>
  <c r="AR51" i="26"/>
  <c r="AQ51" i="26"/>
  <c r="AN51" i="26"/>
  <c r="AP51" i="26"/>
  <c r="AX50" i="26"/>
  <c r="AW50" i="26"/>
  <c r="AV50" i="26"/>
  <c r="AU50" i="26"/>
  <c r="AT50" i="26"/>
  <c r="AS50" i="26"/>
  <c r="AL50" i="26"/>
  <c r="AR50" i="26"/>
  <c r="AK50" i="26"/>
  <c r="AQ50" i="26"/>
  <c r="AP50" i="26"/>
  <c r="AM50" i="26"/>
  <c r="AO50" i="26"/>
  <c r="AN50" i="26"/>
  <c r="AX49" i="26"/>
  <c r="AW49" i="26"/>
  <c r="AK49" i="26"/>
  <c r="AV49" i="26"/>
  <c r="AU49" i="26"/>
  <c r="AT49" i="26"/>
  <c r="AS49" i="26"/>
  <c r="AR49" i="26"/>
  <c r="AQ49" i="26"/>
  <c r="AP49" i="26"/>
  <c r="AO49" i="26"/>
  <c r="AN49" i="26"/>
  <c r="AM49" i="26"/>
  <c r="AL49" i="26"/>
  <c r="AX48" i="26"/>
  <c r="AW48" i="26"/>
  <c r="AV48" i="26"/>
  <c r="AU48" i="26"/>
  <c r="AT48" i="26"/>
  <c r="AS48" i="26"/>
  <c r="AR48" i="26"/>
  <c r="AQ48" i="26"/>
  <c r="AP48" i="26"/>
  <c r="AO48" i="26"/>
  <c r="AN48" i="26"/>
  <c r="AM48" i="26"/>
  <c r="AL48" i="26"/>
  <c r="AK48" i="26"/>
  <c r="AQ46" i="26"/>
  <c r="AS46" i="26"/>
  <c r="AP46" i="26"/>
  <c r="AR46" i="26"/>
  <c r="AO46" i="26"/>
  <c r="AN46" i="26"/>
  <c r="AT46" i="26"/>
  <c r="AM46" i="26"/>
  <c r="AL46" i="26"/>
  <c r="AK46" i="26"/>
  <c r="AX46" i="26"/>
  <c r="AW46" i="26"/>
  <c r="AV46" i="26"/>
  <c r="AU46" i="26"/>
  <c r="AN45" i="26"/>
  <c r="AO45" i="26"/>
  <c r="AL45" i="26"/>
  <c r="AP45" i="26"/>
  <c r="AK45" i="26"/>
  <c r="AX45" i="26"/>
  <c r="AV45" i="26"/>
  <c r="AU45" i="26"/>
  <c r="AQ45" i="26"/>
  <c r="AT45" i="26"/>
  <c r="AS45" i="26"/>
  <c r="AR45" i="26"/>
  <c r="AM45" i="26"/>
  <c r="AW45" i="26"/>
  <c r="AX44" i="26"/>
  <c r="AW44" i="26"/>
  <c r="AV44" i="26"/>
  <c r="AT44" i="26"/>
  <c r="AS44" i="26"/>
  <c r="AM44" i="26"/>
  <c r="AR44" i="26"/>
  <c r="AL44" i="26"/>
  <c r="AQ44" i="26"/>
  <c r="AP44" i="26"/>
  <c r="AO44" i="26"/>
  <c r="AN44" i="26"/>
  <c r="AK44" i="26"/>
  <c r="AU44" i="26"/>
  <c r="AW43" i="26"/>
  <c r="AV43" i="26"/>
  <c r="AU43" i="26"/>
  <c r="AT43" i="26"/>
  <c r="AR43" i="26"/>
  <c r="AX43" i="26"/>
  <c r="AQ43" i="26"/>
  <c r="AP43" i="26"/>
  <c r="AO43" i="26"/>
  <c r="AN43" i="26"/>
  <c r="AM43" i="26"/>
  <c r="AL43" i="26"/>
  <c r="AK43" i="26"/>
  <c r="AS43" i="26"/>
  <c r="AS42" i="26"/>
  <c r="AP42" i="26"/>
  <c r="AO42" i="26"/>
  <c r="AN42" i="26"/>
  <c r="AM42" i="26"/>
  <c r="AU42" i="26"/>
  <c r="AL42" i="26"/>
  <c r="AV42" i="26"/>
  <c r="AK42" i="26"/>
  <c r="AT42" i="26"/>
  <c r="AX42" i="26"/>
  <c r="AW42" i="26"/>
  <c r="AR42" i="26"/>
  <c r="AQ42" i="26"/>
  <c r="AX41" i="26"/>
  <c r="AW41" i="26"/>
  <c r="AQ41" i="26"/>
  <c r="AV41" i="26"/>
  <c r="AT41" i="26"/>
  <c r="AS41" i="26"/>
  <c r="AR41" i="26"/>
  <c r="AU41" i="26"/>
  <c r="AP41" i="26"/>
  <c r="AO41" i="26"/>
  <c r="AN41" i="26"/>
  <c r="AM41" i="26"/>
  <c r="AL41" i="26"/>
  <c r="AK41" i="26"/>
  <c r="AT40" i="26"/>
  <c r="AR40" i="26"/>
  <c r="AP40" i="26"/>
  <c r="AU40" i="26"/>
  <c r="AO40" i="26"/>
  <c r="AV40" i="26"/>
  <c r="AS40" i="26"/>
  <c r="AQ40" i="26"/>
  <c r="AN40" i="26"/>
  <c r="AM40" i="26"/>
  <c r="AL40" i="26"/>
  <c r="AK40" i="26"/>
  <c r="AX40" i="26"/>
  <c r="AW40" i="26"/>
  <c r="AP37" i="26"/>
  <c r="AO37" i="26"/>
  <c r="AN37" i="26"/>
  <c r="AL37" i="26"/>
  <c r="AM37" i="26"/>
  <c r="AK37" i="26"/>
  <c r="AX37" i="26"/>
  <c r="AW37" i="26"/>
  <c r="AV37" i="26"/>
  <c r="AU37" i="26"/>
  <c r="AT37" i="26"/>
  <c r="AS37" i="26"/>
  <c r="AR37" i="26"/>
  <c r="AQ37" i="26"/>
  <c r="AX36" i="26"/>
  <c r="AW36" i="26"/>
  <c r="AN36" i="26"/>
  <c r="AM36" i="26"/>
  <c r="AL36" i="26"/>
  <c r="AK36" i="26"/>
  <c r="AV36" i="26"/>
  <c r="AU36" i="26"/>
  <c r="AT36" i="26"/>
  <c r="AS36" i="26"/>
  <c r="AR36" i="26"/>
  <c r="AQ36" i="26"/>
  <c r="AP36" i="26"/>
  <c r="AO36" i="26"/>
  <c r="AX35" i="26"/>
  <c r="AV35" i="26"/>
  <c r="AU35" i="26"/>
  <c r="AK35" i="26"/>
  <c r="AL35" i="26"/>
  <c r="AW35" i="26"/>
  <c r="AT35" i="26"/>
  <c r="AS35" i="26"/>
  <c r="AR35" i="26"/>
  <c r="AQ35" i="26"/>
  <c r="AP35" i="26"/>
  <c r="AO35" i="26"/>
  <c r="AN35" i="26"/>
  <c r="AM35" i="26"/>
  <c r="AT34" i="26"/>
  <c r="AX34" i="26"/>
  <c r="AS34" i="26"/>
  <c r="AV34" i="26"/>
  <c r="AW34" i="26"/>
  <c r="AU34" i="26"/>
  <c r="AR34" i="26"/>
  <c r="AQ34" i="26"/>
  <c r="AP34" i="26"/>
  <c r="AO34" i="26"/>
  <c r="AN34" i="26"/>
  <c r="AM34" i="26"/>
  <c r="AL34" i="26"/>
  <c r="AK34" i="26"/>
  <c r="AX33" i="26"/>
  <c r="AW33" i="26"/>
  <c r="AV33" i="26"/>
  <c r="AT33" i="26"/>
  <c r="AR33" i="26"/>
  <c r="AQ33" i="26"/>
  <c r="AU33" i="26"/>
  <c r="AS33" i="26"/>
  <c r="AP33" i="26"/>
  <c r="AO33" i="26"/>
  <c r="AN33" i="26"/>
  <c r="AM33" i="26"/>
  <c r="AL33" i="26"/>
  <c r="AK33" i="26"/>
  <c r="AV32" i="26"/>
  <c r="AU32" i="26"/>
  <c r="AT32" i="26"/>
  <c r="AO32" i="26"/>
  <c r="AR32" i="26"/>
  <c r="AP32" i="26"/>
  <c r="AS32" i="26"/>
  <c r="AQ32" i="26"/>
  <c r="AN32" i="26"/>
  <c r="AM32" i="26"/>
  <c r="AL32" i="26"/>
  <c r="AK32" i="26"/>
  <c r="AX32" i="26"/>
  <c r="AW32" i="26"/>
  <c r="AV27" i="26"/>
  <c r="AU27" i="26"/>
  <c r="AL27" i="26"/>
  <c r="AK27" i="26"/>
  <c r="AX27" i="26"/>
  <c r="AW27" i="26"/>
  <c r="AT27" i="26"/>
  <c r="AS27" i="26"/>
  <c r="AR27" i="26"/>
  <c r="AQ27" i="26"/>
  <c r="AP27" i="26"/>
  <c r="AO27" i="26"/>
  <c r="AN27" i="26"/>
  <c r="AM27" i="26"/>
  <c r="AX26" i="26"/>
  <c r="AT26" i="26"/>
  <c r="AW26" i="26"/>
  <c r="AV26" i="26"/>
  <c r="AU26" i="26"/>
  <c r="AS26" i="26"/>
  <c r="AR26" i="26"/>
  <c r="AQ26" i="26"/>
  <c r="AP26" i="26"/>
  <c r="AO26" i="26"/>
  <c r="AN26" i="26"/>
  <c r="AM26" i="26"/>
  <c r="AL26" i="26"/>
  <c r="AK26" i="26"/>
  <c r="AX25" i="26"/>
  <c r="AW25" i="26"/>
  <c r="AV25" i="26"/>
  <c r="AR25" i="26"/>
  <c r="AU25" i="26"/>
  <c r="AT25" i="26"/>
  <c r="AS25" i="26"/>
  <c r="AQ25" i="26"/>
  <c r="AP25" i="26"/>
  <c r="AO25" i="26"/>
  <c r="AN25" i="26"/>
  <c r="AM25" i="26"/>
  <c r="AL25" i="26"/>
  <c r="AK25" i="26"/>
  <c r="AT24" i="26"/>
  <c r="AP24" i="26"/>
  <c r="AV24" i="26"/>
  <c r="AU24" i="26"/>
  <c r="AS24" i="26"/>
  <c r="AR24" i="26"/>
  <c r="AQ24" i="26"/>
  <c r="AO24" i="26"/>
  <c r="AN24" i="26"/>
  <c r="AM24" i="26"/>
  <c r="AL24" i="26"/>
  <c r="AK24" i="26"/>
  <c r="AX24" i="26"/>
  <c r="AW24" i="26"/>
  <c r="AV19" i="26"/>
  <c r="AL19" i="26"/>
  <c r="AK19" i="26"/>
  <c r="AX19" i="26"/>
  <c r="AW19" i="26"/>
  <c r="AU19" i="26"/>
  <c r="AT19" i="26"/>
  <c r="AS19" i="26"/>
  <c r="AR19" i="26"/>
  <c r="AQ19" i="26"/>
  <c r="AP19" i="26"/>
  <c r="AO19" i="26"/>
  <c r="AN19" i="26"/>
  <c r="AM19" i="26"/>
  <c r="AX18" i="26"/>
  <c r="AT18" i="26"/>
  <c r="AW18" i="26"/>
  <c r="AV18" i="26"/>
  <c r="AU18" i="26"/>
  <c r="AS18" i="26"/>
  <c r="AR18" i="26"/>
  <c r="AQ18" i="26"/>
  <c r="AP18" i="26"/>
  <c r="AO18" i="26"/>
  <c r="AN18" i="26"/>
  <c r="AM18" i="26"/>
  <c r="AL18" i="26"/>
  <c r="AK18" i="26"/>
  <c r="AX17" i="26"/>
  <c r="AW17" i="26"/>
  <c r="AR17" i="26"/>
  <c r="AV17" i="26"/>
  <c r="AU17" i="26"/>
  <c r="AT17" i="26"/>
  <c r="AS17" i="26"/>
  <c r="AQ17" i="26"/>
  <c r="AP17" i="26"/>
  <c r="AO17" i="26"/>
  <c r="AN17" i="26"/>
  <c r="AM17" i="26"/>
  <c r="AL17" i="26"/>
  <c r="AK17" i="26"/>
  <c r="AV16" i="26"/>
  <c r="AU16" i="26"/>
  <c r="AP16" i="26"/>
  <c r="AT16" i="26"/>
  <c r="AS16" i="26"/>
  <c r="AR16" i="26"/>
  <c r="AQ16" i="26"/>
  <c r="AO16" i="26"/>
  <c r="AN16" i="26"/>
  <c r="AM16" i="26"/>
  <c r="AL16" i="26"/>
  <c r="AK16" i="26"/>
  <c r="AX16" i="26"/>
  <c r="AW16" i="26"/>
  <c r="AV11" i="26"/>
  <c r="AL11" i="26"/>
  <c r="AK11" i="26"/>
  <c r="AX11" i="26"/>
  <c r="AW11" i="26"/>
  <c r="AU11" i="26"/>
  <c r="AT11" i="26"/>
  <c r="AS11" i="26"/>
  <c r="AR11" i="26"/>
  <c r="AQ11" i="26"/>
  <c r="AP11" i="26"/>
  <c r="AO11" i="26"/>
  <c r="AN11" i="26"/>
  <c r="AM11" i="26"/>
  <c r="Y68" i="15" l="1"/>
  <c r="Y67" i="15"/>
  <c r="AA66" i="15"/>
  <c r="T66" i="15" s="1"/>
  <c r="AB79" i="15"/>
  <c r="Y66" i="15"/>
  <c r="R66" i="15" s="1"/>
  <c r="Y79" i="15"/>
  <c r="Y78" i="15"/>
  <c r="AA67" i="15"/>
  <c r="AB67" i="15"/>
  <c r="AA76" i="15"/>
  <c r="AA78" i="15"/>
  <c r="Y70" i="15"/>
  <c r="R70" i="15" s="1"/>
  <c r="Y65" i="15"/>
  <c r="R65" i="15" s="1"/>
  <c r="Y75" i="15"/>
  <c r="AA75" i="15"/>
  <c r="AB77" i="15"/>
  <c r="Z71" i="15"/>
  <c r="AA65" i="15"/>
  <c r="T65" i="15" s="1"/>
  <c r="AB65" i="15"/>
  <c r="U65" i="15" s="1"/>
  <c r="Z72" i="15"/>
  <c r="AB66" i="15"/>
  <c r="U66" i="15" s="1"/>
  <c r="K19" i="9" s="1"/>
  <c r="Z73" i="15"/>
  <c r="Y77" i="15"/>
  <c r="AA68" i="15"/>
  <c r="AB75" i="15"/>
  <c r="AA70" i="15"/>
  <c r="T70" i="15" s="1"/>
  <c r="AB68" i="15"/>
  <c r="Z74" i="15"/>
  <c r="AA71" i="15"/>
  <c r="AB70" i="15"/>
  <c r="U70" i="15" s="1"/>
  <c r="Z75" i="15"/>
  <c r="AA72" i="15"/>
  <c r="AB73" i="15"/>
  <c r="Z76" i="15"/>
  <c r="AA73" i="15"/>
  <c r="AB71" i="15"/>
  <c r="Z77" i="15"/>
  <c r="AB74" i="15"/>
  <c r="Z78" i="15"/>
  <c r="AB72" i="15"/>
  <c r="Z79" i="15"/>
  <c r="Y71" i="15"/>
  <c r="AA77" i="15"/>
  <c r="Z65" i="15"/>
  <c r="S65" i="15" s="1"/>
  <c r="Y72" i="15"/>
  <c r="Y73" i="15"/>
  <c r="AA74" i="15"/>
  <c r="Z67" i="15"/>
  <c r="Y74" i="15"/>
  <c r="AA79" i="15"/>
  <c r="AB76" i="15"/>
  <c r="Z68" i="15"/>
  <c r="Z70" i="15"/>
  <c r="S70" i="15" s="1"/>
  <c r="Y76" i="15"/>
  <c r="AB78" i="15"/>
  <c r="Z66" i="15"/>
  <c r="S66" i="15" s="1"/>
  <c r="K8" i="9" l="1"/>
  <c r="N10" i="9"/>
  <c r="K13" i="9"/>
  <c r="L13" i="9"/>
  <c r="M13" i="9"/>
  <c r="K16" i="9"/>
  <c r="L16" i="9"/>
  <c r="AL10" i="9"/>
  <c r="AI8" i="9"/>
  <c r="AI10" i="9"/>
  <c r="V66" i="15"/>
  <c r="V65" i="15"/>
  <c r="V70" i="15"/>
  <c r="C18" i="9"/>
  <c r="C12" i="9"/>
  <c r="C15" i="9"/>
  <c r="C8" i="9"/>
  <c r="AR28" i="9"/>
  <c r="W43" i="9"/>
  <c r="CQ73" i="9"/>
  <c r="CY43" i="9"/>
  <c r="CA43" i="9"/>
  <c r="AS28" i="9"/>
  <c r="AU29" i="9"/>
  <c r="DG28" i="9"/>
  <c r="BS73" i="9"/>
  <c r="AT28" i="9"/>
  <c r="AE28" i="9"/>
  <c r="CI28" i="9"/>
  <c r="BC58" i="9"/>
  <c r="BK28" i="9"/>
  <c r="AJ7" i="9" l="1"/>
  <c r="AJ8" i="9" s="1"/>
  <c r="AJ11" i="9" s="1"/>
  <c r="K10" i="9"/>
  <c r="L7" i="9" s="1"/>
  <c r="AJ10" i="9"/>
  <c r="L10" i="9"/>
  <c r="K11" i="9"/>
  <c r="K14" i="9" s="1"/>
  <c r="K17" i="9" s="1"/>
  <c r="O28" i="9" s="1"/>
  <c r="O154" i="9" s="1"/>
  <c r="K52" i="15"/>
  <c r="K53" i="15"/>
  <c r="AI11" i="9"/>
  <c r="AI13" i="9" s="1"/>
  <c r="C10" i="9"/>
  <c r="D7" i="9" s="1"/>
  <c r="C11" i="9"/>
  <c r="E43" i="9" s="1"/>
  <c r="O44" i="9"/>
  <c r="CY73" i="9"/>
  <c r="CY196" i="9" s="1"/>
  <c r="CY28" i="9"/>
  <c r="CY93" i="9" s="1"/>
  <c r="CY58" i="9"/>
  <c r="CY121" i="9" s="1"/>
  <c r="BK43" i="9"/>
  <c r="BK107" i="9" s="1"/>
  <c r="BK73" i="9"/>
  <c r="BK135" i="9" s="1"/>
  <c r="DG73" i="9"/>
  <c r="DG196" i="9" s="1"/>
  <c r="BK58" i="9"/>
  <c r="BK182" i="9" s="1"/>
  <c r="DG43" i="9"/>
  <c r="DG107" i="9" s="1"/>
  <c r="DG58" i="9"/>
  <c r="DG121" i="9" s="1"/>
  <c r="CI58" i="9"/>
  <c r="CI121" i="9" s="1"/>
  <c r="W28" i="9"/>
  <c r="W154" i="9" s="1"/>
  <c r="CI43" i="9"/>
  <c r="CI168" i="9" s="1"/>
  <c r="W58" i="9"/>
  <c r="W182" i="9" s="1"/>
  <c r="CI73" i="9"/>
  <c r="CI135" i="9" s="1"/>
  <c r="CQ43" i="9"/>
  <c r="CQ107" i="9" s="1"/>
  <c r="CQ28" i="9"/>
  <c r="CQ93" i="9" s="1"/>
  <c r="CQ58" i="9"/>
  <c r="CQ121" i="9" s="1"/>
  <c r="W73" i="9"/>
  <c r="W196" i="9" s="1"/>
  <c r="CA58" i="9"/>
  <c r="CA182" i="9" s="1"/>
  <c r="AE43" i="9"/>
  <c r="AE168" i="9" s="1"/>
  <c r="CA73" i="9"/>
  <c r="CA196" i="9" s="1"/>
  <c r="AE73" i="9"/>
  <c r="AE196" i="9" s="1"/>
  <c r="CA28" i="9"/>
  <c r="CA154" i="9" s="1"/>
  <c r="BS28" i="9"/>
  <c r="BS154" i="9" s="1"/>
  <c r="BC28" i="9"/>
  <c r="BC154" i="9" s="1"/>
  <c r="AE58" i="9"/>
  <c r="AE121" i="9" s="1"/>
  <c r="BS58" i="9"/>
  <c r="BS182" i="9" s="1"/>
  <c r="BC43" i="9"/>
  <c r="BC107" i="9" s="1"/>
  <c r="BS43" i="9"/>
  <c r="BS107" i="9" s="1"/>
  <c r="BC73" i="9"/>
  <c r="BC196" i="9" s="1"/>
  <c r="AJ43" i="9"/>
  <c r="CH45" i="9"/>
  <c r="CX30" i="9"/>
  <c r="CY45" i="9"/>
  <c r="DG30" i="9"/>
  <c r="CP45" i="9"/>
  <c r="BZ45" i="9"/>
  <c r="CA45" i="9"/>
  <c r="BR75" i="9"/>
  <c r="BJ75" i="9"/>
  <c r="BK60" i="9"/>
  <c r="BB45" i="9"/>
  <c r="BC75" i="9"/>
  <c r="AU73" i="9"/>
  <c r="CV60" i="9"/>
  <c r="CV75" i="9"/>
  <c r="CV30" i="9"/>
  <c r="CV45" i="9"/>
  <c r="DD60" i="9"/>
  <c r="DD75" i="9"/>
  <c r="DD30" i="9"/>
  <c r="DD45" i="9"/>
  <c r="CN30" i="9"/>
  <c r="CN75" i="9"/>
  <c r="CN45" i="9"/>
  <c r="CN60" i="9"/>
  <c r="CF30" i="9"/>
  <c r="CF75" i="9"/>
  <c r="CF60" i="9"/>
  <c r="CF45" i="9"/>
  <c r="BP75" i="9"/>
  <c r="BP30" i="9"/>
  <c r="BP45" i="9"/>
  <c r="BP60" i="9"/>
  <c r="BX75" i="9"/>
  <c r="BX45" i="9"/>
  <c r="BX30" i="9"/>
  <c r="BX60" i="9"/>
  <c r="AU58" i="9"/>
  <c r="AU43" i="9"/>
  <c r="AB45" i="9"/>
  <c r="AB30" i="9"/>
  <c r="AB60" i="9"/>
  <c r="AB75" i="9"/>
  <c r="T75" i="9"/>
  <c r="T30" i="9"/>
  <c r="T60" i="9"/>
  <c r="T45" i="9"/>
  <c r="AU28" i="9"/>
  <c r="BH75" i="9"/>
  <c r="BH60" i="9"/>
  <c r="BH30" i="9"/>
  <c r="BH45" i="9"/>
  <c r="AZ45" i="9"/>
  <c r="AZ30" i="9"/>
  <c r="AZ60" i="9"/>
  <c r="AZ75" i="9"/>
  <c r="AU94" i="9"/>
  <c r="CQ135" i="9"/>
  <c r="CQ196" i="9"/>
  <c r="BS135" i="9"/>
  <c r="BS196" i="9"/>
  <c r="BC121" i="9"/>
  <c r="BC182" i="9"/>
  <c r="CA168" i="9"/>
  <c r="CA107" i="9"/>
  <c r="CY107" i="9"/>
  <c r="CY168" i="9"/>
  <c r="CI154" i="9"/>
  <c r="CI93" i="9"/>
  <c r="AS154" i="9"/>
  <c r="AS93" i="9"/>
  <c r="BK93" i="9"/>
  <c r="BK154" i="9"/>
  <c r="AT93" i="9"/>
  <c r="AT154" i="9"/>
  <c r="AR93" i="9"/>
  <c r="AR154" i="9"/>
  <c r="DG154" i="9"/>
  <c r="DG93" i="9"/>
  <c r="W168" i="9"/>
  <c r="W107" i="9"/>
  <c r="AE154" i="9"/>
  <c r="AE93" i="9"/>
  <c r="BR43" i="9"/>
  <c r="BR28" i="9"/>
  <c r="BR73" i="9"/>
  <c r="BR58" i="9"/>
  <c r="BH58" i="9"/>
  <c r="BH43" i="9"/>
  <c r="BH73" i="9"/>
  <c r="BH28" i="9"/>
  <c r="CW73" i="9"/>
  <c r="CW43" i="9"/>
  <c r="CW28" i="9"/>
  <c r="CW58" i="9"/>
  <c r="BA58" i="9"/>
  <c r="BA28" i="9"/>
  <c r="BA73" i="9"/>
  <c r="BA43" i="9"/>
  <c r="CP58" i="9"/>
  <c r="CP43" i="9"/>
  <c r="CP28" i="9"/>
  <c r="CP73" i="9"/>
  <c r="CQ44" i="9"/>
  <c r="CQ29" i="9"/>
  <c r="CQ74" i="9"/>
  <c r="CQ59" i="9"/>
  <c r="BC74" i="9"/>
  <c r="BC44" i="9"/>
  <c r="BC59" i="9"/>
  <c r="BC29" i="9"/>
  <c r="DE43" i="9"/>
  <c r="DE73" i="9"/>
  <c r="DE58" i="9"/>
  <c r="DE28" i="9"/>
  <c r="CN58" i="9"/>
  <c r="CN43" i="9"/>
  <c r="CN28" i="9"/>
  <c r="CN73" i="9"/>
  <c r="BS74" i="9"/>
  <c r="BS59" i="9"/>
  <c r="BS44" i="9"/>
  <c r="BS29" i="9"/>
  <c r="BY73" i="9"/>
  <c r="BY58" i="9"/>
  <c r="BY43" i="9"/>
  <c r="BY28" i="9"/>
  <c r="BP43" i="9"/>
  <c r="BP28" i="9"/>
  <c r="BP73" i="9"/>
  <c r="BP58" i="9"/>
  <c r="CX73" i="9"/>
  <c r="CX43" i="9"/>
  <c r="CX28" i="9"/>
  <c r="CX58" i="9"/>
  <c r="BB28" i="9"/>
  <c r="BB73" i="9"/>
  <c r="BB58" i="9"/>
  <c r="BB43" i="9"/>
  <c r="CO58" i="9"/>
  <c r="CO43" i="9"/>
  <c r="CO73" i="9"/>
  <c r="CO28" i="9"/>
  <c r="CY59" i="9"/>
  <c r="CY74" i="9"/>
  <c r="CY29" i="9"/>
  <c r="CY44" i="9"/>
  <c r="AZ58" i="9"/>
  <c r="AZ28" i="9"/>
  <c r="AZ73" i="9"/>
  <c r="AZ43" i="9"/>
  <c r="CV73" i="9"/>
  <c r="CV43" i="9"/>
  <c r="CV28" i="9"/>
  <c r="CV58" i="9"/>
  <c r="CA44" i="9"/>
  <c r="CA29" i="9"/>
  <c r="CA59" i="9"/>
  <c r="CA74" i="9"/>
  <c r="BJ43" i="9"/>
  <c r="BJ73" i="9"/>
  <c r="BJ28" i="9"/>
  <c r="BJ58" i="9"/>
  <c r="BZ58" i="9"/>
  <c r="BZ73" i="9"/>
  <c r="BZ43" i="9"/>
  <c r="BZ28" i="9"/>
  <c r="BK74" i="9"/>
  <c r="BK29" i="9"/>
  <c r="BK59" i="9"/>
  <c r="BK44" i="9"/>
  <c r="CH43" i="9"/>
  <c r="CH28" i="9"/>
  <c r="CH73" i="9"/>
  <c r="CH58" i="9"/>
  <c r="BQ43" i="9"/>
  <c r="BQ28" i="9"/>
  <c r="BQ73" i="9"/>
  <c r="BQ58" i="9"/>
  <c r="CF43" i="9"/>
  <c r="CF28" i="9"/>
  <c r="CF73" i="9"/>
  <c r="CF58" i="9"/>
  <c r="DG44" i="9"/>
  <c r="DG74" i="9"/>
  <c r="DG29" i="9"/>
  <c r="DG59" i="9"/>
  <c r="DD58" i="9"/>
  <c r="DD43" i="9"/>
  <c r="DD73" i="9"/>
  <c r="DD28" i="9"/>
  <c r="CG28" i="9"/>
  <c r="CG43" i="9"/>
  <c r="CG73" i="9"/>
  <c r="CG58" i="9"/>
  <c r="BI43" i="9"/>
  <c r="BI73" i="9"/>
  <c r="BI28" i="9"/>
  <c r="BI58" i="9"/>
  <c r="BX73" i="9"/>
  <c r="BX58" i="9"/>
  <c r="BX43" i="9"/>
  <c r="BX28" i="9"/>
  <c r="DF43" i="9"/>
  <c r="DF73" i="9"/>
  <c r="DF28" i="9"/>
  <c r="DF58" i="9"/>
  <c r="CI74" i="9"/>
  <c r="CI59" i="9"/>
  <c r="CI44" i="9"/>
  <c r="CI29" i="9"/>
  <c r="AE74" i="9"/>
  <c r="AE44" i="9"/>
  <c r="AE59" i="9"/>
  <c r="AE29" i="9"/>
  <c r="AC58" i="9"/>
  <c r="AC28" i="9"/>
  <c r="AC73" i="9"/>
  <c r="AC43" i="9"/>
  <c r="AD43" i="9"/>
  <c r="AD58" i="9"/>
  <c r="AD28" i="9"/>
  <c r="AD73" i="9"/>
  <c r="D58" i="9"/>
  <c r="D28" i="9"/>
  <c r="D43" i="9"/>
  <c r="D73" i="9"/>
  <c r="AB43" i="9"/>
  <c r="AB28" i="9"/>
  <c r="AB58" i="9"/>
  <c r="AB73" i="9"/>
  <c r="AT58" i="9"/>
  <c r="AT73" i="9"/>
  <c r="AT43" i="9"/>
  <c r="AR43" i="9"/>
  <c r="AR73" i="9"/>
  <c r="AR58" i="9"/>
  <c r="AS43" i="9"/>
  <c r="AS73" i="9"/>
  <c r="AS58" i="9"/>
  <c r="AU74" i="9"/>
  <c r="AU44" i="9"/>
  <c r="AU59" i="9"/>
  <c r="V58" i="9"/>
  <c r="V28" i="9"/>
  <c r="V73" i="9"/>
  <c r="V43" i="9"/>
  <c r="U28" i="9"/>
  <c r="U58" i="9"/>
  <c r="U43" i="9"/>
  <c r="U73" i="9"/>
  <c r="T43" i="9"/>
  <c r="T58" i="9"/>
  <c r="T28" i="9"/>
  <c r="T73" i="9"/>
  <c r="W29" i="9"/>
  <c r="W74" i="9"/>
  <c r="W59" i="9"/>
  <c r="W44" i="9"/>
  <c r="AK7" i="9" l="1"/>
  <c r="AK8" i="9" s="1"/>
  <c r="AK11" i="9" s="1"/>
  <c r="L9" i="9"/>
  <c r="L8" i="9"/>
  <c r="AK10" i="9"/>
  <c r="M9" i="9"/>
  <c r="N73" i="9"/>
  <c r="N196" i="9" s="1"/>
  <c r="O93" i="9"/>
  <c r="N58" i="9"/>
  <c r="N182" i="9" s="1"/>
  <c r="M58" i="9"/>
  <c r="M121" i="9" s="1"/>
  <c r="N43" i="9"/>
  <c r="N168" i="9" s="1"/>
  <c r="M28" i="9"/>
  <c r="M154" i="9" s="1"/>
  <c r="N28" i="9"/>
  <c r="N93" i="9" s="1"/>
  <c r="M73" i="9"/>
  <c r="M135" i="9" s="1"/>
  <c r="M43" i="9"/>
  <c r="M168" i="9" s="1"/>
  <c r="O58" i="9"/>
  <c r="O121" i="9" s="1"/>
  <c r="O43" i="9"/>
  <c r="O168" i="9" s="1"/>
  <c r="O73" i="9"/>
  <c r="O196" i="9" s="1"/>
  <c r="K20" i="9"/>
  <c r="AK58" i="9"/>
  <c r="AK121" i="9" s="1"/>
  <c r="AK73" i="9"/>
  <c r="AK135" i="9" s="1"/>
  <c r="AK43" i="9"/>
  <c r="AK168" i="9" s="1"/>
  <c r="AJ14" i="9"/>
  <c r="AJ16" i="9" s="1"/>
  <c r="AJ13" i="9"/>
  <c r="AK13" i="9"/>
  <c r="AI14" i="9"/>
  <c r="AI16" i="9" s="1"/>
  <c r="AL29" i="9" s="1"/>
  <c r="AK28" i="9"/>
  <c r="E73" i="9"/>
  <c r="E196" i="9" s="1"/>
  <c r="E58" i="9"/>
  <c r="E182" i="9" s="1"/>
  <c r="E28" i="9"/>
  <c r="E154" i="9" s="1"/>
  <c r="C14" i="9"/>
  <c r="C13" i="9"/>
  <c r="E59" i="9" s="1"/>
  <c r="D12" i="9"/>
  <c r="D15" i="9"/>
  <c r="D9" i="9"/>
  <c r="D8" i="9"/>
  <c r="D11" i="9" s="1"/>
  <c r="D14" i="9" s="1"/>
  <c r="AR75" i="9"/>
  <c r="AR84" i="9" s="1"/>
  <c r="BI77" i="9"/>
  <c r="BI31" i="9"/>
  <c r="BI96" i="9" s="1"/>
  <c r="BB61" i="9"/>
  <c r="BB124" i="9" s="1"/>
  <c r="O29" i="9"/>
  <c r="O94" i="9" s="1"/>
  <c r="O59" i="9"/>
  <c r="O122" i="9" s="1"/>
  <c r="O74" i="9"/>
  <c r="O136" i="9" s="1"/>
  <c r="D60" i="9"/>
  <c r="D69" i="9" s="1"/>
  <c r="D75" i="9"/>
  <c r="D137" i="9" s="1"/>
  <c r="D30" i="9"/>
  <c r="D95" i="9" s="1"/>
  <c r="AE60" i="9"/>
  <c r="AE184" i="9" s="1"/>
  <c r="AD30" i="9"/>
  <c r="AD95" i="9" s="1"/>
  <c r="AD76" i="9"/>
  <c r="AD138" i="9" s="1"/>
  <c r="AC77" i="9"/>
  <c r="AC46" i="9"/>
  <c r="AC110" i="9" s="1"/>
  <c r="W45" i="9"/>
  <c r="W170" i="9" s="1"/>
  <c r="V30" i="9"/>
  <c r="V95" i="9" s="1"/>
  <c r="U76" i="9"/>
  <c r="U138" i="9" s="1"/>
  <c r="D45" i="9"/>
  <c r="D54" i="9" s="1"/>
  <c r="AR60" i="9"/>
  <c r="AR123" i="9" s="1"/>
  <c r="AS60" i="9"/>
  <c r="AS184" i="9" s="1"/>
  <c r="AR45" i="9"/>
  <c r="AR109" i="9" s="1"/>
  <c r="AU30" i="9"/>
  <c r="AU95" i="9" s="1"/>
  <c r="AR30" i="9"/>
  <c r="AR95" i="9" s="1"/>
  <c r="AT30" i="9"/>
  <c r="AT156" i="9" s="1"/>
  <c r="CY154" i="9"/>
  <c r="AJ29" i="9"/>
  <c r="AJ94" i="9" s="1"/>
  <c r="DG182" i="9"/>
  <c r="DG168" i="9"/>
  <c r="CY135" i="9"/>
  <c r="CY182" i="9"/>
  <c r="BK196" i="9"/>
  <c r="DG135" i="9"/>
  <c r="BK168" i="9"/>
  <c r="BK121" i="9"/>
  <c r="AJ28" i="9"/>
  <c r="AJ93" i="9" s="1"/>
  <c r="CI182" i="9"/>
  <c r="AE182" i="9"/>
  <c r="W121" i="9"/>
  <c r="W93" i="9"/>
  <c r="CQ182" i="9"/>
  <c r="BC93" i="9"/>
  <c r="CQ168" i="9"/>
  <c r="CI196" i="9"/>
  <c r="CQ154" i="9"/>
  <c r="CI107" i="9"/>
  <c r="W135" i="9"/>
  <c r="AJ58" i="9"/>
  <c r="AJ121" i="9" s="1"/>
  <c r="AE107" i="9"/>
  <c r="CA121" i="9"/>
  <c r="CA135" i="9"/>
  <c r="BC135" i="9"/>
  <c r="AJ73" i="9"/>
  <c r="AJ196" i="9" s="1"/>
  <c r="AE135" i="9"/>
  <c r="BS121" i="9"/>
  <c r="BS93" i="9"/>
  <c r="CA93" i="9"/>
  <c r="BS168" i="9"/>
  <c r="BC168" i="9"/>
  <c r="BS60" i="9"/>
  <c r="BS123" i="9" s="1"/>
  <c r="AU135" i="9"/>
  <c r="AU168" i="9"/>
  <c r="AU121" i="9"/>
  <c r="CP75" i="9"/>
  <c r="CP198" i="9" s="1"/>
  <c r="CX45" i="9"/>
  <c r="CX170" i="9" s="1"/>
  <c r="BQ60" i="9"/>
  <c r="BQ123" i="9" s="1"/>
  <c r="CG60" i="9"/>
  <c r="CG184" i="9" s="1"/>
  <c r="CY30" i="9"/>
  <c r="CY156" i="9" s="1"/>
  <c r="BS75" i="9"/>
  <c r="BS198" i="9" s="1"/>
  <c r="BQ75" i="9"/>
  <c r="BQ198" i="9" s="1"/>
  <c r="CH60" i="9"/>
  <c r="CH123" i="9" s="1"/>
  <c r="BI75" i="9"/>
  <c r="BI137" i="9" s="1"/>
  <c r="CV69" i="9"/>
  <c r="CY75" i="9"/>
  <c r="CY198" i="9" s="1"/>
  <c r="CY60" i="9"/>
  <c r="CY184" i="9" s="1"/>
  <c r="CH75" i="9"/>
  <c r="CH198" i="9" s="1"/>
  <c r="DF61" i="9"/>
  <c r="DF124" i="9" s="1"/>
  <c r="DD39" i="9"/>
  <c r="CF39" i="9"/>
  <c r="CG30" i="9"/>
  <c r="CG156" i="9" s="1"/>
  <c r="CX75" i="9"/>
  <c r="CX137" i="9" s="1"/>
  <c r="CX60" i="9"/>
  <c r="CX123" i="9" s="1"/>
  <c r="BS30" i="9"/>
  <c r="CW60" i="9"/>
  <c r="CW123" i="9" s="1"/>
  <c r="BC30" i="9"/>
  <c r="BC95" i="9" s="1"/>
  <c r="DF75" i="9"/>
  <c r="DF198" i="9" s="1"/>
  <c r="BK75" i="9"/>
  <c r="BK198" i="9" s="1"/>
  <c r="BK30" i="9"/>
  <c r="BK95" i="9" s="1"/>
  <c r="V60" i="9"/>
  <c r="V123" i="9" s="1"/>
  <c r="CG75" i="9"/>
  <c r="CG198" i="9" s="1"/>
  <c r="CO60" i="9"/>
  <c r="CO184" i="9" s="1"/>
  <c r="CG45" i="9"/>
  <c r="CG109" i="9" s="1"/>
  <c r="BS45" i="9"/>
  <c r="BS109" i="9" s="1"/>
  <c r="AU196" i="9"/>
  <c r="BK45" i="9"/>
  <c r="CV39" i="9"/>
  <c r="BJ30" i="9"/>
  <c r="BJ156" i="9" s="1"/>
  <c r="DF45" i="9"/>
  <c r="DF109" i="9" s="1"/>
  <c r="V75" i="9"/>
  <c r="V198" i="9" s="1"/>
  <c r="DF60" i="9"/>
  <c r="DF184" i="9" s="1"/>
  <c r="CW45" i="9"/>
  <c r="CW170" i="9" s="1"/>
  <c r="T69" i="9"/>
  <c r="CW75" i="9"/>
  <c r="CW198" i="9" s="1"/>
  <c r="CV84" i="9"/>
  <c r="DG46" i="9"/>
  <c r="DG110" i="9" s="1"/>
  <c r="CX61" i="9"/>
  <c r="CX124" i="9" s="1"/>
  <c r="DF30" i="9"/>
  <c r="DF95" i="9" s="1"/>
  <c r="CW61" i="9"/>
  <c r="CW124" i="9" s="1"/>
  <c r="V45" i="9"/>
  <c r="V170" i="9" s="1"/>
  <c r="CP60" i="9"/>
  <c r="CP184" i="9" s="1"/>
  <c r="BA60" i="9"/>
  <c r="BA184" i="9" s="1"/>
  <c r="BJ45" i="9"/>
  <c r="CW30" i="9"/>
  <c r="CW95" i="9" s="1"/>
  <c r="BQ45" i="9"/>
  <c r="BQ109" i="9" s="1"/>
  <c r="BA75" i="9"/>
  <c r="BA198" i="9" s="1"/>
  <c r="BJ60" i="9"/>
  <c r="BJ123" i="9" s="1"/>
  <c r="AZ54" i="9"/>
  <c r="CP30" i="9"/>
  <c r="CP95" i="9" s="1"/>
  <c r="DG45" i="9"/>
  <c r="DG109" i="9" s="1"/>
  <c r="BY60" i="9"/>
  <c r="BY184" i="9" s="1"/>
  <c r="BA45" i="9"/>
  <c r="BA109" i="9" s="1"/>
  <c r="DG75" i="9"/>
  <c r="DG137" i="9" s="1"/>
  <c r="BY75" i="9"/>
  <c r="BY198" i="9" s="1"/>
  <c r="AB54" i="9"/>
  <c r="BX84" i="9"/>
  <c r="DG60" i="9"/>
  <c r="BY30" i="9"/>
  <c r="BY95" i="9" s="1"/>
  <c r="BQ30" i="9"/>
  <c r="BQ156" i="9" s="1"/>
  <c r="BA30" i="9"/>
  <c r="BA95" i="9" s="1"/>
  <c r="BY45" i="9"/>
  <c r="BY170" i="9" s="1"/>
  <c r="BS61" i="9"/>
  <c r="BS124" i="9" s="1"/>
  <c r="AD75" i="9"/>
  <c r="AD198" i="9" s="1"/>
  <c r="BZ75" i="9"/>
  <c r="BZ198" i="9" s="1"/>
  <c r="BP54" i="9"/>
  <c r="BZ60" i="9"/>
  <c r="BZ184" i="9" s="1"/>
  <c r="AD60" i="9"/>
  <c r="AD184" i="9" s="1"/>
  <c r="BZ30" i="9"/>
  <c r="BZ156" i="9" s="1"/>
  <c r="BX69" i="9"/>
  <c r="AD45" i="9"/>
  <c r="AD170" i="9" s="1"/>
  <c r="CN39" i="9"/>
  <c r="CN69" i="9"/>
  <c r="CY61" i="9"/>
  <c r="CY124" i="9" s="1"/>
  <c r="BH84" i="9"/>
  <c r="V76" i="9"/>
  <c r="V138" i="9" s="1"/>
  <c r="CP61" i="9"/>
  <c r="CP124" i="9" s="1"/>
  <c r="CF84" i="9"/>
  <c r="AZ39" i="9"/>
  <c r="T84" i="9"/>
  <c r="BH54" i="9"/>
  <c r="T39" i="9"/>
  <c r="AB84" i="9"/>
  <c r="AE30" i="9"/>
  <c r="AE156" i="9" s="1"/>
  <c r="W31" i="9"/>
  <c r="W96" i="9" s="1"/>
  <c r="AE61" i="9"/>
  <c r="DD54" i="9"/>
  <c r="AE45" i="9"/>
  <c r="CV54" i="9"/>
  <c r="BP69" i="9"/>
  <c r="CH30" i="9"/>
  <c r="CH156" i="9" s="1"/>
  <c r="BI45" i="9"/>
  <c r="AE75" i="9"/>
  <c r="BI60" i="9"/>
  <c r="BI123" i="9" s="1"/>
  <c r="BQ46" i="9"/>
  <c r="BQ110" i="9" s="1"/>
  <c r="BR30" i="9"/>
  <c r="BR156" i="9" s="1"/>
  <c r="AB69" i="9"/>
  <c r="BR45" i="9"/>
  <c r="BR170" i="9" s="1"/>
  <c r="BH39" i="9"/>
  <c r="BR60" i="9"/>
  <c r="BR123" i="9" s="1"/>
  <c r="CQ76" i="9"/>
  <c r="CQ138" i="9" s="1"/>
  <c r="AB39" i="9"/>
  <c r="BH69" i="9"/>
  <c r="CI46" i="9"/>
  <c r="CI110" i="9" s="1"/>
  <c r="CH46" i="9"/>
  <c r="CH110" i="9" s="1"/>
  <c r="CQ60" i="9"/>
  <c r="DE45" i="9"/>
  <c r="DE109" i="9" s="1"/>
  <c r="CQ45" i="9"/>
  <c r="CQ170" i="9" s="1"/>
  <c r="CQ75" i="9"/>
  <c r="CQ137" i="9" s="1"/>
  <c r="DE60" i="9"/>
  <c r="DE123" i="9" s="1"/>
  <c r="CQ30" i="9"/>
  <c r="CQ156" i="9" s="1"/>
  <c r="DE30" i="9"/>
  <c r="DE156" i="9" s="1"/>
  <c r="AT61" i="9"/>
  <c r="AT124" i="9" s="1"/>
  <c r="DE75" i="9"/>
  <c r="DE137" i="9" s="1"/>
  <c r="AU107" i="9"/>
  <c r="BR46" i="9"/>
  <c r="BR110" i="9" s="1"/>
  <c r="CF184" i="9"/>
  <c r="CF123" i="9"/>
  <c r="CF54" i="9"/>
  <c r="BP170" i="9"/>
  <c r="BP109" i="9"/>
  <c r="DE77" i="9"/>
  <c r="DE32" i="9"/>
  <c r="DE62" i="9"/>
  <c r="DE47" i="9"/>
  <c r="BX170" i="9"/>
  <c r="BX109" i="9"/>
  <c r="U45" i="9"/>
  <c r="U109" i="9" s="1"/>
  <c r="CO30" i="9"/>
  <c r="CO156" i="9" s="1"/>
  <c r="BX137" i="9"/>
  <c r="BX198" i="9"/>
  <c r="CN95" i="9"/>
  <c r="CN156" i="9"/>
  <c r="BX156" i="9"/>
  <c r="BX95" i="9"/>
  <c r="CN198" i="9"/>
  <c r="CN137" i="9"/>
  <c r="U75" i="9"/>
  <c r="U198" i="9" s="1"/>
  <c r="CN84" i="9"/>
  <c r="CF198" i="9"/>
  <c r="CF137" i="9"/>
  <c r="CW77" i="9"/>
  <c r="CW32" i="9"/>
  <c r="CW47" i="9"/>
  <c r="CW62" i="9"/>
  <c r="DD84" i="9"/>
  <c r="BP137" i="9"/>
  <c r="BP198" i="9"/>
  <c r="CO45" i="9"/>
  <c r="CO170" i="9" s="1"/>
  <c r="U30" i="9"/>
  <c r="U156" i="9" s="1"/>
  <c r="BP84" i="9"/>
  <c r="BP39" i="9"/>
  <c r="CN54" i="9"/>
  <c r="CG77" i="9"/>
  <c r="CG62" i="9"/>
  <c r="CG47" i="9"/>
  <c r="CG32" i="9"/>
  <c r="DE61" i="9"/>
  <c r="DE124" i="9" s="1"/>
  <c r="BP156" i="9"/>
  <c r="BP95" i="9"/>
  <c r="DD69" i="9"/>
  <c r="CI75" i="9"/>
  <c r="CI198" i="9" s="1"/>
  <c r="CF156" i="9"/>
  <c r="CF95" i="9"/>
  <c r="DD170" i="9"/>
  <c r="DD109" i="9"/>
  <c r="CV170" i="9"/>
  <c r="CV109" i="9"/>
  <c r="DD198" i="9"/>
  <c r="DD137" i="9"/>
  <c r="CI30" i="9"/>
  <c r="CA60" i="9"/>
  <c r="DD95" i="9"/>
  <c r="DD156" i="9"/>
  <c r="DD184" i="9"/>
  <c r="DD123" i="9"/>
  <c r="W75" i="9"/>
  <c r="W198" i="9" s="1"/>
  <c r="CI45" i="9"/>
  <c r="CA75" i="9"/>
  <c r="BY31" i="9"/>
  <c r="BY96" i="9" s="1"/>
  <c r="CO76" i="9"/>
  <c r="CO138" i="9" s="1"/>
  <c r="CF109" i="9"/>
  <c r="CF170" i="9"/>
  <c r="CI60" i="9"/>
  <c r="CA30" i="9"/>
  <c r="CA61" i="9"/>
  <c r="CA124" i="9" s="1"/>
  <c r="BP184" i="9"/>
  <c r="BP123" i="9"/>
  <c r="CN109" i="9"/>
  <c r="CN170" i="9"/>
  <c r="W30" i="9"/>
  <c r="BX39" i="9"/>
  <c r="CF69" i="9"/>
  <c r="BY32" i="9"/>
  <c r="BY47" i="9"/>
  <c r="BY62" i="9"/>
  <c r="BY77" i="9"/>
  <c r="CG31" i="9"/>
  <c r="CG96" i="9" s="1"/>
  <c r="CV156" i="9"/>
  <c r="CV95" i="9"/>
  <c r="CO62" i="9"/>
  <c r="CO77" i="9"/>
  <c r="CO32" i="9"/>
  <c r="CO47" i="9"/>
  <c r="CO75" i="9"/>
  <c r="CO137" i="9" s="1"/>
  <c r="W60" i="9"/>
  <c r="BX54" i="9"/>
  <c r="AU182" i="9"/>
  <c r="BZ61" i="9"/>
  <c r="BZ124" i="9" s="1"/>
  <c r="BQ62" i="9"/>
  <c r="BQ32" i="9"/>
  <c r="BQ47" i="9"/>
  <c r="BQ77" i="9"/>
  <c r="CN123" i="9"/>
  <c r="CN184" i="9"/>
  <c r="CV198" i="9"/>
  <c r="CV137" i="9"/>
  <c r="U60" i="9"/>
  <c r="U123" i="9" s="1"/>
  <c r="BX184" i="9"/>
  <c r="BX123" i="9"/>
  <c r="CV123" i="9"/>
  <c r="CV184" i="9"/>
  <c r="BI30" i="9"/>
  <c r="BI95" i="9" s="1"/>
  <c r="AZ84" i="9"/>
  <c r="AU31" i="9"/>
  <c r="AU96" i="9" s="1"/>
  <c r="BK31" i="9"/>
  <c r="BK96" i="9" s="1"/>
  <c r="T54" i="9"/>
  <c r="AZ69" i="9"/>
  <c r="AB170" i="9"/>
  <c r="AB109" i="9"/>
  <c r="AC45" i="9"/>
  <c r="AC170" i="9" s="1"/>
  <c r="T170" i="9"/>
  <c r="T109" i="9"/>
  <c r="AC30" i="9"/>
  <c r="AC156" i="9" s="1"/>
  <c r="T123" i="9"/>
  <c r="T184" i="9"/>
  <c r="AC75" i="9"/>
  <c r="AC198" i="9" s="1"/>
  <c r="T156" i="9"/>
  <c r="T95" i="9"/>
  <c r="AC60" i="9"/>
  <c r="AC184" i="9" s="1"/>
  <c r="T137" i="9"/>
  <c r="T198" i="9"/>
  <c r="U32" i="9"/>
  <c r="U62" i="9"/>
  <c r="U47" i="9"/>
  <c r="U77" i="9"/>
  <c r="AB198" i="9"/>
  <c r="AB137" i="9"/>
  <c r="AB123" i="9"/>
  <c r="AB184" i="9"/>
  <c r="AB156" i="9"/>
  <c r="AB95" i="9"/>
  <c r="BJ61" i="9"/>
  <c r="BJ124" i="9" s="1"/>
  <c r="BB75" i="9"/>
  <c r="BB137" i="9" s="1"/>
  <c r="BB30" i="9"/>
  <c r="BB95" i="9" s="1"/>
  <c r="BB60" i="9"/>
  <c r="BB184" i="9" s="1"/>
  <c r="AU93" i="9"/>
  <c r="AU154" i="9"/>
  <c r="BA46" i="9"/>
  <c r="BA110" i="9" s="1"/>
  <c r="BC45" i="9"/>
  <c r="BC31" i="9"/>
  <c r="BH170" i="9"/>
  <c r="BH109" i="9"/>
  <c r="BH156" i="9"/>
  <c r="BH95" i="9"/>
  <c r="BH123" i="9"/>
  <c r="BH184" i="9"/>
  <c r="AZ198" i="9"/>
  <c r="AZ137" i="9"/>
  <c r="BH137" i="9"/>
  <c r="BH198" i="9"/>
  <c r="AZ184" i="9"/>
  <c r="AZ123" i="9"/>
  <c r="AZ95" i="9"/>
  <c r="AZ156" i="9"/>
  <c r="AZ109" i="9"/>
  <c r="AZ170" i="9"/>
  <c r="BC60" i="9"/>
  <c r="BA62" i="9"/>
  <c r="BA32" i="9"/>
  <c r="BA77" i="9"/>
  <c r="BA47" i="9"/>
  <c r="L75" i="9"/>
  <c r="L45" i="9"/>
  <c r="L60" i="9"/>
  <c r="L30" i="9"/>
  <c r="CY136" i="9"/>
  <c r="DG136" i="9"/>
  <c r="CY122" i="9"/>
  <c r="DG122" i="9"/>
  <c r="DG108" i="9"/>
  <c r="CY108" i="9"/>
  <c r="DG94" i="9"/>
  <c r="CY94" i="9"/>
  <c r="CA94" i="9"/>
  <c r="CQ94" i="9"/>
  <c r="BS94" i="9"/>
  <c r="CI94" i="9"/>
  <c r="CA108" i="9"/>
  <c r="CQ108" i="9"/>
  <c r="BS108" i="9"/>
  <c r="CI108" i="9"/>
  <c r="CA122" i="9"/>
  <c r="BS122" i="9"/>
  <c r="CQ122" i="9"/>
  <c r="CI122" i="9"/>
  <c r="CI136" i="9"/>
  <c r="CQ136" i="9"/>
  <c r="CA136" i="9"/>
  <c r="BS136" i="9"/>
  <c r="BC136" i="9"/>
  <c r="BK136" i="9"/>
  <c r="AU136" i="9"/>
  <c r="BC122" i="9"/>
  <c r="BK122" i="9"/>
  <c r="AU122" i="9"/>
  <c r="BC108" i="9"/>
  <c r="BK108" i="9"/>
  <c r="AU108" i="9"/>
  <c r="BC94" i="9"/>
  <c r="BK94" i="9"/>
  <c r="W136" i="9"/>
  <c r="AE136" i="9"/>
  <c r="W122" i="9"/>
  <c r="AE122" i="9"/>
  <c r="AE108" i="9"/>
  <c r="W108" i="9"/>
  <c r="W94" i="9"/>
  <c r="AE94" i="9"/>
  <c r="O108" i="9"/>
  <c r="CF196" i="9"/>
  <c r="CF135" i="9"/>
  <c r="AS135" i="9"/>
  <c r="AS196" i="9"/>
  <c r="BR198" i="9"/>
  <c r="BR137" i="9"/>
  <c r="CV135" i="9"/>
  <c r="CV196" i="9"/>
  <c r="BB135" i="9"/>
  <c r="BB196" i="9"/>
  <c r="CH135" i="9"/>
  <c r="CH196" i="9"/>
  <c r="BY196" i="9"/>
  <c r="BY135" i="9"/>
  <c r="CW196" i="9"/>
  <c r="CW135" i="9"/>
  <c r="BQ135" i="9"/>
  <c r="BQ196" i="9"/>
  <c r="BI196" i="9"/>
  <c r="BI135" i="9"/>
  <c r="AZ196" i="9"/>
  <c r="AZ135" i="9"/>
  <c r="CO135" i="9"/>
  <c r="CO196" i="9"/>
  <c r="CG135" i="9"/>
  <c r="CG196" i="9"/>
  <c r="AT196" i="9"/>
  <c r="AT135" i="9"/>
  <c r="BX196" i="9"/>
  <c r="BX135" i="9"/>
  <c r="BZ196" i="9"/>
  <c r="BZ135" i="9"/>
  <c r="BA196" i="9"/>
  <c r="BA135" i="9"/>
  <c r="DE135" i="9"/>
  <c r="DE196" i="9"/>
  <c r="AR135" i="9"/>
  <c r="AR196" i="9"/>
  <c r="DD135" i="9"/>
  <c r="DD196" i="9"/>
  <c r="BC137" i="9"/>
  <c r="BC198" i="9"/>
  <c r="CX135" i="9"/>
  <c r="CX196" i="9"/>
  <c r="DF196" i="9"/>
  <c r="DF135" i="9"/>
  <c r="CN135" i="9"/>
  <c r="CN196" i="9"/>
  <c r="BJ137" i="9"/>
  <c r="BJ198" i="9"/>
  <c r="CP135" i="9"/>
  <c r="CP196" i="9"/>
  <c r="BJ196" i="9"/>
  <c r="BJ135" i="9"/>
  <c r="BP135" i="9"/>
  <c r="BP196" i="9"/>
  <c r="BH135" i="9"/>
  <c r="BH196" i="9"/>
  <c r="BR135" i="9"/>
  <c r="BR196" i="9"/>
  <c r="AT182" i="9"/>
  <c r="AT121" i="9"/>
  <c r="DF121" i="9"/>
  <c r="DF182" i="9"/>
  <c r="CX182" i="9"/>
  <c r="CX121" i="9"/>
  <c r="CN121" i="9"/>
  <c r="CN182" i="9"/>
  <c r="CP121" i="9"/>
  <c r="CP182" i="9"/>
  <c r="BH121" i="9"/>
  <c r="BH182" i="9"/>
  <c r="BY121" i="9"/>
  <c r="BY182" i="9"/>
  <c r="BZ182" i="9"/>
  <c r="BZ121" i="9"/>
  <c r="DD182" i="9"/>
  <c r="DD121" i="9"/>
  <c r="BJ182" i="9"/>
  <c r="BJ121" i="9"/>
  <c r="AZ121" i="9"/>
  <c r="AZ182" i="9"/>
  <c r="CO182" i="9"/>
  <c r="CO121" i="9"/>
  <c r="DE182" i="9"/>
  <c r="DE121" i="9"/>
  <c r="BI121" i="9"/>
  <c r="BI182" i="9"/>
  <c r="CG182" i="9"/>
  <c r="CG121" i="9"/>
  <c r="CF121" i="9"/>
  <c r="CF182" i="9"/>
  <c r="CV121" i="9"/>
  <c r="CV182" i="9"/>
  <c r="BK123" i="9"/>
  <c r="BK184" i="9"/>
  <c r="BQ182" i="9"/>
  <c r="BQ121" i="9"/>
  <c r="CH121" i="9"/>
  <c r="CH182" i="9"/>
  <c r="BP182" i="9"/>
  <c r="BP121" i="9"/>
  <c r="BA182" i="9"/>
  <c r="BA121" i="9"/>
  <c r="AR182" i="9"/>
  <c r="AR121" i="9"/>
  <c r="AS121" i="9"/>
  <c r="AS182" i="9"/>
  <c r="BX182" i="9"/>
  <c r="BX121" i="9"/>
  <c r="BB182" i="9"/>
  <c r="BB121" i="9"/>
  <c r="CW121" i="9"/>
  <c r="CW182" i="9"/>
  <c r="BR121" i="9"/>
  <c r="BR182" i="9"/>
  <c r="CP109" i="9"/>
  <c r="CP170" i="9"/>
  <c r="CA109" i="9"/>
  <c r="CA170" i="9"/>
  <c r="BZ170" i="9"/>
  <c r="BZ109" i="9"/>
  <c r="CY170" i="9"/>
  <c r="CY109" i="9"/>
  <c r="CH109" i="9"/>
  <c r="CH170" i="9"/>
  <c r="BB109" i="9"/>
  <c r="BB170" i="9"/>
  <c r="BY168" i="9"/>
  <c r="BY107" i="9"/>
  <c r="CF168" i="9"/>
  <c r="CF107" i="9"/>
  <c r="CV168" i="9"/>
  <c r="CV107" i="9"/>
  <c r="AS107" i="9"/>
  <c r="AS168" i="9"/>
  <c r="BQ168" i="9"/>
  <c r="BQ107" i="9"/>
  <c r="CH107" i="9"/>
  <c r="CH168" i="9"/>
  <c r="BZ168" i="9"/>
  <c r="BZ107" i="9"/>
  <c r="AZ107" i="9"/>
  <c r="AZ168" i="9"/>
  <c r="BP168" i="9"/>
  <c r="BP107" i="9"/>
  <c r="CN168" i="9"/>
  <c r="CN107" i="9"/>
  <c r="CP107" i="9"/>
  <c r="CP168" i="9"/>
  <c r="CW107" i="9"/>
  <c r="CW168" i="9"/>
  <c r="BH168" i="9"/>
  <c r="BH107" i="9"/>
  <c r="AT107" i="9"/>
  <c r="AT168" i="9"/>
  <c r="BR107" i="9"/>
  <c r="BR168" i="9"/>
  <c r="CO168" i="9"/>
  <c r="CO107" i="9"/>
  <c r="BA107" i="9"/>
  <c r="BA168" i="9"/>
  <c r="CX168" i="9"/>
  <c r="CX107" i="9"/>
  <c r="CG107" i="9"/>
  <c r="CG168" i="9"/>
  <c r="BJ107" i="9"/>
  <c r="BJ168" i="9"/>
  <c r="DD107" i="9"/>
  <c r="DD168" i="9"/>
  <c r="BX107" i="9"/>
  <c r="BX168" i="9"/>
  <c r="BI107" i="9"/>
  <c r="BI168" i="9"/>
  <c r="DF168" i="9"/>
  <c r="DF107" i="9"/>
  <c r="AR168" i="9"/>
  <c r="AR107" i="9"/>
  <c r="BB107" i="9"/>
  <c r="BB168" i="9"/>
  <c r="DE168" i="9"/>
  <c r="DE107" i="9"/>
  <c r="AJ107" i="9"/>
  <c r="AJ168" i="9"/>
  <c r="DG156" i="9"/>
  <c r="DG95" i="9"/>
  <c r="CX95" i="9"/>
  <c r="CX156" i="9"/>
  <c r="BP93" i="9"/>
  <c r="BP154" i="9"/>
  <c r="CN154" i="9"/>
  <c r="CN93" i="9"/>
  <c r="CP93" i="9"/>
  <c r="CP154" i="9"/>
  <c r="CW93" i="9"/>
  <c r="CW154" i="9"/>
  <c r="CO154" i="9"/>
  <c r="CO93" i="9"/>
  <c r="BB93" i="9"/>
  <c r="BB154" i="9"/>
  <c r="BX154" i="9"/>
  <c r="BX93" i="9"/>
  <c r="AZ154" i="9"/>
  <c r="AZ93" i="9"/>
  <c r="BR154" i="9"/>
  <c r="BR93" i="9"/>
  <c r="BI154" i="9"/>
  <c r="BI93" i="9"/>
  <c r="BJ93" i="9"/>
  <c r="BJ154" i="9"/>
  <c r="CX93" i="9"/>
  <c r="CX154" i="9"/>
  <c r="DE93" i="9"/>
  <c r="DE154" i="9"/>
  <c r="CF93" i="9"/>
  <c r="CF154" i="9"/>
  <c r="CV154" i="9"/>
  <c r="CV93" i="9"/>
  <c r="BA93" i="9"/>
  <c r="BA154" i="9"/>
  <c r="CG93" i="9"/>
  <c r="CG154" i="9"/>
  <c r="BQ154" i="9"/>
  <c r="BQ93" i="9"/>
  <c r="CH154" i="9"/>
  <c r="CH93" i="9"/>
  <c r="BZ154" i="9"/>
  <c r="BZ93" i="9"/>
  <c r="BY154" i="9"/>
  <c r="BY93" i="9"/>
  <c r="DF154" i="9"/>
  <c r="DF93" i="9"/>
  <c r="DD154" i="9"/>
  <c r="DD93" i="9"/>
  <c r="BH93" i="9"/>
  <c r="BH154" i="9"/>
  <c r="T196" i="9"/>
  <c r="T135" i="9"/>
  <c r="V196" i="9"/>
  <c r="V135" i="9"/>
  <c r="D182" i="9"/>
  <c r="D121" i="9"/>
  <c r="E168" i="9"/>
  <c r="E107" i="9"/>
  <c r="T154" i="9"/>
  <c r="T93" i="9"/>
  <c r="AD196" i="9"/>
  <c r="AD135" i="9"/>
  <c r="AC168" i="9"/>
  <c r="AC107" i="9"/>
  <c r="T182" i="9"/>
  <c r="T121" i="9"/>
  <c r="V154" i="9"/>
  <c r="V93" i="9"/>
  <c r="T168" i="9"/>
  <c r="T107" i="9"/>
  <c r="AB196" i="9"/>
  <c r="AB135" i="9"/>
  <c r="D196" i="9"/>
  <c r="D135" i="9"/>
  <c r="AD154" i="9"/>
  <c r="AD93" i="9"/>
  <c r="AC196" i="9"/>
  <c r="AC135" i="9"/>
  <c r="AC154" i="9"/>
  <c r="AC93" i="9"/>
  <c r="V168" i="9"/>
  <c r="V107" i="9"/>
  <c r="AB182" i="9"/>
  <c r="AB121" i="9"/>
  <c r="AD182" i="9"/>
  <c r="AD121" i="9"/>
  <c r="AC182" i="9"/>
  <c r="AC121" i="9"/>
  <c r="V182" i="9"/>
  <c r="V121" i="9"/>
  <c r="U196" i="9"/>
  <c r="U135" i="9"/>
  <c r="U168" i="9"/>
  <c r="U107" i="9"/>
  <c r="U182" i="9"/>
  <c r="U121" i="9"/>
  <c r="U154" i="9"/>
  <c r="U93" i="9"/>
  <c r="AB154" i="9"/>
  <c r="AB93" i="9"/>
  <c r="D168" i="9"/>
  <c r="D107" i="9"/>
  <c r="AD168" i="9"/>
  <c r="AD107" i="9"/>
  <c r="AB168" i="9"/>
  <c r="AB107" i="9"/>
  <c r="D154" i="9"/>
  <c r="D93" i="9"/>
  <c r="DD44" i="9"/>
  <c r="DD74" i="9"/>
  <c r="DD85" i="9" s="1"/>
  <c r="DD29" i="9"/>
  <c r="DD40" i="9" s="1"/>
  <c r="DD59" i="9"/>
  <c r="DD70" i="9" s="1"/>
  <c r="BX59" i="9"/>
  <c r="BX70" i="9" s="1"/>
  <c r="BX44" i="9"/>
  <c r="BX29" i="9"/>
  <c r="BX74" i="9"/>
  <c r="CO44" i="9"/>
  <c r="CO59" i="9"/>
  <c r="CO29" i="9"/>
  <c r="CO74" i="9"/>
  <c r="CF29" i="9"/>
  <c r="CF40" i="9" s="1"/>
  <c r="CF74" i="9"/>
  <c r="CF59" i="9"/>
  <c r="CF44" i="9"/>
  <c r="CV44" i="9"/>
  <c r="CV29" i="9"/>
  <c r="CV40" i="9" s="1"/>
  <c r="CV59" i="9"/>
  <c r="CV70" i="9" s="1"/>
  <c r="CV74" i="9"/>
  <c r="CV85" i="9" s="1"/>
  <c r="DF44" i="9"/>
  <c r="DF74" i="9"/>
  <c r="DF29" i="9"/>
  <c r="DF59" i="9"/>
  <c r="BJ74" i="9"/>
  <c r="BJ44" i="9"/>
  <c r="BJ29" i="9"/>
  <c r="BJ59" i="9"/>
  <c r="CW29" i="9"/>
  <c r="CW44" i="9"/>
  <c r="CW59" i="9"/>
  <c r="CW74" i="9"/>
  <c r="CX29" i="9"/>
  <c r="CX44" i="9"/>
  <c r="CX59" i="9"/>
  <c r="CX74" i="9"/>
  <c r="BA74" i="9"/>
  <c r="BA44" i="9"/>
  <c r="BA29" i="9"/>
  <c r="BA59" i="9"/>
  <c r="AS29" i="9"/>
  <c r="AZ74" i="9"/>
  <c r="AZ85" i="9" s="1"/>
  <c r="AZ44" i="9"/>
  <c r="AZ55" i="9" s="1"/>
  <c r="AZ29" i="9"/>
  <c r="AZ40" i="9" s="1"/>
  <c r="AZ59" i="9"/>
  <c r="CH74" i="9"/>
  <c r="CH29" i="9"/>
  <c r="CH59" i="9"/>
  <c r="CH44" i="9"/>
  <c r="AT29" i="9"/>
  <c r="BB74" i="9"/>
  <c r="BB44" i="9"/>
  <c r="BB59" i="9"/>
  <c r="BB29" i="9"/>
  <c r="BQ29" i="9"/>
  <c r="BQ74" i="9"/>
  <c r="BQ59" i="9"/>
  <c r="BQ44" i="9"/>
  <c r="CN44" i="9"/>
  <c r="CN55" i="9" s="1"/>
  <c r="CN59" i="9"/>
  <c r="CN70" i="9" s="1"/>
  <c r="CN29" i="9"/>
  <c r="CN74" i="9"/>
  <c r="CP44" i="9"/>
  <c r="CP29" i="9"/>
  <c r="CP74" i="9"/>
  <c r="CP59" i="9"/>
  <c r="BH44" i="9"/>
  <c r="BH55" i="9" s="1"/>
  <c r="BH74" i="9"/>
  <c r="BH85" i="9" s="1"/>
  <c r="BH29" i="9"/>
  <c r="BH59" i="9"/>
  <c r="BR29" i="9"/>
  <c r="BR74" i="9"/>
  <c r="BR59" i="9"/>
  <c r="BR44" i="9"/>
  <c r="BY59" i="9"/>
  <c r="BY44" i="9"/>
  <c r="BY29" i="9"/>
  <c r="BY74" i="9"/>
  <c r="BZ59" i="9"/>
  <c r="BZ44" i="9"/>
  <c r="BZ29" i="9"/>
  <c r="BZ74" i="9"/>
  <c r="AR29" i="9"/>
  <c r="BI44" i="9"/>
  <c r="BI74" i="9"/>
  <c r="BI29" i="9"/>
  <c r="BI59" i="9"/>
  <c r="CG29" i="9"/>
  <c r="CG74" i="9"/>
  <c r="CG59" i="9"/>
  <c r="CG44" i="9"/>
  <c r="AK29" i="9"/>
  <c r="DE44" i="9"/>
  <c r="DE74" i="9"/>
  <c r="DE29" i="9"/>
  <c r="DE59" i="9"/>
  <c r="BP29" i="9"/>
  <c r="BP40" i="9" s="1"/>
  <c r="BP74" i="9"/>
  <c r="BP85" i="9" s="1"/>
  <c r="BP44" i="9"/>
  <c r="BP55" i="9" s="1"/>
  <c r="BP59" i="9"/>
  <c r="BP70" i="9" s="1"/>
  <c r="D59" i="9"/>
  <c r="D29" i="9"/>
  <c r="D74" i="9"/>
  <c r="D44" i="9"/>
  <c r="AC29" i="9"/>
  <c r="AC74" i="9"/>
  <c r="AC44" i="9"/>
  <c r="AC59" i="9"/>
  <c r="AB29" i="9"/>
  <c r="AB74" i="9"/>
  <c r="AB44" i="9"/>
  <c r="AB59" i="9"/>
  <c r="AD44" i="9"/>
  <c r="AD29" i="9"/>
  <c r="AD74" i="9"/>
  <c r="AD59" i="9"/>
  <c r="AT59" i="9"/>
  <c r="AT74" i="9"/>
  <c r="AT44" i="9"/>
  <c r="AR74" i="9"/>
  <c r="AR44" i="9"/>
  <c r="AR55" i="9" s="1"/>
  <c r="AR59" i="9"/>
  <c r="AR70" i="9" s="1"/>
  <c r="AS59" i="9"/>
  <c r="AS74" i="9"/>
  <c r="AS44" i="9"/>
  <c r="AK59" i="9"/>
  <c r="AK44" i="9"/>
  <c r="AK74" i="9"/>
  <c r="V59" i="9"/>
  <c r="V29" i="9"/>
  <c r="V74" i="9"/>
  <c r="V44" i="9"/>
  <c r="T59" i="9"/>
  <c r="T70" i="9" s="1"/>
  <c r="T29" i="9"/>
  <c r="T40" i="9" s="1"/>
  <c r="T74" i="9"/>
  <c r="T44" i="9"/>
  <c r="U59" i="9"/>
  <c r="U29" i="9"/>
  <c r="U74" i="9"/>
  <c r="U44" i="9"/>
  <c r="M29" i="9"/>
  <c r="M74" i="9"/>
  <c r="M59" i="9"/>
  <c r="M44" i="9"/>
  <c r="L44" i="9"/>
  <c r="L74" i="9"/>
  <c r="L29" i="9"/>
  <c r="L59" i="9"/>
  <c r="N74" i="9"/>
  <c r="N44" i="9"/>
  <c r="N29" i="9"/>
  <c r="N59" i="9"/>
  <c r="L58" i="9"/>
  <c r="L73" i="9"/>
  <c r="L28" i="9"/>
  <c r="L43" i="9"/>
  <c r="M182" i="9" l="1"/>
  <c r="M107" i="9"/>
  <c r="N135" i="9"/>
  <c r="AL7" i="9"/>
  <c r="AL8" i="9" s="1"/>
  <c r="N121" i="9"/>
  <c r="M7" i="9"/>
  <c r="M8" i="9" s="1"/>
  <c r="L11" i="9"/>
  <c r="N45" i="9" s="1"/>
  <c r="AK20" i="9"/>
  <c r="M10" i="9"/>
  <c r="AL9" i="9"/>
  <c r="N107" i="9"/>
  <c r="N154" i="9"/>
  <c r="M93" i="9"/>
  <c r="M196" i="9"/>
  <c r="O135" i="9"/>
  <c r="O107" i="9"/>
  <c r="AK196" i="9"/>
  <c r="AK107" i="9"/>
  <c r="AK182" i="9"/>
  <c r="O182" i="9"/>
  <c r="AJ20" i="9"/>
  <c r="AL59" i="9"/>
  <c r="AL122" i="9" s="1"/>
  <c r="AL44" i="9"/>
  <c r="AL108" i="9" s="1"/>
  <c r="AL74" i="9"/>
  <c r="AL136" i="9" s="1"/>
  <c r="F73" i="9"/>
  <c r="F196" i="9" s="1"/>
  <c r="C17" i="9"/>
  <c r="C19" i="9" s="1"/>
  <c r="G29" i="9" s="1"/>
  <c r="G94" i="9" s="1"/>
  <c r="E93" i="9"/>
  <c r="E135" i="9"/>
  <c r="E121" i="9"/>
  <c r="AK93" i="9"/>
  <c r="AK154" i="9"/>
  <c r="AI17" i="9"/>
  <c r="AL28" i="9"/>
  <c r="AL58" i="9"/>
  <c r="AL43" i="9"/>
  <c r="AL73" i="9"/>
  <c r="E44" i="9"/>
  <c r="E108" i="9" s="1"/>
  <c r="F43" i="9"/>
  <c r="F168" i="9" s="1"/>
  <c r="F58" i="9"/>
  <c r="F182" i="9" s="1"/>
  <c r="E29" i="9"/>
  <c r="E94" i="9" s="1"/>
  <c r="E74" i="9"/>
  <c r="E136" i="9" s="1"/>
  <c r="D10" i="9"/>
  <c r="E7" i="9" s="1"/>
  <c r="D16" i="9"/>
  <c r="G46" i="9" s="1"/>
  <c r="G110" i="9" s="1"/>
  <c r="C16" i="9"/>
  <c r="F28" i="9"/>
  <c r="D13" i="9"/>
  <c r="F61" i="9" s="1"/>
  <c r="F124" i="9" s="1"/>
  <c r="AR198" i="9"/>
  <c r="AR206" i="9" s="1"/>
  <c r="L73" i="20" s="1"/>
  <c r="AR137" i="9"/>
  <c r="BI62" i="9"/>
  <c r="BI69" i="9" s="1"/>
  <c r="BJ32" i="9"/>
  <c r="BI47" i="9"/>
  <c r="BI172" i="9" s="1"/>
  <c r="BI32" i="9"/>
  <c r="BI38" i="9" s="1"/>
  <c r="AS31" i="9"/>
  <c r="AS96" i="9" s="1"/>
  <c r="AS75" i="9"/>
  <c r="AS137" i="9" s="1"/>
  <c r="E45" i="9"/>
  <c r="E109" i="9" s="1"/>
  <c r="D39" i="9"/>
  <c r="D156" i="9"/>
  <c r="D164" i="9" s="1"/>
  <c r="L11" i="20" s="1"/>
  <c r="D184" i="9"/>
  <c r="D192" i="9" s="1"/>
  <c r="L49" i="20" s="1"/>
  <c r="E30" i="9"/>
  <c r="E156" i="9" s="1"/>
  <c r="D123" i="9"/>
  <c r="E75" i="9"/>
  <c r="E137" i="9" s="1"/>
  <c r="E60" i="9"/>
  <c r="E184" i="9" s="1"/>
  <c r="D84" i="9"/>
  <c r="D198" i="9"/>
  <c r="D206" i="9" s="1"/>
  <c r="L68" i="20" s="1"/>
  <c r="D109" i="9"/>
  <c r="D170" i="9"/>
  <c r="D178" i="9" s="1"/>
  <c r="L30" i="20" s="1"/>
  <c r="AE123" i="9"/>
  <c r="AS123" i="9"/>
  <c r="AD156" i="9"/>
  <c r="AC62" i="9"/>
  <c r="AC186" i="9" s="1"/>
  <c r="AC47" i="9"/>
  <c r="AC111" i="9" s="1"/>
  <c r="AE33" i="9"/>
  <c r="AE98" i="9" s="1"/>
  <c r="AD33" i="9"/>
  <c r="AD98" i="9" s="1"/>
  <c r="AD47" i="9"/>
  <c r="AC32" i="9"/>
  <c r="AC97" i="9" s="1"/>
  <c r="AE62" i="9"/>
  <c r="AJ74" i="9"/>
  <c r="AJ85" i="9" s="1"/>
  <c r="AJ59" i="9"/>
  <c r="AJ70" i="9" s="1"/>
  <c r="AR184" i="9"/>
  <c r="AR192" i="9" s="1"/>
  <c r="L54" i="20" s="1"/>
  <c r="AJ44" i="9"/>
  <c r="AJ108" i="9" s="1"/>
  <c r="AR69" i="9"/>
  <c r="V156" i="9"/>
  <c r="AS45" i="9"/>
  <c r="AS109" i="9" s="1"/>
  <c r="AJ40" i="9"/>
  <c r="AS30" i="9"/>
  <c r="AS156" i="9" s="1"/>
  <c r="AJ45" i="9"/>
  <c r="AJ170" i="9" s="1"/>
  <c r="AJ178" i="9" s="1"/>
  <c r="L34" i="20" s="1"/>
  <c r="AJ75" i="9"/>
  <c r="AJ137" i="9" s="1"/>
  <c r="AK75" i="9"/>
  <c r="AK198" i="9" s="1"/>
  <c r="AJ30" i="9"/>
  <c r="AJ39" i="9" s="1"/>
  <c r="AJ60" i="9"/>
  <c r="W109" i="9"/>
  <c r="G60" i="9"/>
  <c r="AT95" i="9"/>
  <c r="AT75" i="9"/>
  <c r="AT198" i="9" s="1"/>
  <c r="AM75" i="9"/>
  <c r="AR156" i="9"/>
  <c r="AR164" i="9" s="1"/>
  <c r="L16" i="20" s="1"/>
  <c r="AR39" i="9"/>
  <c r="AU60" i="9"/>
  <c r="AU184" i="9" s="1"/>
  <c r="AU75" i="9"/>
  <c r="AU137" i="9" s="1"/>
  <c r="AT60" i="9"/>
  <c r="AT184" i="9" s="1"/>
  <c r="AL45" i="9"/>
  <c r="AL170" i="9" s="1"/>
  <c r="AR170" i="9"/>
  <c r="AR178" i="9" s="1"/>
  <c r="L35" i="20" s="1"/>
  <c r="AU45" i="9"/>
  <c r="AU170" i="9" s="1"/>
  <c r="AR54" i="9"/>
  <c r="AT45" i="9"/>
  <c r="AT170" i="9" s="1"/>
  <c r="AU156" i="9"/>
  <c r="AJ154" i="9"/>
  <c r="AJ135" i="9"/>
  <c r="AJ182" i="9"/>
  <c r="BS184" i="9"/>
  <c r="T178" i="9"/>
  <c r="L32" i="20" s="1"/>
  <c r="BX164" i="9"/>
  <c r="L20" i="20" s="1"/>
  <c r="CV164" i="9"/>
  <c r="L23" i="20" s="1"/>
  <c r="CV178" i="9"/>
  <c r="L42" i="20" s="1"/>
  <c r="T192" i="9"/>
  <c r="L51" i="20" s="1"/>
  <c r="AB192" i="9"/>
  <c r="L52" i="20" s="1"/>
  <c r="BH164" i="9"/>
  <c r="L18" i="20" s="1"/>
  <c r="CF192" i="9"/>
  <c r="L59" i="20" s="1"/>
  <c r="AZ206" i="9"/>
  <c r="L74" i="20" s="1"/>
  <c r="BH192" i="9"/>
  <c r="L56" i="20" s="1"/>
  <c r="BP192" i="9"/>
  <c r="L57" i="20" s="1"/>
  <c r="BX178" i="9"/>
  <c r="L39" i="20" s="1"/>
  <c r="BP206" i="9"/>
  <c r="L76" i="20" s="1"/>
  <c r="CN206" i="9"/>
  <c r="L79" i="20" s="1"/>
  <c r="CV192" i="9"/>
  <c r="L61" i="20" s="1"/>
  <c r="CF206" i="9"/>
  <c r="L78" i="20" s="1"/>
  <c r="DD164" i="9"/>
  <c r="L24" i="20" s="1"/>
  <c r="L83" i="9"/>
  <c r="AB178" i="9"/>
  <c r="L33" i="20" s="1"/>
  <c r="CN164" i="9"/>
  <c r="L22" i="20" s="1"/>
  <c r="CW68" i="9"/>
  <c r="T164" i="9"/>
  <c r="L13" i="20" s="1"/>
  <c r="U84" i="9"/>
  <c r="BH178" i="9"/>
  <c r="L37" i="20" s="1"/>
  <c r="BY38" i="9"/>
  <c r="CF164" i="9"/>
  <c r="L21" i="20" s="1"/>
  <c r="AZ192" i="9"/>
  <c r="L55" i="20" s="1"/>
  <c r="L68" i="9"/>
  <c r="BH206" i="9"/>
  <c r="L75" i="20" s="1"/>
  <c r="DE68" i="9"/>
  <c r="CG38" i="9"/>
  <c r="AZ164" i="9"/>
  <c r="L17" i="20" s="1"/>
  <c r="DD192" i="9"/>
  <c r="L62" i="20" s="1"/>
  <c r="BX206" i="9"/>
  <c r="L77" i="20" s="1"/>
  <c r="CN192" i="9"/>
  <c r="L60" i="20" s="1"/>
  <c r="DD206" i="9"/>
  <c r="L81" i="20" s="1"/>
  <c r="BQ53" i="9"/>
  <c r="AB55" i="9"/>
  <c r="AB53" i="9"/>
  <c r="BX85" i="9"/>
  <c r="BX83" i="9"/>
  <c r="W123" i="9"/>
  <c r="AR85" i="9"/>
  <c r="AR83" i="9"/>
  <c r="AB70" i="9"/>
  <c r="AB68" i="9"/>
  <c r="D55" i="9"/>
  <c r="D53" i="9"/>
  <c r="CV55" i="9"/>
  <c r="CV53" i="9"/>
  <c r="DD55" i="9"/>
  <c r="DD53" i="9"/>
  <c r="AB206" i="9"/>
  <c r="L71" i="20" s="1"/>
  <c r="W156" i="9"/>
  <c r="CA156" i="9"/>
  <c r="CA198" i="9"/>
  <c r="CI123" i="9"/>
  <c r="D40" i="9"/>
  <c r="D38" i="9"/>
  <c r="CN85" i="9"/>
  <c r="CN83" i="9"/>
  <c r="CF70" i="9"/>
  <c r="CF68" i="9"/>
  <c r="BC96" i="9"/>
  <c r="AB40" i="9"/>
  <c r="AB38" i="9"/>
  <c r="BH40" i="9"/>
  <c r="BH38" i="9"/>
  <c r="AZ70" i="9"/>
  <c r="AZ68" i="9"/>
  <c r="CO83" i="9"/>
  <c r="D85" i="9"/>
  <c r="D83" i="9"/>
  <c r="CF55" i="9"/>
  <c r="CF53" i="9"/>
  <c r="BC184" i="9"/>
  <c r="AB85" i="9"/>
  <c r="AB83" i="9"/>
  <c r="BH70" i="9"/>
  <c r="BH68" i="9"/>
  <c r="BA53" i="9"/>
  <c r="CF85" i="9"/>
  <c r="CF83" i="9"/>
  <c r="T55" i="9"/>
  <c r="T53" i="9"/>
  <c r="BX40" i="9"/>
  <c r="BX38" i="9"/>
  <c r="T85" i="9"/>
  <c r="T83" i="9"/>
  <c r="D70" i="9"/>
  <c r="D68" i="9"/>
  <c r="CN40" i="9"/>
  <c r="CN38" i="9"/>
  <c r="BX55" i="9"/>
  <c r="BX53" i="9"/>
  <c r="U83" i="9"/>
  <c r="BC109" i="9"/>
  <c r="L38" i="9"/>
  <c r="AZ178" i="9"/>
  <c r="L36" i="20" s="1"/>
  <c r="CV206" i="9"/>
  <c r="L80" i="20" s="1"/>
  <c r="AR53" i="9"/>
  <c r="CN53" i="9"/>
  <c r="BP53" i="9"/>
  <c r="BP68" i="9"/>
  <c r="BX68" i="9"/>
  <c r="T38" i="9"/>
  <c r="AZ83" i="9"/>
  <c r="CA123" i="9"/>
  <c r="T68" i="9"/>
  <c r="CV68" i="9"/>
  <c r="CI95" i="9"/>
  <c r="AE198" i="9"/>
  <c r="AE109" i="9"/>
  <c r="BH53" i="9"/>
  <c r="AR68" i="9"/>
  <c r="BP83" i="9"/>
  <c r="AZ38" i="9"/>
  <c r="CV38" i="9"/>
  <c r="CN178" i="9"/>
  <c r="L41" i="20" s="1"/>
  <c r="CF178" i="9"/>
  <c r="L40" i="20" s="1"/>
  <c r="BX192" i="9"/>
  <c r="L58" i="20" s="1"/>
  <c r="AE124" i="9"/>
  <c r="CN68" i="9"/>
  <c r="DD68" i="9"/>
  <c r="DD83" i="9"/>
  <c r="BH83" i="9"/>
  <c r="CQ123" i="9"/>
  <c r="BP164" i="9"/>
  <c r="L19" i="20" s="1"/>
  <c r="DD178" i="9"/>
  <c r="L43" i="20" s="1"/>
  <c r="AZ53" i="9"/>
  <c r="CV83" i="9"/>
  <c r="CF38" i="9"/>
  <c r="AR40" i="9"/>
  <c r="AR38" i="9"/>
  <c r="L53" i="9"/>
  <c r="AB164" i="9"/>
  <c r="L14" i="20" s="1"/>
  <c r="T206" i="9"/>
  <c r="L70" i="20" s="1"/>
  <c r="BP178" i="9"/>
  <c r="L38" i="20" s="1"/>
  <c r="DG123" i="9"/>
  <c r="BS95" i="9"/>
  <c r="DD38" i="9"/>
  <c r="BP38" i="9"/>
  <c r="BJ170" i="9"/>
  <c r="BK170" i="9"/>
  <c r="BI109" i="9"/>
  <c r="CP137" i="9"/>
  <c r="CY137" i="9"/>
  <c r="BY156" i="9"/>
  <c r="BQ69" i="9"/>
  <c r="BQ184" i="9"/>
  <c r="CW184" i="9"/>
  <c r="CH95" i="9"/>
  <c r="CX109" i="9"/>
  <c r="BS137" i="9"/>
  <c r="CY95" i="9"/>
  <c r="BC156" i="9"/>
  <c r="CG123" i="9"/>
  <c r="CG69" i="9"/>
  <c r="BR61" i="9"/>
  <c r="BR124" i="9" s="1"/>
  <c r="BS156" i="9"/>
  <c r="BJ109" i="9"/>
  <c r="BI198" i="9"/>
  <c r="BQ84" i="9"/>
  <c r="CH184" i="9"/>
  <c r="BQ137" i="9"/>
  <c r="BI84" i="9"/>
  <c r="CY46" i="9"/>
  <c r="CG54" i="9"/>
  <c r="CX31" i="9"/>
  <c r="CX96" i="9" s="1"/>
  <c r="CX46" i="9"/>
  <c r="CX110" i="9" s="1"/>
  <c r="AE46" i="9"/>
  <c r="AE110" i="9" s="1"/>
  <c r="CX76" i="9"/>
  <c r="CX138" i="9" s="1"/>
  <c r="DF170" i="9"/>
  <c r="AE76" i="9"/>
  <c r="AE138" i="9" s="1"/>
  <c r="CH137" i="9"/>
  <c r="DF156" i="9"/>
  <c r="CQ184" i="9"/>
  <c r="AT31" i="9"/>
  <c r="AT96" i="9" s="1"/>
  <c r="CG170" i="9"/>
  <c r="BA137" i="9"/>
  <c r="V137" i="9"/>
  <c r="DF137" i="9"/>
  <c r="DF31" i="9"/>
  <c r="DF96" i="9" s="1"/>
  <c r="DF76" i="9"/>
  <c r="DF138" i="9" s="1"/>
  <c r="DF46" i="9"/>
  <c r="DF110" i="9" s="1"/>
  <c r="CY123" i="9"/>
  <c r="DE31" i="9"/>
  <c r="DE96" i="9" s="1"/>
  <c r="BJ184" i="9"/>
  <c r="U95" i="9"/>
  <c r="L39" i="9"/>
  <c r="BS170" i="9"/>
  <c r="AD123" i="9"/>
  <c r="BK137" i="9"/>
  <c r="CW31" i="9"/>
  <c r="CW96" i="9" s="1"/>
  <c r="CW46" i="9"/>
  <c r="CW76" i="9"/>
  <c r="CW138" i="9" s="1"/>
  <c r="BZ48" i="9"/>
  <c r="BZ112" i="9" s="1"/>
  <c r="BK156" i="9"/>
  <c r="V184" i="9"/>
  <c r="CG95" i="9"/>
  <c r="CI31" i="9"/>
  <c r="CI96" i="9" s="1"/>
  <c r="BY123" i="9"/>
  <c r="DG61" i="9"/>
  <c r="DG124" i="9" s="1"/>
  <c r="CW156" i="9"/>
  <c r="CQ95" i="9"/>
  <c r="BZ137" i="9"/>
  <c r="BA76" i="9"/>
  <c r="BA138" i="9" s="1"/>
  <c r="CW69" i="9"/>
  <c r="W61" i="9"/>
  <c r="W124" i="9" s="1"/>
  <c r="CG46" i="9"/>
  <c r="BJ95" i="9"/>
  <c r="CI61" i="9"/>
  <c r="CI124" i="9" s="1"/>
  <c r="CX198" i="9"/>
  <c r="U170" i="9"/>
  <c r="BQ170" i="9"/>
  <c r="CW137" i="9"/>
  <c r="CX184" i="9"/>
  <c r="CG137" i="9"/>
  <c r="BR109" i="9"/>
  <c r="BK76" i="9"/>
  <c r="BK138" i="9" s="1"/>
  <c r="BZ76" i="9"/>
  <c r="BZ138" i="9" s="1"/>
  <c r="BK46" i="9"/>
  <c r="BK110" i="9" s="1"/>
  <c r="AE95" i="9"/>
  <c r="CO123" i="9"/>
  <c r="BZ46" i="9"/>
  <c r="BZ110" i="9" s="1"/>
  <c r="DG170" i="9"/>
  <c r="BZ31" i="9"/>
  <c r="BK61" i="9"/>
  <c r="AD137" i="9"/>
  <c r="CO69" i="9"/>
  <c r="CG84" i="9"/>
  <c r="BR76" i="9"/>
  <c r="BR138" i="9" s="1"/>
  <c r="CP31" i="9"/>
  <c r="CP96" i="9" s="1"/>
  <c r="CI137" i="9"/>
  <c r="CP78" i="9"/>
  <c r="CP140" i="9" s="1"/>
  <c r="BR31" i="9"/>
  <c r="BR96" i="9" s="1"/>
  <c r="CP76" i="9"/>
  <c r="CP138" i="9" s="1"/>
  <c r="DG184" i="9"/>
  <c r="CW84" i="9"/>
  <c r="CA76" i="9"/>
  <c r="U184" i="9"/>
  <c r="DE170" i="9"/>
  <c r="DG198" i="9"/>
  <c r="BA39" i="9"/>
  <c r="V31" i="9"/>
  <c r="V96" i="9" s="1"/>
  <c r="BI61" i="9"/>
  <c r="BI124" i="9" s="1"/>
  <c r="W184" i="9"/>
  <c r="DF123" i="9"/>
  <c r="BK109" i="9"/>
  <c r="BC46" i="9"/>
  <c r="BC110" i="9" s="1"/>
  <c r="AE170" i="9"/>
  <c r="CW109" i="9"/>
  <c r="BR184" i="9"/>
  <c r="BQ76" i="9"/>
  <c r="BA156" i="9"/>
  <c r="DE198" i="9"/>
  <c r="CQ31" i="9"/>
  <c r="W46" i="9"/>
  <c r="AC61" i="9"/>
  <c r="AC124" i="9" s="1"/>
  <c r="CG61" i="9"/>
  <c r="CG124" i="9" s="1"/>
  <c r="CQ46" i="9"/>
  <c r="CQ110" i="9" s="1"/>
  <c r="BA31" i="9"/>
  <c r="BY109" i="9"/>
  <c r="BY39" i="9"/>
  <c r="BB123" i="9"/>
  <c r="CI76" i="9"/>
  <c r="BA61" i="9"/>
  <c r="BA124" i="9" s="1"/>
  <c r="BY84" i="9"/>
  <c r="V61" i="9"/>
  <c r="DG31" i="9"/>
  <c r="BS31" i="9"/>
  <c r="BS96" i="9" s="1"/>
  <c r="CP156" i="9"/>
  <c r="CA95" i="9"/>
  <c r="CP123" i="9"/>
  <c r="BI184" i="9"/>
  <c r="BY137" i="9"/>
  <c r="BY69" i="9"/>
  <c r="BS76" i="9"/>
  <c r="BS138" i="9" s="1"/>
  <c r="U31" i="9"/>
  <c r="U96" i="9" s="1"/>
  <c r="W76" i="9"/>
  <c r="W138" i="9" s="1"/>
  <c r="DG76" i="9"/>
  <c r="DG138" i="9" s="1"/>
  <c r="CG76" i="9"/>
  <c r="CG138" i="9" s="1"/>
  <c r="BS46" i="9"/>
  <c r="BS110" i="9" s="1"/>
  <c r="V109" i="9"/>
  <c r="CI184" i="9"/>
  <c r="BY54" i="9"/>
  <c r="CW54" i="9"/>
  <c r="U61" i="9"/>
  <c r="U124" i="9" s="1"/>
  <c r="CW39" i="9"/>
  <c r="DE84" i="9"/>
  <c r="DE184" i="9"/>
  <c r="BA69" i="9"/>
  <c r="CP46" i="9"/>
  <c r="CP110" i="9" s="1"/>
  <c r="BI170" i="9"/>
  <c r="AU46" i="9"/>
  <c r="AU110" i="9" s="1"/>
  <c r="DE54" i="9"/>
  <c r="BR95" i="9"/>
  <c r="BA123" i="9"/>
  <c r="AD109" i="9"/>
  <c r="DE95" i="9"/>
  <c r="CY31" i="9"/>
  <c r="CY96" i="9" s="1"/>
  <c r="AE31" i="9"/>
  <c r="CH61" i="9"/>
  <c r="BQ95" i="9"/>
  <c r="BA170" i="9"/>
  <c r="AT46" i="9"/>
  <c r="AT110" i="9" s="1"/>
  <c r="CO31" i="9"/>
  <c r="CO96" i="9" s="1"/>
  <c r="CH76" i="9"/>
  <c r="CH138" i="9" s="1"/>
  <c r="BC170" i="9"/>
  <c r="AT76" i="9"/>
  <c r="CO46" i="9"/>
  <c r="CO110" i="9" s="1"/>
  <c r="CH31" i="9"/>
  <c r="CH96" i="9" s="1"/>
  <c r="CO54" i="9"/>
  <c r="CY76" i="9"/>
  <c r="CY138" i="9" s="1"/>
  <c r="CO61" i="9"/>
  <c r="AC123" i="9"/>
  <c r="CO95" i="9"/>
  <c r="CO109" i="9"/>
  <c r="BZ123" i="9"/>
  <c r="BA54" i="9"/>
  <c r="U46" i="9"/>
  <c r="U110" i="9" s="1"/>
  <c r="V46" i="9"/>
  <c r="V110" i="9" s="1"/>
  <c r="AC76" i="9"/>
  <c r="AC138" i="9" s="1"/>
  <c r="CQ61" i="9"/>
  <c r="CQ124" i="9" s="1"/>
  <c r="CO84" i="9"/>
  <c r="AC31" i="9"/>
  <c r="CA137" i="9"/>
  <c r="AD61" i="9"/>
  <c r="AD124" i="9" s="1"/>
  <c r="AD46" i="9"/>
  <c r="AD110" i="9" s="1"/>
  <c r="BC123" i="9"/>
  <c r="U69" i="9"/>
  <c r="BQ61" i="9"/>
  <c r="BZ95" i="9"/>
  <c r="CA184" i="9"/>
  <c r="AD31" i="9"/>
  <c r="AD96" i="9" s="1"/>
  <c r="BQ31" i="9"/>
  <c r="BQ96" i="9" s="1"/>
  <c r="CQ109" i="9"/>
  <c r="CA78" i="9"/>
  <c r="CA140" i="9" s="1"/>
  <c r="AU76" i="9"/>
  <c r="BI76" i="9"/>
  <c r="BI138" i="9" s="1"/>
  <c r="CI156" i="9"/>
  <c r="CO198" i="9"/>
  <c r="AU61" i="9"/>
  <c r="AU124" i="9" s="1"/>
  <c r="BI46" i="9"/>
  <c r="BI110" i="9" s="1"/>
  <c r="W137" i="9"/>
  <c r="DE69" i="9"/>
  <c r="AE137" i="9"/>
  <c r="CX78" i="9"/>
  <c r="CX140" i="9" s="1"/>
  <c r="CA46" i="9"/>
  <c r="DE76" i="9"/>
  <c r="DE138" i="9" s="1"/>
  <c r="AC95" i="9"/>
  <c r="BI156" i="9"/>
  <c r="CA31" i="9"/>
  <c r="DE46" i="9"/>
  <c r="U137" i="9"/>
  <c r="AC137" i="9"/>
  <c r="U39" i="9"/>
  <c r="CY33" i="9"/>
  <c r="CY98" i="9" s="1"/>
  <c r="BC76" i="9"/>
  <c r="CQ198" i="9"/>
  <c r="BR78" i="9"/>
  <c r="BR140" i="9" s="1"/>
  <c r="U54" i="9"/>
  <c r="CO97" i="9"/>
  <c r="CO158" i="9"/>
  <c r="CI77" i="9"/>
  <c r="CI47" i="9"/>
  <c r="CI62" i="9"/>
  <c r="CI32" i="9"/>
  <c r="DG62" i="9"/>
  <c r="DG47" i="9"/>
  <c r="DG77" i="9"/>
  <c r="DG32" i="9"/>
  <c r="BQ139" i="9"/>
  <c r="BQ200" i="9"/>
  <c r="BQ206" i="9" s="1"/>
  <c r="M76" i="20" s="1"/>
  <c r="DE158" i="9"/>
  <c r="DE164" i="9" s="1"/>
  <c r="M24" i="20" s="1"/>
  <c r="DE97" i="9"/>
  <c r="CG97" i="9"/>
  <c r="CG158" i="9"/>
  <c r="BQ186" i="9"/>
  <c r="BQ125" i="9"/>
  <c r="CG172" i="9"/>
  <c r="CG111" i="9"/>
  <c r="DE139" i="9"/>
  <c r="DE200" i="9"/>
  <c r="BQ172" i="9"/>
  <c r="BQ111" i="9"/>
  <c r="CG186" i="9"/>
  <c r="CG125" i="9"/>
  <c r="CX47" i="9"/>
  <c r="CX32" i="9"/>
  <c r="CX62" i="9"/>
  <c r="CX77" i="9"/>
  <c r="DF62" i="9"/>
  <c r="DF32" i="9"/>
  <c r="DF77" i="9"/>
  <c r="DF47" i="9"/>
  <c r="CO200" i="9"/>
  <c r="CO139" i="9"/>
  <c r="BY46" i="9"/>
  <c r="BY110" i="9" s="1"/>
  <c r="CG139" i="9"/>
  <c r="CG200" i="9"/>
  <c r="CG206" i="9" s="1"/>
  <c r="M78" i="20" s="1"/>
  <c r="CW186" i="9"/>
  <c r="CW125" i="9"/>
  <c r="CH32" i="9"/>
  <c r="CH77" i="9"/>
  <c r="CH62" i="9"/>
  <c r="CH47" i="9"/>
  <c r="BY61" i="9"/>
  <c r="BY124" i="9" s="1"/>
  <c r="DE39" i="9"/>
  <c r="BY76" i="9"/>
  <c r="BY138" i="9" s="1"/>
  <c r="CI109" i="9"/>
  <c r="CG39" i="9"/>
  <c r="CI170" i="9"/>
  <c r="BQ54" i="9"/>
  <c r="BY200" i="9"/>
  <c r="BY206" i="9" s="1"/>
  <c r="M77" i="20" s="1"/>
  <c r="BY139" i="9"/>
  <c r="CW172" i="9"/>
  <c r="CW111" i="9"/>
  <c r="BQ97" i="9"/>
  <c r="BQ158" i="9"/>
  <c r="CW97" i="9"/>
  <c r="CW158" i="9"/>
  <c r="W95" i="9"/>
  <c r="BQ39" i="9"/>
  <c r="CP47" i="9"/>
  <c r="CP32" i="9"/>
  <c r="CP77" i="9"/>
  <c r="CP62" i="9"/>
  <c r="BZ47" i="9"/>
  <c r="BZ32" i="9"/>
  <c r="BZ77" i="9"/>
  <c r="BZ62" i="9"/>
  <c r="CY32" i="9"/>
  <c r="CY62" i="9"/>
  <c r="CY77" i="9"/>
  <c r="CY47" i="9"/>
  <c r="CO186" i="9"/>
  <c r="CO125" i="9"/>
  <c r="CO39" i="9"/>
  <c r="BY186" i="9"/>
  <c r="BY125" i="9"/>
  <c r="CW200" i="9"/>
  <c r="CW206" i="9" s="1"/>
  <c r="M80" i="20" s="1"/>
  <c r="CW139" i="9"/>
  <c r="BS47" i="9"/>
  <c r="BS32" i="9"/>
  <c r="BS77" i="9"/>
  <c r="BS62" i="9"/>
  <c r="CQ47" i="9"/>
  <c r="CQ32" i="9"/>
  <c r="CQ77" i="9"/>
  <c r="CQ62" i="9"/>
  <c r="BY172" i="9"/>
  <c r="BY178" i="9" s="1"/>
  <c r="M39" i="20" s="1"/>
  <c r="BY111" i="9"/>
  <c r="DE186" i="9"/>
  <c r="DE125" i="9"/>
  <c r="BR47" i="9"/>
  <c r="BR32" i="9"/>
  <c r="BR77" i="9"/>
  <c r="BR62" i="9"/>
  <c r="CA77" i="9"/>
  <c r="CA62" i="9"/>
  <c r="CA47" i="9"/>
  <c r="CA32" i="9"/>
  <c r="CO111" i="9"/>
  <c r="CO172" i="9"/>
  <c r="CO178" i="9" s="1"/>
  <c r="M41" i="20" s="1"/>
  <c r="BY97" i="9"/>
  <c r="BY158" i="9"/>
  <c r="DE172" i="9"/>
  <c r="DE111" i="9"/>
  <c r="L84" i="9"/>
  <c r="BB46" i="9"/>
  <c r="BB110" i="9" s="1"/>
  <c r="BB76" i="9"/>
  <c r="BB138" i="9" s="1"/>
  <c r="BB31" i="9"/>
  <c r="BB96" i="9" s="1"/>
  <c r="L54" i="9"/>
  <c r="L69" i="9"/>
  <c r="AC109" i="9"/>
  <c r="BJ76" i="9"/>
  <c r="BJ138" i="9" s="1"/>
  <c r="BJ46" i="9"/>
  <c r="BJ110" i="9" s="1"/>
  <c r="BJ31" i="9"/>
  <c r="BJ96" i="9" s="1"/>
  <c r="AC84" i="9"/>
  <c r="BC61" i="9"/>
  <c r="BC124" i="9" s="1"/>
  <c r="V77" i="9"/>
  <c r="V62" i="9"/>
  <c r="V32" i="9"/>
  <c r="V47" i="9"/>
  <c r="U139" i="9"/>
  <c r="U200" i="9"/>
  <c r="U172" i="9"/>
  <c r="U111" i="9"/>
  <c r="U125" i="9"/>
  <c r="U186" i="9"/>
  <c r="U158" i="9"/>
  <c r="U164" i="9" s="1"/>
  <c r="M13" i="20" s="1"/>
  <c r="U97" i="9"/>
  <c r="AC139" i="9"/>
  <c r="AC200" i="9"/>
  <c r="BB156" i="9"/>
  <c r="BB198" i="9"/>
  <c r="AS77" i="9"/>
  <c r="AS47" i="9"/>
  <c r="AS62" i="9"/>
  <c r="AS32" i="9"/>
  <c r="BB33" i="9"/>
  <c r="BK47" i="9"/>
  <c r="BK77" i="9"/>
  <c r="BK32" i="9"/>
  <c r="BK62" i="9"/>
  <c r="BA111" i="9"/>
  <c r="BA172" i="9"/>
  <c r="BA139" i="9"/>
  <c r="BA200" i="9"/>
  <c r="BA158" i="9"/>
  <c r="BA97" i="9"/>
  <c r="BA125" i="9"/>
  <c r="BA186" i="9"/>
  <c r="BC62" i="9"/>
  <c r="BC32" i="9"/>
  <c r="BC77" i="9"/>
  <c r="BC47" i="9"/>
  <c r="BA84" i="9"/>
  <c r="BI139" i="9"/>
  <c r="BI200" i="9"/>
  <c r="BB62" i="9"/>
  <c r="BB32" i="9"/>
  <c r="BB77" i="9"/>
  <c r="BB47" i="9"/>
  <c r="M75" i="9"/>
  <c r="M30" i="9"/>
  <c r="M45" i="9"/>
  <c r="M60" i="9"/>
  <c r="L95" i="9"/>
  <c r="L156" i="9"/>
  <c r="L123" i="9"/>
  <c r="L184" i="9"/>
  <c r="L109" i="9"/>
  <c r="L170" i="9"/>
  <c r="L137" i="9"/>
  <c r="L198" i="9"/>
  <c r="DE136" i="9"/>
  <c r="CW136" i="9"/>
  <c r="CX136" i="9"/>
  <c r="DF136" i="9"/>
  <c r="CW122" i="9"/>
  <c r="CW70" i="9"/>
  <c r="CX122" i="9"/>
  <c r="DF122" i="9"/>
  <c r="DE122" i="9"/>
  <c r="DE70" i="9"/>
  <c r="DF108" i="9"/>
  <c r="DE108" i="9"/>
  <c r="CW108" i="9"/>
  <c r="CX108" i="9"/>
  <c r="CW94" i="9"/>
  <c r="CX94" i="9"/>
  <c r="DF94" i="9"/>
  <c r="DE94" i="9"/>
  <c r="CP94" i="9"/>
  <c r="CG94" i="9"/>
  <c r="CG40" i="9"/>
  <c r="CO94" i="9"/>
  <c r="CH94" i="9"/>
  <c r="BR94" i="9"/>
  <c r="BY94" i="9"/>
  <c r="BY40" i="9"/>
  <c r="BZ94" i="9"/>
  <c r="BQ94" i="9"/>
  <c r="CO108" i="9"/>
  <c r="BY108" i="9"/>
  <c r="BQ108" i="9"/>
  <c r="BQ55" i="9"/>
  <c r="BZ108" i="9"/>
  <c r="CG108" i="9"/>
  <c r="CH108" i="9"/>
  <c r="BR108" i="9"/>
  <c r="CP108" i="9"/>
  <c r="BY122" i="9"/>
  <c r="BQ122" i="9"/>
  <c r="BZ122" i="9"/>
  <c r="CG122" i="9"/>
  <c r="CH122" i="9"/>
  <c r="BR122" i="9"/>
  <c r="CO122" i="9"/>
  <c r="CP122" i="9"/>
  <c r="CG136" i="9"/>
  <c r="CO136" i="9"/>
  <c r="CO85" i="9"/>
  <c r="CP136" i="9"/>
  <c r="BR136" i="9"/>
  <c r="CH136" i="9"/>
  <c r="BY136" i="9"/>
  <c r="BZ136" i="9"/>
  <c r="BQ136" i="9"/>
  <c r="BI136" i="9"/>
  <c r="BB136" i="9"/>
  <c r="BJ136" i="9"/>
  <c r="BA136" i="9"/>
  <c r="AK136" i="9"/>
  <c r="AT136" i="9"/>
  <c r="AS136" i="9"/>
  <c r="AK122" i="9"/>
  <c r="BI122" i="9"/>
  <c r="BB122" i="9"/>
  <c r="BJ122" i="9"/>
  <c r="BA122" i="9"/>
  <c r="AT122" i="9"/>
  <c r="AS122" i="9"/>
  <c r="AK108" i="9"/>
  <c r="BB108" i="9"/>
  <c r="BI108" i="9"/>
  <c r="BJ108" i="9"/>
  <c r="BA108" i="9"/>
  <c r="BA55" i="9"/>
  <c r="AT108" i="9"/>
  <c r="AS108" i="9"/>
  <c r="BB94" i="9"/>
  <c r="BJ94" i="9"/>
  <c r="BI94" i="9"/>
  <c r="BI40" i="9"/>
  <c r="AT94" i="9"/>
  <c r="BA94" i="9"/>
  <c r="AK94" i="9"/>
  <c r="AS94" i="9"/>
  <c r="AD136" i="9"/>
  <c r="U136" i="9"/>
  <c r="U85" i="9"/>
  <c r="AC136" i="9"/>
  <c r="V136" i="9"/>
  <c r="AC122" i="9"/>
  <c r="V122" i="9"/>
  <c r="AD122" i="9"/>
  <c r="U122" i="9"/>
  <c r="AD108" i="9"/>
  <c r="AC108" i="9"/>
  <c r="AC55" i="9"/>
  <c r="V108" i="9"/>
  <c r="U108" i="9"/>
  <c r="V94" i="9"/>
  <c r="AD94" i="9"/>
  <c r="U94" i="9"/>
  <c r="AC94" i="9"/>
  <c r="N94" i="9"/>
  <c r="L94" i="9"/>
  <c r="L40" i="9"/>
  <c r="M94" i="9"/>
  <c r="M108" i="9"/>
  <c r="N108" i="9"/>
  <c r="L108" i="9"/>
  <c r="L55" i="9"/>
  <c r="M136" i="9"/>
  <c r="N136" i="9"/>
  <c r="L136" i="9"/>
  <c r="L85" i="9"/>
  <c r="M122" i="9"/>
  <c r="N122" i="9"/>
  <c r="L122" i="9"/>
  <c r="L70" i="9"/>
  <c r="E122" i="9"/>
  <c r="CN136" i="9"/>
  <c r="CN145" i="9" s="1"/>
  <c r="D79" i="20" s="1"/>
  <c r="BH136" i="9"/>
  <c r="BP136" i="9"/>
  <c r="AZ136" i="9"/>
  <c r="AZ145" i="9" s="1"/>
  <c r="D74" i="20" s="1"/>
  <c r="DD136" i="9"/>
  <c r="AR136" i="9"/>
  <c r="CF136" i="9"/>
  <c r="CV136" i="9"/>
  <c r="CV145" i="9" s="1"/>
  <c r="D80" i="20" s="1"/>
  <c r="BX136" i="9"/>
  <c r="BX145" i="9" s="1"/>
  <c r="D77" i="20" s="1"/>
  <c r="CV122" i="9"/>
  <c r="CV131" i="9" s="1"/>
  <c r="D61" i="20" s="1"/>
  <c r="BP122" i="9"/>
  <c r="BP131" i="9" s="1"/>
  <c r="D57" i="20" s="1"/>
  <c r="DD122" i="9"/>
  <c r="BX122" i="9"/>
  <c r="AR122" i="9"/>
  <c r="CF122" i="9"/>
  <c r="CF131" i="9" s="1"/>
  <c r="D59" i="20" s="1"/>
  <c r="BH122" i="9"/>
  <c r="BH131" i="9" s="1"/>
  <c r="D56" i="20" s="1"/>
  <c r="CN122" i="9"/>
  <c r="CN131" i="9" s="1"/>
  <c r="D60" i="20" s="1"/>
  <c r="AZ122" i="9"/>
  <c r="AZ131" i="9" s="1"/>
  <c r="D55" i="20" s="1"/>
  <c r="BH108" i="9"/>
  <c r="BH117" i="9" s="1"/>
  <c r="D37" i="20" s="1"/>
  <c r="AZ108" i="9"/>
  <c r="DD108" i="9"/>
  <c r="BP108" i="9"/>
  <c r="CV108" i="9"/>
  <c r="CV117" i="9" s="1"/>
  <c r="D42" i="20" s="1"/>
  <c r="BX108" i="9"/>
  <c r="BX117" i="9" s="1"/>
  <c r="D39" i="20" s="1"/>
  <c r="AR108" i="9"/>
  <c r="AR117" i="9" s="1"/>
  <c r="D35" i="20" s="1"/>
  <c r="CN108" i="9"/>
  <c r="CN117" i="9" s="1"/>
  <c r="D41" i="20" s="1"/>
  <c r="CF108" i="9"/>
  <c r="CF117" i="9" s="1"/>
  <c r="D40" i="20" s="1"/>
  <c r="BX94" i="9"/>
  <c r="AR94" i="9"/>
  <c r="CN94" i="9"/>
  <c r="CF94" i="9"/>
  <c r="CF103" i="9" s="1"/>
  <c r="D21" i="20" s="1"/>
  <c r="CV94" i="9"/>
  <c r="BH94" i="9"/>
  <c r="BP94" i="9"/>
  <c r="BP103" i="9" s="1"/>
  <c r="D19" i="20" s="1"/>
  <c r="AZ94" i="9"/>
  <c r="AZ103" i="9" s="1"/>
  <c r="D17" i="20" s="1"/>
  <c r="DD94" i="9"/>
  <c r="AL94" i="9"/>
  <c r="AB122" i="9"/>
  <c r="AB131" i="9" s="1"/>
  <c r="D52" i="20" s="1"/>
  <c r="L182" i="9"/>
  <c r="L121" i="9"/>
  <c r="L168" i="9"/>
  <c r="L107" i="9"/>
  <c r="T136" i="9"/>
  <c r="L154" i="9"/>
  <c r="L93" i="9"/>
  <c r="T94" i="9"/>
  <c r="T103" i="9" s="1"/>
  <c r="D13" i="20" s="1"/>
  <c r="AB108" i="9"/>
  <c r="AB117" i="9" s="1"/>
  <c r="D33" i="20" s="1"/>
  <c r="AB136" i="9"/>
  <c r="AB145" i="9" s="1"/>
  <c r="D71" i="20" s="1"/>
  <c r="AB94" i="9"/>
  <c r="AB103" i="9" s="1"/>
  <c r="D14" i="20" s="1"/>
  <c r="T122" i="9"/>
  <c r="T131" i="9" s="1"/>
  <c r="D51" i="20" s="1"/>
  <c r="L196" i="9"/>
  <c r="L135" i="9"/>
  <c r="T108" i="9"/>
  <c r="T117" i="9" s="1"/>
  <c r="D32" i="20" s="1"/>
  <c r="D136" i="9"/>
  <c r="D145" i="9" s="1"/>
  <c r="D68" i="20" s="1"/>
  <c r="D122" i="9"/>
  <c r="D108" i="9"/>
  <c r="D94" i="9"/>
  <c r="D103" i="9" s="1"/>
  <c r="N75" i="9" l="1"/>
  <c r="N137" i="9" s="1"/>
  <c r="N7" i="9"/>
  <c r="N8" i="9" s="1"/>
  <c r="M11" i="9"/>
  <c r="M20" i="9" s="1"/>
  <c r="L14" i="9"/>
  <c r="O60" i="9" s="1"/>
  <c r="O123" i="9" s="1"/>
  <c r="AL20" i="9"/>
  <c r="N9" i="9"/>
  <c r="G59" i="9"/>
  <c r="G122" i="9" s="1"/>
  <c r="F135" i="9"/>
  <c r="AI19" i="9"/>
  <c r="AM7" i="9" s="1"/>
  <c r="G74" i="9"/>
  <c r="G136" i="9" s="1"/>
  <c r="C20" i="9"/>
  <c r="G44" i="9"/>
  <c r="G108" i="9" s="1"/>
  <c r="G58" i="9"/>
  <c r="G28" i="9"/>
  <c r="G73" i="9"/>
  <c r="G43" i="9"/>
  <c r="AL135" i="9"/>
  <c r="AL196" i="9"/>
  <c r="AL107" i="9"/>
  <c r="AL168" i="9"/>
  <c r="AL182" i="9"/>
  <c r="AL121" i="9"/>
  <c r="AL93" i="9"/>
  <c r="AL154" i="9"/>
  <c r="AM43" i="9"/>
  <c r="AM73" i="9"/>
  <c r="AM28" i="9"/>
  <c r="AM58" i="9"/>
  <c r="F121" i="9"/>
  <c r="F107" i="9"/>
  <c r="E76" i="9"/>
  <c r="E85" i="9" s="1"/>
  <c r="F93" i="9"/>
  <c r="F154" i="9"/>
  <c r="F44" i="9"/>
  <c r="F108" i="9" s="1"/>
  <c r="F29" i="9"/>
  <c r="F94" i="9" s="1"/>
  <c r="F74" i="9"/>
  <c r="F136" i="9" s="1"/>
  <c r="F59" i="9"/>
  <c r="F122" i="9" s="1"/>
  <c r="BI125" i="9"/>
  <c r="BI131" i="9" s="1"/>
  <c r="E56" i="20" s="1"/>
  <c r="BJ77" i="9"/>
  <c r="BJ200" i="9" s="1"/>
  <c r="BJ47" i="9"/>
  <c r="BJ111" i="9" s="1"/>
  <c r="BJ62" i="9"/>
  <c r="BJ125" i="9" s="1"/>
  <c r="BI186" i="9"/>
  <c r="BI192" i="9" s="1"/>
  <c r="M56" i="20" s="1"/>
  <c r="E9" i="9"/>
  <c r="E12" i="9"/>
  <c r="BI111" i="9"/>
  <c r="BI117" i="9" s="1"/>
  <c r="E37" i="20" s="1"/>
  <c r="BI54" i="9"/>
  <c r="BI39" i="9"/>
  <c r="AS76" i="9"/>
  <c r="AS138" i="9" s="1"/>
  <c r="AS40" i="9"/>
  <c r="BI158" i="9"/>
  <c r="BI164" i="9" s="1"/>
  <c r="M18" i="20" s="1"/>
  <c r="BI97" i="9"/>
  <c r="BI103" i="9" s="1"/>
  <c r="E18" i="20" s="1"/>
  <c r="E8" i="9"/>
  <c r="E11" i="9" s="1"/>
  <c r="AS46" i="9"/>
  <c r="AS55" i="9" s="1"/>
  <c r="AS61" i="9"/>
  <c r="AS124" i="9" s="1"/>
  <c r="F46" i="9"/>
  <c r="F110" i="9" s="1"/>
  <c r="E46" i="9"/>
  <c r="E55" i="9" s="1"/>
  <c r="F31" i="9"/>
  <c r="F96" i="9" s="1"/>
  <c r="G61" i="9"/>
  <c r="G124" i="9" s="1"/>
  <c r="F76" i="9"/>
  <c r="F138" i="9" s="1"/>
  <c r="AS38" i="9"/>
  <c r="AS95" i="9"/>
  <c r="E31" i="9"/>
  <c r="E96" i="9" s="1"/>
  <c r="E61" i="9"/>
  <c r="E70" i="9" s="1"/>
  <c r="AS198" i="9"/>
  <c r="E170" i="9"/>
  <c r="E198" i="9"/>
  <c r="G76" i="9"/>
  <c r="G138" i="9" s="1"/>
  <c r="AD62" i="9"/>
  <c r="AD186" i="9" s="1"/>
  <c r="G31" i="9"/>
  <c r="G96" i="9" s="1"/>
  <c r="AE77" i="9"/>
  <c r="AE139" i="9" s="1"/>
  <c r="E77" i="9"/>
  <c r="E139" i="9" s="1"/>
  <c r="E62" i="9"/>
  <c r="E125" i="9" s="1"/>
  <c r="AJ136" i="9"/>
  <c r="AJ145" i="9" s="1"/>
  <c r="D72" i="20" s="1"/>
  <c r="AC53" i="9"/>
  <c r="AC172" i="9"/>
  <c r="AC178" i="9" s="1"/>
  <c r="M33" i="20" s="1"/>
  <c r="E47" i="9"/>
  <c r="E172" i="9" s="1"/>
  <c r="E32" i="9"/>
  <c r="E97" i="9" s="1"/>
  <c r="AK31" i="9"/>
  <c r="AK96" i="9" s="1"/>
  <c r="AC54" i="9"/>
  <c r="AJ156" i="9"/>
  <c r="AJ164" i="9" s="1"/>
  <c r="L15" i="20" s="1"/>
  <c r="AK62" i="9"/>
  <c r="AK186" i="9" s="1"/>
  <c r="AE32" i="9"/>
  <c r="AE158" i="9" s="1"/>
  <c r="AC69" i="9"/>
  <c r="D20" i="9"/>
  <c r="E95" i="9"/>
  <c r="AD77" i="9"/>
  <c r="AD200" i="9" s="1"/>
  <c r="AK137" i="9"/>
  <c r="AC158" i="9"/>
  <c r="AC164" i="9" s="1"/>
  <c r="M14" i="20" s="1"/>
  <c r="AC39" i="9"/>
  <c r="D131" i="9"/>
  <c r="D49" i="20" s="1"/>
  <c r="E123" i="9"/>
  <c r="AE47" i="9"/>
  <c r="AE172" i="9" s="1"/>
  <c r="D117" i="9"/>
  <c r="D30" i="20" s="1"/>
  <c r="AC125" i="9"/>
  <c r="AC131" i="9" s="1"/>
  <c r="E52" i="20" s="1"/>
  <c r="AJ68" i="9"/>
  <c r="AD32" i="9"/>
  <c r="AD158" i="9" s="1"/>
  <c r="G75" i="9"/>
  <c r="AJ95" i="9"/>
  <c r="AJ103" i="9" s="1"/>
  <c r="D15" i="20" s="1"/>
  <c r="AT137" i="9"/>
  <c r="AJ55" i="9"/>
  <c r="AJ109" i="9"/>
  <c r="AJ117" i="9" s="1"/>
  <c r="D34" i="20" s="1"/>
  <c r="AJ122" i="9"/>
  <c r="AJ38" i="9"/>
  <c r="AJ123" i="9"/>
  <c r="AJ54" i="9"/>
  <c r="AU109" i="9"/>
  <c r="AK60" i="9"/>
  <c r="AK123" i="9" s="1"/>
  <c r="AJ53" i="9"/>
  <c r="AJ184" i="9"/>
  <c r="AJ192" i="9" s="1"/>
  <c r="L53" i="20" s="1"/>
  <c r="AS170" i="9"/>
  <c r="AJ83" i="9"/>
  <c r="AJ198" i="9"/>
  <c r="AJ206" i="9" s="1"/>
  <c r="L72" i="20" s="1"/>
  <c r="N30" i="9"/>
  <c r="N95" i="9" s="1"/>
  <c r="N60" i="9"/>
  <c r="N123" i="9" s="1"/>
  <c r="W77" i="9"/>
  <c r="W200" i="9" s="1"/>
  <c r="W32" i="9"/>
  <c r="W97" i="9" s="1"/>
  <c r="W47" i="9"/>
  <c r="W111" i="9" s="1"/>
  <c r="W62" i="9"/>
  <c r="W186" i="9" s="1"/>
  <c r="AJ69" i="9"/>
  <c r="AK30" i="9"/>
  <c r="AK95" i="9" s="1"/>
  <c r="AJ84" i="9"/>
  <c r="AK45" i="9"/>
  <c r="AK109" i="9" s="1"/>
  <c r="AL30" i="9"/>
  <c r="AL156" i="9" s="1"/>
  <c r="G123" i="9"/>
  <c r="G184" i="9"/>
  <c r="F75" i="9"/>
  <c r="F45" i="9"/>
  <c r="F30" i="9"/>
  <c r="F60" i="9"/>
  <c r="G30" i="9"/>
  <c r="G45" i="9"/>
  <c r="AT109" i="9"/>
  <c r="AM31" i="9"/>
  <c r="AM96" i="9" s="1"/>
  <c r="AM60" i="9"/>
  <c r="AM123" i="9" s="1"/>
  <c r="AM30" i="9"/>
  <c r="AM95" i="9" s="1"/>
  <c r="AM45" i="9"/>
  <c r="AM170" i="9" s="1"/>
  <c r="AU198" i="9"/>
  <c r="AU123" i="9"/>
  <c r="AL31" i="9"/>
  <c r="AL96" i="9" s="1"/>
  <c r="AT123" i="9"/>
  <c r="AL75" i="9"/>
  <c r="AL198" i="9" s="1"/>
  <c r="AL60" i="9"/>
  <c r="AL184" i="9" s="1"/>
  <c r="AL109" i="9"/>
  <c r="U192" i="9"/>
  <c r="M51" i="20" s="1"/>
  <c r="CO145" i="9"/>
  <c r="E79" i="20" s="1"/>
  <c r="BQ117" i="9"/>
  <c r="E38" i="20" s="1"/>
  <c r="L103" i="9"/>
  <c r="D12" i="20" s="1"/>
  <c r="DE131" i="9"/>
  <c r="E62" i="20" s="1"/>
  <c r="BI145" i="9"/>
  <c r="E75" i="20" s="1"/>
  <c r="DE38" i="9"/>
  <c r="CO103" i="9"/>
  <c r="E22" i="20" s="1"/>
  <c r="BY53" i="9"/>
  <c r="DE178" i="9"/>
  <c r="M43" i="20" s="1"/>
  <c r="CW103" i="9"/>
  <c r="E23" i="20" s="1"/>
  <c r="BY117" i="9"/>
  <c r="E39" i="20" s="1"/>
  <c r="DE206" i="9"/>
  <c r="M81" i="20" s="1"/>
  <c r="U117" i="9"/>
  <c r="E32" i="20" s="1"/>
  <c r="DE145" i="9"/>
  <c r="E81" i="20" s="1"/>
  <c r="BI206" i="9"/>
  <c r="M75" i="20" s="1"/>
  <c r="CG83" i="9"/>
  <c r="CG178" i="9"/>
  <c r="M40" i="20" s="1"/>
  <c r="BA178" i="9"/>
  <c r="M36" i="20" s="1"/>
  <c r="CG131" i="9"/>
  <c r="E59" i="20" s="1"/>
  <c r="CG103" i="9"/>
  <c r="E21" i="20" s="1"/>
  <c r="BA117" i="9"/>
  <c r="E36" i="20" s="1"/>
  <c r="CW164" i="9"/>
  <c r="M23" i="20" s="1"/>
  <c r="BA145" i="9"/>
  <c r="E74" i="20" s="1"/>
  <c r="CO38" i="9"/>
  <c r="L164" i="9"/>
  <c r="L12" i="20" s="1"/>
  <c r="AC145" i="9"/>
  <c r="E71" i="20" s="1"/>
  <c r="L206" i="9"/>
  <c r="L69" i="20" s="1"/>
  <c r="DE103" i="9"/>
  <c r="E24" i="20" s="1"/>
  <c r="L192" i="9"/>
  <c r="L50" i="20" s="1"/>
  <c r="BY103" i="9"/>
  <c r="E20" i="20" s="1"/>
  <c r="CW145" i="9"/>
  <c r="E80" i="20" s="1"/>
  <c r="BY164" i="9"/>
  <c r="M20" i="20" s="1"/>
  <c r="DE192" i="9"/>
  <c r="M62" i="20" s="1"/>
  <c r="CO117" i="9"/>
  <c r="E41" i="20" s="1"/>
  <c r="CO206" i="9"/>
  <c r="M79" i="20" s="1"/>
  <c r="U145" i="9"/>
  <c r="E70" i="20" s="1"/>
  <c r="BY145" i="9"/>
  <c r="E77" i="20" s="1"/>
  <c r="BQ103" i="9"/>
  <c r="E19" i="20" s="1"/>
  <c r="CW131" i="9"/>
  <c r="E61" i="20" s="1"/>
  <c r="BQ178" i="9"/>
  <c r="M38" i="20" s="1"/>
  <c r="CW192" i="9"/>
  <c r="M61" i="20" s="1"/>
  <c r="U53" i="9"/>
  <c r="AC117" i="9"/>
  <c r="E33" i="20" s="1"/>
  <c r="BA164" i="9"/>
  <c r="M17" i="20" s="1"/>
  <c r="U103" i="9"/>
  <c r="E13" i="20" s="1"/>
  <c r="U131" i="9"/>
  <c r="E51" i="20" s="1"/>
  <c r="U38" i="9"/>
  <c r="BA96" i="9"/>
  <c r="BA103" i="9" s="1"/>
  <c r="E17" i="20" s="1"/>
  <c r="BA38" i="9"/>
  <c r="CA96" i="9"/>
  <c r="BQ124" i="9"/>
  <c r="BQ131" i="9" s="1"/>
  <c r="E57" i="20" s="1"/>
  <c r="BQ68" i="9"/>
  <c r="CH124" i="9"/>
  <c r="CA138" i="9"/>
  <c r="DD103" i="9"/>
  <c r="D24" i="20" s="1"/>
  <c r="AR145" i="9"/>
  <c r="D73" i="20" s="1"/>
  <c r="T145" i="9"/>
  <c r="D70" i="20" s="1"/>
  <c r="CG145" i="9"/>
  <c r="E78" i="20" s="1"/>
  <c r="BY131" i="9"/>
  <c r="E58" i="20" s="1"/>
  <c r="BQ138" i="9"/>
  <c r="BQ145" i="9" s="1"/>
  <c r="E76" i="20" s="1"/>
  <c r="BQ83" i="9"/>
  <c r="DE110" i="9"/>
  <c r="DE117" i="9" s="1"/>
  <c r="E43" i="20" s="1"/>
  <c r="DE53" i="9"/>
  <c r="AC96" i="9"/>
  <c r="AC103" i="9" s="1"/>
  <c r="E14" i="20" s="1"/>
  <c r="AC38" i="9"/>
  <c r="V124" i="9"/>
  <c r="AT138" i="9"/>
  <c r="BQ164" i="9"/>
  <c r="M19" i="20" s="1"/>
  <c r="CO164" i="9"/>
  <c r="M22" i="20" s="1"/>
  <c r="CO124" i="9"/>
  <c r="CO131" i="9" s="1"/>
  <c r="E60" i="20" s="1"/>
  <c r="CO68" i="9"/>
  <c r="BZ96" i="9"/>
  <c r="CG110" i="9"/>
  <c r="CG117" i="9" s="1"/>
  <c r="E40" i="20" s="1"/>
  <c r="CG53" i="9"/>
  <c r="DD117" i="9"/>
  <c r="D43" i="20" s="1"/>
  <c r="BA206" i="9"/>
  <c r="M74" i="20" s="1"/>
  <c r="AZ117" i="9"/>
  <c r="D36" i="20" s="1"/>
  <c r="U206" i="9"/>
  <c r="M70" i="20" s="1"/>
  <c r="U178" i="9"/>
  <c r="M32" i="20" s="1"/>
  <c r="BQ192" i="9"/>
  <c r="M57" i="20" s="1"/>
  <c r="BX103" i="9"/>
  <c r="D20" i="20" s="1"/>
  <c r="BA131" i="9"/>
  <c r="E55" i="20" s="1"/>
  <c r="DD145" i="9"/>
  <c r="D81" i="20" s="1"/>
  <c r="AC206" i="9"/>
  <c r="M71" i="20" s="1"/>
  <c r="CG192" i="9"/>
  <c r="M59" i="20" s="1"/>
  <c r="CW110" i="9"/>
  <c r="CW117" i="9" s="1"/>
  <c r="E42" i="20" s="1"/>
  <c r="CW53" i="9"/>
  <c r="BX131" i="9"/>
  <c r="D58" i="20" s="1"/>
  <c r="CG55" i="9"/>
  <c r="CV103" i="9"/>
  <c r="D23" i="20" s="1"/>
  <c r="AM137" i="9"/>
  <c r="AM198" i="9"/>
  <c r="L131" i="9"/>
  <c r="D50" i="20" s="1"/>
  <c r="AR103" i="9"/>
  <c r="D16" i="20" s="1"/>
  <c r="CA110" i="9"/>
  <c r="DG96" i="9"/>
  <c r="BA68" i="9"/>
  <c r="DE83" i="9"/>
  <c r="BA83" i="9"/>
  <c r="BK124" i="9"/>
  <c r="CY110" i="9"/>
  <c r="BI68" i="9"/>
  <c r="BH103" i="9"/>
  <c r="D18" i="20" s="1"/>
  <c r="BC138" i="9"/>
  <c r="AE96" i="9"/>
  <c r="CW38" i="9"/>
  <c r="BQ38" i="9"/>
  <c r="CI138" i="9"/>
  <c r="BA192" i="9"/>
  <c r="M55" i="20" s="1"/>
  <c r="CF145" i="9"/>
  <c r="D78" i="20" s="1"/>
  <c r="BI83" i="9"/>
  <c r="BY83" i="9"/>
  <c r="W110" i="9"/>
  <c r="BI53" i="9"/>
  <c r="BP145" i="9"/>
  <c r="D76" i="20" s="1"/>
  <c r="AC68" i="9"/>
  <c r="CG68" i="9"/>
  <c r="CQ96" i="9"/>
  <c r="BP117" i="9"/>
  <c r="D38" i="20" s="1"/>
  <c r="BY192" i="9"/>
  <c r="M58" i="20" s="1"/>
  <c r="CW178" i="9"/>
  <c r="M42" i="20" s="1"/>
  <c r="AC83" i="9"/>
  <c r="U68" i="9"/>
  <c r="BH145" i="9"/>
  <c r="D75" i="20" s="1"/>
  <c r="L117" i="9"/>
  <c r="D31" i="20" s="1"/>
  <c r="AU138" i="9"/>
  <c r="BI178" i="9"/>
  <c r="M37" i="20" s="1"/>
  <c r="L145" i="9"/>
  <c r="D69" i="20" s="1"/>
  <c r="L178" i="9"/>
  <c r="CG164" i="9"/>
  <c r="M21" i="20" s="1"/>
  <c r="DD131" i="9"/>
  <c r="D62" i="20" s="1"/>
  <c r="CO192" i="9"/>
  <c r="M60" i="20" s="1"/>
  <c r="BY68" i="9"/>
  <c r="CN103" i="9"/>
  <c r="D22" i="20" s="1"/>
  <c r="AR131" i="9"/>
  <c r="D54" i="20" s="1"/>
  <c r="CW83" i="9"/>
  <c r="AC192" i="9"/>
  <c r="M52" i="20" s="1"/>
  <c r="CO53" i="9"/>
  <c r="AC70" i="9"/>
  <c r="DE40" i="9"/>
  <c r="CW55" i="9"/>
  <c r="BZ78" i="9"/>
  <c r="BZ140" i="9" s="1"/>
  <c r="BZ63" i="9"/>
  <c r="BZ126" i="9" s="1"/>
  <c r="BZ33" i="9"/>
  <c r="BZ98" i="9" s="1"/>
  <c r="CW40" i="9"/>
  <c r="BA85" i="9"/>
  <c r="U70" i="9"/>
  <c r="CP33" i="9"/>
  <c r="CP98" i="9" s="1"/>
  <c r="CW85" i="9"/>
  <c r="BQ85" i="9"/>
  <c r="CP48" i="9"/>
  <c r="CP112" i="9" s="1"/>
  <c r="CP63" i="9"/>
  <c r="CP126" i="9" s="1"/>
  <c r="BI70" i="9"/>
  <c r="DE55" i="9"/>
  <c r="CA48" i="9"/>
  <c r="CA112" i="9" s="1"/>
  <c r="CA33" i="9"/>
  <c r="CA98" i="9" s="1"/>
  <c r="BI85" i="9"/>
  <c r="CA63" i="9"/>
  <c r="CG85" i="9"/>
  <c r="BQ40" i="9"/>
  <c r="U40" i="9"/>
  <c r="BA70" i="9"/>
  <c r="CG70" i="9"/>
  <c r="AE48" i="9"/>
  <c r="AE112" i="9" s="1"/>
  <c r="AE78" i="9"/>
  <c r="AE140" i="9" s="1"/>
  <c r="AE63" i="9"/>
  <c r="AE126" i="9" s="1"/>
  <c r="CY48" i="9"/>
  <c r="CY112" i="9" s="1"/>
  <c r="BA40" i="9"/>
  <c r="AC85" i="9"/>
  <c r="CO70" i="9"/>
  <c r="BQ70" i="9"/>
  <c r="CY78" i="9"/>
  <c r="CY140" i="9" s="1"/>
  <c r="CO40" i="9"/>
  <c r="CO55" i="9"/>
  <c r="U55" i="9"/>
  <c r="CP85" i="9"/>
  <c r="BZ55" i="9"/>
  <c r="BR48" i="9"/>
  <c r="BR112" i="9" s="1"/>
  <c r="BR33" i="9"/>
  <c r="BR98" i="9" s="1"/>
  <c r="CY63" i="9"/>
  <c r="CY126" i="9" s="1"/>
  <c r="BR63" i="9"/>
  <c r="AC40" i="9"/>
  <c r="CX33" i="9"/>
  <c r="CX63" i="9"/>
  <c r="CX48" i="9"/>
  <c r="BI55" i="9"/>
  <c r="DE85" i="9"/>
  <c r="BR85" i="9"/>
  <c r="AT33" i="9"/>
  <c r="CX85" i="9"/>
  <c r="CY200" i="9"/>
  <c r="CY139" i="9"/>
  <c r="DG125" i="9"/>
  <c r="DG186" i="9"/>
  <c r="DF111" i="9"/>
  <c r="DF172" i="9"/>
  <c r="CI111" i="9"/>
  <c r="CI172" i="9"/>
  <c r="CI48" i="9"/>
  <c r="CI33" i="9"/>
  <c r="CI78" i="9"/>
  <c r="CI63" i="9"/>
  <c r="CQ125" i="9"/>
  <c r="CQ186" i="9"/>
  <c r="CH111" i="9"/>
  <c r="CH172" i="9"/>
  <c r="DF139" i="9"/>
  <c r="DF200" i="9"/>
  <c r="CI139" i="9"/>
  <c r="CI200" i="9"/>
  <c r="CA158" i="9"/>
  <c r="CA97" i="9"/>
  <c r="CQ139" i="9"/>
  <c r="CQ200" i="9"/>
  <c r="CH186" i="9"/>
  <c r="CH125" i="9"/>
  <c r="DF97" i="9"/>
  <c r="DF158" i="9"/>
  <c r="CY97" i="9"/>
  <c r="CY158" i="9"/>
  <c r="CA172" i="9"/>
  <c r="CA111" i="9"/>
  <c r="CQ158" i="9"/>
  <c r="CQ97" i="9"/>
  <c r="BZ125" i="9"/>
  <c r="BZ186" i="9"/>
  <c r="CH139" i="9"/>
  <c r="CH200" i="9"/>
  <c r="DF186" i="9"/>
  <c r="DF125" i="9"/>
  <c r="BY85" i="9"/>
  <c r="BY70" i="9"/>
  <c r="CA186" i="9"/>
  <c r="CA125" i="9"/>
  <c r="CQ172" i="9"/>
  <c r="CQ111" i="9"/>
  <c r="BZ200" i="9"/>
  <c r="BZ139" i="9"/>
  <c r="CH97" i="9"/>
  <c r="CH158" i="9"/>
  <c r="DF64" i="9"/>
  <c r="DF69" i="9" s="1"/>
  <c r="DF34" i="9"/>
  <c r="DF49" i="9"/>
  <c r="DF54" i="9" s="1"/>
  <c r="DF79" i="9"/>
  <c r="BY55" i="9"/>
  <c r="CA200" i="9"/>
  <c r="CA139" i="9"/>
  <c r="CQ63" i="9"/>
  <c r="CQ48" i="9"/>
  <c r="CQ33" i="9"/>
  <c r="CQ78" i="9"/>
  <c r="BZ158" i="9"/>
  <c r="BZ97" i="9"/>
  <c r="CH64" i="9"/>
  <c r="CH69" i="9" s="1"/>
  <c r="CH49" i="9"/>
  <c r="CH54" i="9" s="1"/>
  <c r="CH79" i="9"/>
  <c r="CH84" i="9" s="1"/>
  <c r="CH34" i="9"/>
  <c r="CH39" i="9" s="1"/>
  <c r="CX200" i="9"/>
  <c r="CX139" i="9"/>
  <c r="CY125" i="9"/>
  <c r="CY186" i="9"/>
  <c r="BR125" i="9"/>
  <c r="BR186" i="9"/>
  <c r="BS125" i="9"/>
  <c r="BS186" i="9"/>
  <c r="BZ172" i="9"/>
  <c r="BZ111" i="9"/>
  <c r="DF48" i="9"/>
  <c r="DF78" i="9"/>
  <c r="DF33" i="9"/>
  <c r="DF63" i="9"/>
  <c r="CX125" i="9"/>
  <c r="CX186" i="9"/>
  <c r="BR200" i="9"/>
  <c r="BR139" i="9"/>
  <c r="BS139" i="9"/>
  <c r="BS200" i="9"/>
  <c r="BZ64" i="9"/>
  <c r="BZ69" i="9" s="1"/>
  <c r="BZ34" i="9"/>
  <c r="BZ79" i="9"/>
  <c r="BZ84" i="9" s="1"/>
  <c r="BZ49" i="9"/>
  <c r="BZ53" i="9" s="1"/>
  <c r="CX158" i="9"/>
  <c r="CX97" i="9"/>
  <c r="CH48" i="9"/>
  <c r="CH33" i="9"/>
  <c r="CH78" i="9"/>
  <c r="CH63" i="9"/>
  <c r="DG48" i="9"/>
  <c r="DG78" i="9"/>
  <c r="DG33" i="9"/>
  <c r="DG63" i="9"/>
  <c r="BR158" i="9"/>
  <c r="BR97" i="9"/>
  <c r="BS158" i="9"/>
  <c r="BS97" i="9"/>
  <c r="CP186" i="9"/>
  <c r="CP125" i="9"/>
  <c r="CX111" i="9"/>
  <c r="CX172" i="9"/>
  <c r="CI158" i="9"/>
  <c r="CI97" i="9"/>
  <c r="CI125" i="9"/>
  <c r="CI186" i="9"/>
  <c r="BR172" i="9"/>
  <c r="BR111" i="9"/>
  <c r="BS111" i="9"/>
  <c r="BS172" i="9"/>
  <c r="CP139" i="9"/>
  <c r="CP200" i="9"/>
  <c r="CX49" i="9"/>
  <c r="CX54" i="9" s="1"/>
  <c r="CX34" i="9"/>
  <c r="CX64" i="9"/>
  <c r="CX69" i="9" s="1"/>
  <c r="CX79" i="9"/>
  <c r="CX83" i="9" s="1"/>
  <c r="BR34" i="9"/>
  <c r="BR49" i="9"/>
  <c r="BR54" i="9" s="1"/>
  <c r="BR64" i="9"/>
  <c r="BR69" i="9" s="1"/>
  <c r="BR79" i="9"/>
  <c r="BR84" i="9" s="1"/>
  <c r="BS33" i="9"/>
  <c r="BS48" i="9"/>
  <c r="BS78" i="9"/>
  <c r="BS63" i="9"/>
  <c r="CP158" i="9"/>
  <c r="CP97" i="9"/>
  <c r="DG97" i="9"/>
  <c r="DG158" i="9"/>
  <c r="CP172" i="9"/>
  <c r="CP111" i="9"/>
  <c r="DG200" i="9"/>
  <c r="DG139" i="9"/>
  <c r="CY111" i="9"/>
  <c r="CY172" i="9"/>
  <c r="CP79" i="9"/>
  <c r="CP84" i="9" s="1"/>
  <c r="CP34" i="9"/>
  <c r="CP39" i="9" s="1"/>
  <c r="CP64" i="9"/>
  <c r="CP69" i="9" s="1"/>
  <c r="CP49" i="9"/>
  <c r="DG172" i="9"/>
  <c r="DG111" i="9"/>
  <c r="AD48" i="9"/>
  <c r="AD40" i="9"/>
  <c r="AD78" i="9"/>
  <c r="AD63" i="9"/>
  <c r="AU33" i="9"/>
  <c r="W33" i="9"/>
  <c r="W78" i="9"/>
  <c r="W63" i="9"/>
  <c r="W48" i="9"/>
  <c r="V63" i="9"/>
  <c r="V33" i="9"/>
  <c r="V78" i="9"/>
  <c r="V48" i="9"/>
  <c r="AD172" i="9"/>
  <c r="AD111" i="9"/>
  <c r="V172" i="9"/>
  <c r="V111" i="9"/>
  <c r="V158" i="9"/>
  <c r="V97" i="9"/>
  <c r="V186" i="9"/>
  <c r="V125" i="9"/>
  <c r="V139" i="9"/>
  <c r="V200" i="9"/>
  <c r="V49" i="9"/>
  <c r="V54" i="9" s="1"/>
  <c r="V79" i="9"/>
  <c r="V84" i="9" s="1"/>
  <c r="V34" i="9"/>
  <c r="V39" i="9" s="1"/>
  <c r="V64" i="9"/>
  <c r="V69" i="9" s="1"/>
  <c r="AE186" i="9"/>
  <c r="AE125" i="9"/>
  <c r="BB98" i="9"/>
  <c r="BB40" i="9"/>
  <c r="AS125" i="9"/>
  <c r="AS186" i="9"/>
  <c r="AS69" i="9"/>
  <c r="AS111" i="9"/>
  <c r="AS172" i="9"/>
  <c r="AS54" i="9"/>
  <c r="AS200" i="9"/>
  <c r="AS139" i="9"/>
  <c r="AS84" i="9"/>
  <c r="AS97" i="9"/>
  <c r="AS158" i="9"/>
  <c r="AU32" i="9"/>
  <c r="AU77" i="9"/>
  <c r="AU62" i="9"/>
  <c r="AU47" i="9"/>
  <c r="AT32" i="9"/>
  <c r="AT77" i="9"/>
  <c r="AT47" i="9"/>
  <c r="AT62" i="9"/>
  <c r="BB48" i="9"/>
  <c r="BB78" i="9"/>
  <c r="BB63" i="9"/>
  <c r="AS39" i="9"/>
  <c r="BK48" i="9"/>
  <c r="BK78" i="9"/>
  <c r="BK33" i="9"/>
  <c r="BK63" i="9"/>
  <c r="BJ97" i="9"/>
  <c r="BJ158" i="9"/>
  <c r="BJ48" i="9"/>
  <c r="BJ78" i="9"/>
  <c r="BJ33" i="9"/>
  <c r="BJ63" i="9"/>
  <c r="BJ79" i="9"/>
  <c r="BJ34" i="9"/>
  <c r="BJ39" i="9" s="1"/>
  <c r="BJ64" i="9"/>
  <c r="BJ49" i="9"/>
  <c r="BB172" i="9"/>
  <c r="BB111" i="9"/>
  <c r="BC172" i="9"/>
  <c r="BC111" i="9"/>
  <c r="BB139" i="9"/>
  <c r="BB200" i="9"/>
  <c r="BC139" i="9"/>
  <c r="BC200" i="9"/>
  <c r="BB97" i="9"/>
  <c r="BB158" i="9"/>
  <c r="BC97" i="9"/>
  <c r="BC158" i="9"/>
  <c r="BK125" i="9"/>
  <c r="BK186" i="9"/>
  <c r="BB186" i="9"/>
  <c r="BB125" i="9"/>
  <c r="BC186" i="9"/>
  <c r="BC125" i="9"/>
  <c r="BK97" i="9"/>
  <c r="BK158" i="9"/>
  <c r="BB34" i="9"/>
  <c r="BB39" i="9" s="1"/>
  <c r="BB79" i="9"/>
  <c r="BB49" i="9"/>
  <c r="BB54" i="9" s="1"/>
  <c r="BB64" i="9"/>
  <c r="BK200" i="9"/>
  <c r="BK139" i="9"/>
  <c r="BK172" i="9"/>
  <c r="BK111" i="9"/>
  <c r="BC33" i="9"/>
  <c r="BC78" i="9"/>
  <c r="BC48" i="9"/>
  <c r="BC63" i="9"/>
  <c r="M156" i="9"/>
  <c r="M95" i="9"/>
  <c r="M198" i="9"/>
  <c r="M137" i="9"/>
  <c r="M77" i="9"/>
  <c r="M32" i="9"/>
  <c r="M62" i="9"/>
  <c r="M47" i="9"/>
  <c r="M170" i="9"/>
  <c r="M109" i="9"/>
  <c r="N170" i="9"/>
  <c r="N109" i="9"/>
  <c r="M31" i="9"/>
  <c r="M76" i="9"/>
  <c r="M46" i="9"/>
  <c r="M61" i="9"/>
  <c r="N31" i="9"/>
  <c r="N76" i="9"/>
  <c r="N46" i="9"/>
  <c r="N110" i="9" s="1"/>
  <c r="N61" i="9"/>
  <c r="N124" i="9" s="1"/>
  <c r="M184" i="9"/>
  <c r="M123" i="9"/>
  <c r="O46" i="9"/>
  <c r="O110" i="9" s="1"/>
  <c r="O61" i="9"/>
  <c r="O124" i="9" s="1"/>
  <c r="O76" i="9"/>
  <c r="O138" i="9" s="1"/>
  <c r="O31" i="9"/>
  <c r="O96" i="9" s="1"/>
  <c r="D11" i="20"/>
  <c r="O75" i="9" l="1"/>
  <c r="O137" i="9" s="1"/>
  <c r="L31" i="20"/>
  <c r="L44" i="20" s="1"/>
  <c r="E32" i="11" s="1"/>
  <c r="AN5" i="28" s="1"/>
  <c r="N198" i="9"/>
  <c r="O184" i="9"/>
  <c r="O45" i="9"/>
  <c r="O109" i="9" s="1"/>
  <c r="O30" i="9"/>
  <c r="O156" i="9" s="1"/>
  <c r="BJ186" i="9"/>
  <c r="E138" i="9"/>
  <c r="E145" i="9" s="1"/>
  <c r="E68" i="20" s="1"/>
  <c r="BJ54" i="9"/>
  <c r="BJ172" i="9"/>
  <c r="L20" i="9"/>
  <c r="O7" i="9"/>
  <c r="N20" i="9"/>
  <c r="AM29" i="9"/>
  <c r="AM94" i="9" s="1"/>
  <c r="AM74" i="9"/>
  <c r="AM136" i="9" s="1"/>
  <c r="AM59" i="9"/>
  <c r="AM122" i="9" s="1"/>
  <c r="AM44" i="9"/>
  <c r="AM108" i="9" s="1"/>
  <c r="AI20" i="9"/>
  <c r="G168" i="9"/>
  <c r="G107" i="9"/>
  <c r="G135" i="9"/>
  <c r="G196" i="9"/>
  <c r="G154" i="9"/>
  <c r="G93" i="9"/>
  <c r="G182" i="9"/>
  <c r="G121" i="9"/>
  <c r="AM182" i="9"/>
  <c r="AM121" i="9"/>
  <c r="AM154" i="9"/>
  <c r="AM93" i="9"/>
  <c r="AM196" i="9"/>
  <c r="AM135" i="9"/>
  <c r="AM168" i="9"/>
  <c r="AM107" i="9"/>
  <c r="E13" i="9"/>
  <c r="G48" i="9" s="1"/>
  <c r="G112" i="9" s="1"/>
  <c r="E10" i="9"/>
  <c r="F7" i="9" s="1"/>
  <c r="BJ139" i="9"/>
  <c r="AS83" i="9"/>
  <c r="AS85" i="9"/>
  <c r="AS145" i="9"/>
  <c r="E73" i="20" s="1"/>
  <c r="AS131" i="9"/>
  <c r="E54" i="20" s="1"/>
  <c r="AS53" i="9"/>
  <c r="AS110" i="9"/>
  <c r="AS117" i="9" s="1"/>
  <c r="E35" i="20" s="1"/>
  <c r="AS70" i="9"/>
  <c r="AS68" i="9"/>
  <c r="E110" i="9"/>
  <c r="AD125" i="9"/>
  <c r="AD79" i="9"/>
  <c r="AD141" i="9" s="1"/>
  <c r="AS103" i="9"/>
  <c r="E16" i="20" s="1"/>
  <c r="E40" i="9"/>
  <c r="E124" i="9"/>
  <c r="E131" i="9" s="1"/>
  <c r="E49" i="20" s="1"/>
  <c r="AE200" i="9"/>
  <c r="AE97" i="9"/>
  <c r="E68" i="9"/>
  <c r="AK61" i="9"/>
  <c r="AK124" i="9" s="1"/>
  <c r="AD139" i="9"/>
  <c r="E83" i="9"/>
  <c r="AK76" i="9"/>
  <c r="AK85" i="9" s="1"/>
  <c r="W158" i="9"/>
  <c r="AE111" i="9"/>
  <c r="AD64" i="9"/>
  <c r="AD69" i="9" s="1"/>
  <c r="AD49" i="9"/>
  <c r="AD54" i="9" s="1"/>
  <c r="N156" i="9"/>
  <c r="AD34" i="9"/>
  <c r="AD160" i="9" s="1"/>
  <c r="E178" i="9"/>
  <c r="M30" i="20" s="1"/>
  <c r="AD97" i="9"/>
  <c r="E38" i="9"/>
  <c r="E53" i="9"/>
  <c r="AL32" i="9"/>
  <c r="AL158" i="9" s="1"/>
  <c r="E84" i="9"/>
  <c r="E200" i="9"/>
  <c r="E206" i="9" s="1"/>
  <c r="M68" i="20" s="1"/>
  <c r="AK46" i="9"/>
  <c r="AK110" i="9" s="1"/>
  <c r="E158" i="9"/>
  <c r="E164" i="9" s="1"/>
  <c r="M11" i="20" s="1"/>
  <c r="F62" i="9"/>
  <c r="F125" i="9" s="1"/>
  <c r="F47" i="9"/>
  <c r="F172" i="9" s="1"/>
  <c r="E54" i="9"/>
  <c r="E111" i="9"/>
  <c r="E39" i="9"/>
  <c r="E103" i="9"/>
  <c r="AK40" i="9"/>
  <c r="E69" i="9"/>
  <c r="E186" i="9"/>
  <c r="E192" i="9" s="1"/>
  <c r="M49" i="20" s="1"/>
  <c r="F77" i="9"/>
  <c r="F32" i="9"/>
  <c r="F97" i="9" s="1"/>
  <c r="AK47" i="9"/>
  <c r="AK32" i="9"/>
  <c r="AK38" i="9" s="1"/>
  <c r="W139" i="9"/>
  <c r="AK77" i="9"/>
  <c r="AK125" i="9"/>
  <c r="AK69" i="9"/>
  <c r="N184" i="9"/>
  <c r="AJ131" i="9"/>
  <c r="W172" i="9"/>
  <c r="AK184" i="9"/>
  <c r="AK192" i="9" s="1"/>
  <c r="M53" i="20" s="1"/>
  <c r="G137" i="9"/>
  <c r="G198" i="9"/>
  <c r="G32" i="9"/>
  <c r="G77" i="9"/>
  <c r="G47" i="9"/>
  <c r="G62" i="9"/>
  <c r="G186" i="9" s="1"/>
  <c r="L82" i="20"/>
  <c r="E83" i="11" s="1"/>
  <c r="W125" i="9"/>
  <c r="AM76" i="9"/>
  <c r="AM138" i="9" s="1"/>
  <c r="AK170" i="9"/>
  <c r="AK156" i="9"/>
  <c r="AM46" i="9"/>
  <c r="AM110" i="9" s="1"/>
  <c r="AL95" i="9"/>
  <c r="F184" i="9"/>
  <c r="F123" i="9"/>
  <c r="F156" i="9"/>
  <c r="F95" i="9"/>
  <c r="F170" i="9"/>
  <c r="F109" i="9"/>
  <c r="F137" i="9"/>
  <c r="F198" i="9"/>
  <c r="G170" i="9"/>
  <c r="G109" i="9"/>
  <c r="G156" i="9"/>
  <c r="G95" i="9"/>
  <c r="AM109" i="9"/>
  <c r="AM184" i="9"/>
  <c r="AM156" i="9"/>
  <c r="AM61" i="9"/>
  <c r="AM124" i="9" s="1"/>
  <c r="AL61" i="9"/>
  <c r="AL124" i="9" s="1"/>
  <c r="AL46" i="9"/>
  <c r="AL110" i="9" s="1"/>
  <c r="AL76" i="9"/>
  <c r="AL138" i="9" s="1"/>
  <c r="AL137" i="9"/>
  <c r="AL123" i="9"/>
  <c r="L25" i="20"/>
  <c r="E57" i="11" s="1"/>
  <c r="CP53" i="9"/>
  <c r="DF38" i="9"/>
  <c r="BR68" i="9"/>
  <c r="BB83" i="9"/>
  <c r="CX38" i="9"/>
  <c r="BZ38" i="9"/>
  <c r="M38" i="9"/>
  <c r="BJ53" i="9"/>
  <c r="M53" i="9"/>
  <c r="BJ83" i="9"/>
  <c r="BR38" i="9"/>
  <c r="BB68" i="9"/>
  <c r="M83" i="9"/>
  <c r="M68" i="9"/>
  <c r="BJ68" i="9"/>
  <c r="DF83" i="9"/>
  <c r="CP83" i="9"/>
  <c r="BR83" i="9"/>
  <c r="N96" i="9"/>
  <c r="CH83" i="9"/>
  <c r="BB38" i="9"/>
  <c r="CX68" i="9"/>
  <c r="BZ83" i="9"/>
  <c r="CH38" i="9"/>
  <c r="CX53" i="9"/>
  <c r="V83" i="9"/>
  <c r="AS192" i="9"/>
  <c r="M54" i="20" s="1"/>
  <c r="DF53" i="9"/>
  <c r="BB53" i="9"/>
  <c r="CH68" i="9"/>
  <c r="CP68" i="9"/>
  <c r="V53" i="9"/>
  <c r="CP38" i="9"/>
  <c r="BZ68" i="9"/>
  <c r="CH53" i="9"/>
  <c r="N138" i="9"/>
  <c r="BJ38" i="9"/>
  <c r="BR53" i="9"/>
  <c r="DF68" i="9"/>
  <c r="AS178" i="9"/>
  <c r="M35" i="20" s="1"/>
  <c r="V68" i="9"/>
  <c r="CA126" i="9"/>
  <c r="V38" i="9"/>
  <c r="AS206" i="9"/>
  <c r="M73" i="20" s="1"/>
  <c r="AS164" i="9"/>
  <c r="M16" i="20" s="1"/>
  <c r="AU78" i="9"/>
  <c r="AU140" i="9" s="1"/>
  <c r="BZ70" i="9"/>
  <c r="BZ85" i="9"/>
  <c r="BZ40" i="9"/>
  <c r="AT48" i="9"/>
  <c r="AT55" i="9" s="1"/>
  <c r="CP55" i="9"/>
  <c r="CP40" i="9"/>
  <c r="CP70" i="9"/>
  <c r="BR55" i="9"/>
  <c r="AU63" i="9"/>
  <c r="AU126" i="9" s="1"/>
  <c r="AT63" i="9"/>
  <c r="AT126" i="9" s="1"/>
  <c r="BR40" i="9"/>
  <c r="AT78" i="9"/>
  <c r="AT140" i="9" s="1"/>
  <c r="BR126" i="9"/>
  <c r="BR70" i="9"/>
  <c r="DG65" i="9"/>
  <c r="DG128" i="9" s="1"/>
  <c r="CX126" i="9"/>
  <c r="CX70" i="9"/>
  <c r="CA65" i="9"/>
  <c r="CX112" i="9"/>
  <c r="CX55" i="9"/>
  <c r="CX98" i="9"/>
  <c r="CX40" i="9"/>
  <c r="CI50" i="9"/>
  <c r="CI114" i="9" s="1"/>
  <c r="CQ50" i="9"/>
  <c r="CQ114" i="9" s="1"/>
  <c r="BZ141" i="9"/>
  <c r="BZ202" i="9"/>
  <c r="DG98" i="9"/>
  <c r="BZ160" i="9"/>
  <c r="BZ99" i="9"/>
  <c r="BZ103" i="9" s="1"/>
  <c r="F20" i="20" s="1"/>
  <c r="DG140" i="9"/>
  <c r="BS34" i="9"/>
  <c r="BS79" i="9"/>
  <c r="BS64" i="9"/>
  <c r="BS49" i="9"/>
  <c r="BZ174" i="9"/>
  <c r="BZ113" i="9"/>
  <c r="AU48" i="9"/>
  <c r="AU112" i="9" s="1"/>
  <c r="W80" i="9"/>
  <c r="W142" i="9" s="1"/>
  <c r="CQ64" i="9"/>
  <c r="CQ49" i="9"/>
  <c r="CQ34" i="9"/>
  <c r="CQ79" i="9"/>
  <c r="DG112" i="9"/>
  <c r="CA64" i="9"/>
  <c r="CA49" i="9"/>
  <c r="CA34" i="9"/>
  <c r="CA79" i="9"/>
  <c r="BZ39" i="9"/>
  <c r="DG49" i="9"/>
  <c r="DG79" i="9"/>
  <c r="DG34" i="9"/>
  <c r="DG64" i="9"/>
  <c r="DG126" i="9"/>
  <c r="CP174" i="9"/>
  <c r="CP113" i="9"/>
  <c r="CP117" i="9" s="1"/>
  <c r="F41" i="20" s="1"/>
  <c r="BZ127" i="9"/>
  <c r="BZ131" i="9" s="1"/>
  <c r="F58" i="20" s="1"/>
  <c r="BZ188" i="9"/>
  <c r="BZ192" i="9" s="1"/>
  <c r="N58" i="20" s="1"/>
  <c r="DF202" i="9"/>
  <c r="DF141" i="9"/>
  <c r="CP54" i="9"/>
  <c r="DF126" i="9"/>
  <c r="DF70" i="9"/>
  <c r="DF174" i="9"/>
  <c r="DF178" i="9" s="1"/>
  <c r="N43" i="20" s="1"/>
  <c r="DF113" i="9"/>
  <c r="CP127" i="9"/>
  <c r="CP188" i="9"/>
  <c r="BS126" i="9"/>
  <c r="DF98" i="9"/>
  <c r="DF40" i="9"/>
  <c r="DF99" i="9"/>
  <c r="DF160" i="9"/>
  <c r="CP99" i="9"/>
  <c r="CP103" i="9" s="1"/>
  <c r="F22" i="20" s="1"/>
  <c r="CP160" i="9"/>
  <c r="BS140" i="9"/>
  <c r="CX202" i="9"/>
  <c r="CX206" i="9" s="1"/>
  <c r="N80" i="20" s="1"/>
  <c r="CX141" i="9"/>
  <c r="CH126" i="9"/>
  <c r="CH70" i="9"/>
  <c r="DF140" i="9"/>
  <c r="DF85" i="9"/>
  <c r="CQ140" i="9"/>
  <c r="DF127" i="9"/>
  <c r="DF188" i="9"/>
  <c r="BR99" i="9"/>
  <c r="BR103" i="9" s="1"/>
  <c r="F19" i="20" s="1"/>
  <c r="BR160" i="9"/>
  <c r="CP141" i="9"/>
  <c r="CP202" i="9"/>
  <c r="BS112" i="9"/>
  <c r="CX188" i="9"/>
  <c r="CX192" i="9" s="1"/>
  <c r="N61" i="20" s="1"/>
  <c r="CX127" i="9"/>
  <c r="CH140" i="9"/>
  <c r="CH85" i="9"/>
  <c r="DF112" i="9"/>
  <c r="DF55" i="9"/>
  <c r="CQ98" i="9"/>
  <c r="CI49" i="9"/>
  <c r="CI34" i="9"/>
  <c r="CI64" i="9"/>
  <c r="CI79" i="9"/>
  <c r="BS98" i="9"/>
  <c r="CX99" i="9"/>
  <c r="CX160" i="9"/>
  <c r="CX164" i="9" s="1"/>
  <c r="N23" i="20" s="1"/>
  <c r="CH98" i="9"/>
  <c r="CH40" i="9"/>
  <c r="CQ112" i="9"/>
  <c r="DF39" i="9"/>
  <c r="CI126" i="9"/>
  <c r="CY49" i="9"/>
  <c r="CY64" i="9"/>
  <c r="CY79" i="9"/>
  <c r="CY34" i="9"/>
  <c r="CH112" i="9"/>
  <c r="CH55" i="9"/>
  <c r="BZ54" i="9"/>
  <c r="CX84" i="9"/>
  <c r="CQ126" i="9"/>
  <c r="CI140" i="9"/>
  <c r="BR202" i="9"/>
  <c r="BR141" i="9"/>
  <c r="BR39" i="9"/>
  <c r="CH99" i="9"/>
  <c r="CH160" i="9"/>
  <c r="CH164" i="9" s="1"/>
  <c r="N21" i="20" s="1"/>
  <c r="CI98" i="9"/>
  <c r="CH127" i="9"/>
  <c r="CH188" i="9"/>
  <c r="BR188" i="9"/>
  <c r="BR192" i="9" s="1"/>
  <c r="N57" i="20" s="1"/>
  <c r="BR127" i="9"/>
  <c r="CX113" i="9"/>
  <c r="CX174" i="9"/>
  <c r="CX178" i="9" s="1"/>
  <c r="N42" i="20" s="1"/>
  <c r="CH202" i="9"/>
  <c r="CH141" i="9"/>
  <c r="DF84" i="9"/>
  <c r="CI112" i="9"/>
  <c r="BR174" i="9"/>
  <c r="BR178" i="9" s="1"/>
  <c r="N38" i="20" s="1"/>
  <c r="BR113" i="9"/>
  <c r="CX39" i="9"/>
  <c r="CH174" i="9"/>
  <c r="CH113" i="9"/>
  <c r="AE50" i="9"/>
  <c r="AD112" i="9"/>
  <c r="AD55" i="9"/>
  <c r="AD140" i="9"/>
  <c r="AD85" i="9"/>
  <c r="AD126" i="9"/>
  <c r="AD70" i="9"/>
  <c r="V112" i="9"/>
  <c r="V55" i="9"/>
  <c r="V140" i="9"/>
  <c r="V85" i="9"/>
  <c r="V98" i="9"/>
  <c r="V40" i="9"/>
  <c r="V126" i="9"/>
  <c r="V70" i="9"/>
  <c r="V188" i="9"/>
  <c r="V127" i="9"/>
  <c r="V99" i="9"/>
  <c r="V160" i="9"/>
  <c r="V164" i="9" s="1"/>
  <c r="N13" i="20" s="1"/>
  <c r="W112" i="9"/>
  <c r="V202" i="9"/>
  <c r="V141" i="9"/>
  <c r="W126" i="9"/>
  <c r="V174" i="9"/>
  <c r="V178" i="9" s="1"/>
  <c r="N32" i="20" s="1"/>
  <c r="V113" i="9"/>
  <c r="W140" i="9"/>
  <c r="W98" i="9"/>
  <c r="W34" i="9"/>
  <c r="W79" i="9"/>
  <c r="W49" i="9"/>
  <c r="W64" i="9"/>
  <c r="AU125" i="9"/>
  <c r="AU186" i="9"/>
  <c r="AU111" i="9"/>
  <c r="AU172" i="9"/>
  <c r="BK65" i="9"/>
  <c r="AU139" i="9"/>
  <c r="AU200" i="9"/>
  <c r="AU158" i="9"/>
  <c r="AU97" i="9"/>
  <c r="BC35" i="9"/>
  <c r="BC100" i="9" s="1"/>
  <c r="BB126" i="9"/>
  <c r="BB70" i="9"/>
  <c r="BB140" i="9"/>
  <c r="BB85" i="9"/>
  <c r="BB112" i="9"/>
  <c r="BB55" i="9"/>
  <c r="AT98" i="9"/>
  <c r="AT40" i="9"/>
  <c r="AT186" i="9"/>
  <c r="AT125" i="9"/>
  <c r="AT172" i="9"/>
  <c r="AT111" i="9"/>
  <c r="AU98" i="9"/>
  <c r="AT139" i="9"/>
  <c r="AT200" i="9"/>
  <c r="AT158" i="9"/>
  <c r="AT97" i="9"/>
  <c r="AT49" i="9"/>
  <c r="AT64" i="9"/>
  <c r="AT69" i="9" s="1"/>
  <c r="AT34" i="9"/>
  <c r="AT79" i="9"/>
  <c r="BJ160" i="9"/>
  <c r="BJ99" i="9"/>
  <c r="BJ69" i="9"/>
  <c r="BJ141" i="9"/>
  <c r="BJ202" i="9"/>
  <c r="BJ206" i="9" s="1"/>
  <c r="N75" i="20" s="1"/>
  <c r="BB188" i="9"/>
  <c r="BB127" i="9"/>
  <c r="BK98" i="9"/>
  <c r="BB113" i="9"/>
  <c r="BB174" i="9"/>
  <c r="BB69" i="9"/>
  <c r="BK49" i="9"/>
  <c r="BK79" i="9"/>
  <c r="BK34" i="9"/>
  <c r="BK64" i="9"/>
  <c r="BK126" i="9"/>
  <c r="BJ188" i="9"/>
  <c r="BJ127" i="9"/>
  <c r="BB202" i="9"/>
  <c r="BB141" i="9"/>
  <c r="BB84" i="9"/>
  <c r="BJ126" i="9"/>
  <c r="BJ70" i="9"/>
  <c r="BK112" i="9"/>
  <c r="BC126" i="9"/>
  <c r="BB99" i="9"/>
  <c r="BB103" i="9" s="1"/>
  <c r="F17" i="20" s="1"/>
  <c r="BB160" i="9"/>
  <c r="BB164" i="9" s="1"/>
  <c r="N17" i="20" s="1"/>
  <c r="BJ98" i="9"/>
  <c r="BJ40" i="9"/>
  <c r="BC112" i="9"/>
  <c r="BJ140" i="9"/>
  <c r="BJ85" i="9"/>
  <c r="BK140" i="9"/>
  <c r="BC140" i="9"/>
  <c r="BJ112" i="9"/>
  <c r="BJ55" i="9"/>
  <c r="BJ84" i="9"/>
  <c r="BJ174" i="9"/>
  <c r="BJ113" i="9"/>
  <c r="BC98" i="9"/>
  <c r="BC79" i="9"/>
  <c r="BC49" i="9"/>
  <c r="BC34" i="9"/>
  <c r="BC64" i="9"/>
  <c r="M186" i="9"/>
  <c r="M125" i="9"/>
  <c r="M124" i="9"/>
  <c r="M70" i="9"/>
  <c r="M110" i="9"/>
  <c r="M55" i="9"/>
  <c r="M97" i="9"/>
  <c r="M158" i="9"/>
  <c r="M138" i="9"/>
  <c r="M85" i="9"/>
  <c r="N47" i="9"/>
  <c r="N77" i="9"/>
  <c r="N32" i="9"/>
  <c r="N62" i="9"/>
  <c r="M96" i="9"/>
  <c r="M40" i="9"/>
  <c r="M200" i="9"/>
  <c r="M206" i="9" s="1"/>
  <c r="M69" i="20" s="1"/>
  <c r="M139" i="9"/>
  <c r="M69" i="9"/>
  <c r="M84" i="9"/>
  <c r="M172" i="9"/>
  <c r="M111" i="9"/>
  <c r="M39" i="9"/>
  <c r="M54" i="9"/>
  <c r="D82" i="20"/>
  <c r="E74" i="11" s="1"/>
  <c r="D44" i="20"/>
  <c r="E23" i="11" s="1"/>
  <c r="K5" i="28" s="1"/>
  <c r="L63" i="20"/>
  <c r="E58" i="11" s="1"/>
  <c r="D25" i="20"/>
  <c r="E48" i="11" s="1"/>
  <c r="O198" i="9" l="1"/>
  <c r="O170" i="9"/>
  <c r="D53" i="20"/>
  <c r="D63" i="20" s="1"/>
  <c r="E49" i="11" s="1"/>
  <c r="O95" i="9"/>
  <c r="E11" i="20"/>
  <c r="F9" i="9"/>
  <c r="E117" i="9"/>
  <c r="E30" i="20" s="1"/>
  <c r="AD84" i="9"/>
  <c r="AD202" i="9"/>
  <c r="AD206" i="9" s="1"/>
  <c r="N71" i="20" s="1"/>
  <c r="AD83" i="9"/>
  <c r="AK131" i="9"/>
  <c r="E53" i="20" s="1"/>
  <c r="AK70" i="9"/>
  <c r="AK68" i="9"/>
  <c r="AK138" i="9"/>
  <c r="AD113" i="9"/>
  <c r="AD117" i="9" s="1"/>
  <c r="F33" i="20" s="1"/>
  <c r="AD174" i="9"/>
  <c r="AD178" i="9" s="1"/>
  <c r="N33" i="20" s="1"/>
  <c r="AK83" i="9"/>
  <c r="AD53" i="9"/>
  <c r="AD188" i="9"/>
  <c r="AD192" i="9" s="1"/>
  <c r="N52" i="20" s="1"/>
  <c r="AD127" i="9"/>
  <c r="AD131" i="9" s="1"/>
  <c r="F52" i="20" s="1"/>
  <c r="AD68" i="9"/>
  <c r="AD39" i="9"/>
  <c r="AD38" i="9"/>
  <c r="AD99" i="9"/>
  <c r="AD103" i="9" s="1"/>
  <c r="F14" i="20" s="1"/>
  <c r="AE64" i="9"/>
  <c r="AE188" i="9" s="1"/>
  <c r="AE49" i="9"/>
  <c r="AE174" i="9" s="1"/>
  <c r="AL62" i="9"/>
  <c r="AL125" i="9" s="1"/>
  <c r="AE79" i="9"/>
  <c r="AE202" i="9" s="1"/>
  <c r="AM48" i="9"/>
  <c r="AM112" i="9" s="1"/>
  <c r="AE34" i="9"/>
  <c r="AE160" i="9" s="1"/>
  <c r="G63" i="9"/>
  <c r="G126" i="9" s="1"/>
  <c r="G78" i="9"/>
  <c r="G140" i="9" s="1"/>
  <c r="AL64" i="9"/>
  <c r="AL77" i="9"/>
  <c r="AL139" i="9" s="1"/>
  <c r="AL47" i="9"/>
  <c r="AL111" i="9" s="1"/>
  <c r="G33" i="9"/>
  <c r="G98" i="9" s="1"/>
  <c r="AK55" i="9"/>
  <c r="AK53" i="9"/>
  <c r="F64" i="9"/>
  <c r="F188" i="9" s="1"/>
  <c r="F111" i="9"/>
  <c r="F34" i="9"/>
  <c r="F39" i="9" s="1"/>
  <c r="F79" i="9"/>
  <c r="F84" i="9" s="1"/>
  <c r="F49" i="9"/>
  <c r="F113" i="9" s="1"/>
  <c r="F186" i="9"/>
  <c r="E20" i="9"/>
  <c r="F78" i="9"/>
  <c r="F33" i="9"/>
  <c r="F48" i="9"/>
  <c r="F63" i="9"/>
  <c r="F158" i="9"/>
  <c r="F139" i="9"/>
  <c r="F200" i="9"/>
  <c r="AM77" i="9"/>
  <c r="AM32" i="9"/>
  <c r="AM62" i="9"/>
  <c r="AM47" i="9"/>
  <c r="AK97" i="9"/>
  <c r="AK103" i="9" s="1"/>
  <c r="E15" i="20" s="1"/>
  <c r="AK158" i="9"/>
  <c r="AK164" i="9" s="1"/>
  <c r="M15" i="20" s="1"/>
  <c r="AK111" i="9"/>
  <c r="AK117" i="9" s="1"/>
  <c r="E34" i="20" s="1"/>
  <c r="AK172" i="9"/>
  <c r="AK178" i="9" s="1"/>
  <c r="M34" i="20" s="1"/>
  <c r="AK39" i="9"/>
  <c r="AK200" i="9"/>
  <c r="AK206" i="9" s="1"/>
  <c r="M72" i="20" s="1"/>
  <c r="AK139" i="9"/>
  <c r="AK84" i="9"/>
  <c r="AK54" i="9"/>
  <c r="AL97" i="9"/>
  <c r="G125" i="9"/>
  <c r="G172" i="9"/>
  <c r="G111" i="9"/>
  <c r="G200" i="9"/>
  <c r="G139" i="9"/>
  <c r="G158" i="9"/>
  <c r="G97" i="9"/>
  <c r="O77" i="9"/>
  <c r="O200" i="9" s="1"/>
  <c r="O32" i="9"/>
  <c r="O97" i="9" s="1"/>
  <c r="O47" i="9"/>
  <c r="O111" i="9" s="1"/>
  <c r="O62" i="9"/>
  <c r="O125" i="9" s="1"/>
  <c r="O48" i="9"/>
  <c r="O112" i="9" s="1"/>
  <c r="E82" i="11"/>
  <c r="E84" i="11" s="1"/>
  <c r="E31" i="11"/>
  <c r="CX103" i="9"/>
  <c r="F23" i="20" s="1"/>
  <c r="V145" i="9"/>
  <c r="F70" i="20" s="1"/>
  <c r="BR131" i="9"/>
  <c r="F57" i="20" s="1"/>
  <c r="AT53" i="9"/>
  <c r="CX131" i="9"/>
  <c r="F61" i="20" s="1"/>
  <c r="CH117" i="9"/>
  <c r="F40" i="20" s="1"/>
  <c r="BJ117" i="9"/>
  <c r="F37" i="20" s="1"/>
  <c r="BJ145" i="9"/>
  <c r="F75" i="20" s="1"/>
  <c r="DF117" i="9"/>
  <c r="F43" i="20" s="1"/>
  <c r="DF145" i="9"/>
  <c r="F81" i="20" s="1"/>
  <c r="DF131" i="9"/>
  <c r="F62" i="20" s="1"/>
  <c r="CH103" i="9"/>
  <c r="F21" i="20" s="1"/>
  <c r="M117" i="9"/>
  <c r="E31" i="20" s="1"/>
  <c r="BJ131" i="9"/>
  <c r="F56" i="20" s="1"/>
  <c r="CH131" i="9"/>
  <c r="F59" i="20" s="1"/>
  <c r="BJ103" i="9"/>
  <c r="F18" i="20" s="1"/>
  <c r="BB117" i="9"/>
  <c r="F36" i="20" s="1"/>
  <c r="AD145" i="9"/>
  <c r="F71" i="20" s="1"/>
  <c r="BB145" i="9"/>
  <c r="F74" i="20" s="1"/>
  <c r="V103" i="9"/>
  <c r="F13" i="20" s="1"/>
  <c r="CX117" i="9"/>
  <c r="F42" i="20" s="1"/>
  <c r="DF103" i="9"/>
  <c r="F24" i="20" s="1"/>
  <c r="BB131" i="9"/>
  <c r="F55" i="20" s="1"/>
  <c r="V131" i="9"/>
  <c r="F51" i="20" s="1"/>
  <c r="M103" i="9"/>
  <c r="E12" i="20" s="1"/>
  <c r="M131" i="9"/>
  <c r="E50" i="20" s="1"/>
  <c r="AT83" i="9"/>
  <c r="V117" i="9"/>
  <c r="F32" i="20" s="1"/>
  <c r="CH145" i="9"/>
  <c r="F78" i="20" s="1"/>
  <c r="BZ164" i="9"/>
  <c r="N20" i="20" s="1"/>
  <c r="M145" i="9"/>
  <c r="E69" i="20" s="1"/>
  <c r="AD164" i="9"/>
  <c r="N14" i="20" s="1"/>
  <c r="BJ192" i="9"/>
  <c r="N56" i="20" s="1"/>
  <c r="CX145" i="9"/>
  <c r="F80" i="20" s="1"/>
  <c r="CP192" i="9"/>
  <c r="N60" i="20" s="1"/>
  <c r="CH192" i="9"/>
  <c r="N59" i="20" s="1"/>
  <c r="CP178" i="9"/>
  <c r="N41" i="20" s="1"/>
  <c r="AT39" i="9"/>
  <c r="AT38" i="9"/>
  <c r="V206" i="9"/>
  <c r="N70" i="20" s="1"/>
  <c r="CH178" i="9"/>
  <c r="N40" i="20" s="1"/>
  <c r="BR206" i="9"/>
  <c r="N76" i="20" s="1"/>
  <c r="BB192" i="9"/>
  <c r="N55" i="20" s="1"/>
  <c r="BR145" i="9"/>
  <c r="F76" i="20" s="1"/>
  <c r="V192" i="9"/>
  <c r="N51" i="20" s="1"/>
  <c r="BR164" i="9"/>
  <c r="N19" i="20" s="1"/>
  <c r="BZ206" i="9"/>
  <c r="N77" i="20" s="1"/>
  <c r="M192" i="9"/>
  <c r="CP206" i="9"/>
  <c r="N79" i="20" s="1"/>
  <c r="CH206" i="9"/>
  <c r="N78" i="20" s="1"/>
  <c r="DF164" i="9"/>
  <c r="N24" i="20" s="1"/>
  <c r="BJ164" i="9"/>
  <c r="N18" i="20" s="1"/>
  <c r="CP131" i="9"/>
  <c r="F60" i="20" s="1"/>
  <c r="BZ145" i="9"/>
  <c r="F77" i="20" s="1"/>
  <c r="DF206" i="9"/>
  <c r="N81" i="20" s="1"/>
  <c r="BB178" i="9"/>
  <c r="N36" i="20" s="1"/>
  <c r="M178" i="9"/>
  <c r="M31" i="20" s="1"/>
  <c r="CP164" i="9"/>
  <c r="N22" i="20" s="1"/>
  <c r="BR117" i="9"/>
  <c r="F38" i="20" s="1"/>
  <c r="BJ178" i="9"/>
  <c r="N37" i="20" s="1"/>
  <c r="BZ117" i="9"/>
  <c r="F39" i="20" s="1"/>
  <c r="CP145" i="9"/>
  <c r="F79" i="20" s="1"/>
  <c r="BZ178" i="9"/>
  <c r="N39" i="20" s="1"/>
  <c r="AT68" i="9"/>
  <c r="DF192" i="9"/>
  <c r="N62" i="20" s="1"/>
  <c r="M164" i="9"/>
  <c r="M12" i="20" s="1"/>
  <c r="BB206" i="9"/>
  <c r="N74" i="20" s="1"/>
  <c r="E22" i="11"/>
  <c r="D5" i="28" s="1"/>
  <c r="E73" i="11"/>
  <c r="AT112" i="9"/>
  <c r="CA35" i="9"/>
  <c r="CA100" i="9" s="1"/>
  <c r="AT85" i="9"/>
  <c r="AT70" i="9"/>
  <c r="DG35" i="9"/>
  <c r="DG100" i="9" s="1"/>
  <c r="DG50" i="9"/>
  <c r="DG114" i="9" s="1"/>
  <c r="CI35" i="9"/>
  <c r="CI100" i="9" s="1"/>
  <c r="DG80" i="9"/>
  <c r="DG142" i="9" s="1"/>
  <c r="CQ80" i="9"/>
  <c r="CQ142" i="9" s="1"/>
  <c r="CA80" i="9"/>
  <c r="CA142" i="9" s="1"/>
  <c r="CA50" i="9"/>
  <c r="CA114" i="9" s="1"/>
  <c r="CQ65" i="9"/>
  <c r="AE65" i="9"/>
  <c r="AE128" i="9" s="1"/>
  <c r="CQ35" i="9"/>
  <c r="BC50" i="9"/>
  <c r="BC114" i="9" s="1"/>
  <c r="CI65" i="9"/>
  <c r="CI128" i="9" s="1"/>
  <c r="CI80" i="9"/>
  <c r="CI142" i="9" s="1"/>
  <c r="W65" i="9"/>
  <c r="W128" i="9" s="1"/>
  <c r="W35" i="9"/>
  <c r="W100" i="9" s="1"/>
  <c r="BC80" i="9"/>
  <c r="BC142" i="9" s="1"/>
  <c r="BC65" i="9"/>
  <c r="BC128" i="9" s="1"/>
  <c r="W50" i="9"/>
  <c r="W114" i="9" s="1"/>
  <c r="CQ55" i="9"/>
  <c r="DG70" i="9"/>
  <c r="CI55" i="9"/>
  <c r="CY99" i="9"/>
  <c r="CY160" i="9"/>
  <c r="AU50" i="9"/>
  <c r="CI99" i="9"/>
  <c r="CI160" i="9"/>
  <c r="BS188" i="9"/>
  <c r="BS127" i="9"/>
  <c r="CI81" i="9"/>
  <c r="CI51" i="9"/>
  <c r="CI53" i="9" s="1"/>
  <c r="CI36" i="9"/>
  <c r="CI66" i="9"/>
  <c r="CY174" i="9"/>
  <c r="CY113" i="9"/>
  <c r="DG99" i="9"/>
  <c r="DG160" i="9"/>
  <c r="CQ99" i="9"/>
  <c r="CQ160" i="9"/>
  <c r="CY188" i="9"/>
  <c r="CY127" i="9"/>
  <c r="CY66" i="9"/>
  <c r="CY36" i="9"/>
  <c r="CY81" i="9"/>
  <c r="CY51" i="9"/>
  <c r="DG141" i="9"/>
  <c r="DG202" i="9"/>
  <c r="CQ113" i="9"/>
  <c r="CQ174" i="9"/>
  <c r="CY50" i="9"/>
  <c r="CY65" i="9"/>
  <c r="CY80" i="9"/>
  <c r="CY35" i="9"/>
  <c r="BS50" i="9"/>
  <c r="BS35" i="9"/>
  <c r="BS80" i="9"/>
  <c r="BS65" i="9"/>
  <c r="DG113" i="9"/>
  <c r="DG174" i="9"/>
  <c r="CQ127" i="9"/>
  <c r="CQ188" i="9"/>
  <c r="DG81" i="9"/>
  <c r="DG36" i="9"/>
  <c r="DG51" i="9"/>
  <c r="DG66" i="9"/>
  <c r="DG68" i="9" s="1"/>
  <c r="CQ36" i="9"/>
  <c r="CQ81" i="9"/>
  <c r="CQ51" i="9"/>
  <c r="CQ66" i="9"/>
  <c r="BS160" i="9"/>
  <c r="BS99" i="9"/>
  <c r="CA202" i="9"/>
  <c r="CA141" i="9"/>
  <c r="DG188" i="9"/>
  <c r="DG127" i="9"/>
  <c r="AE35" i="9"/>
  <c r="AE100" i="9" s="1"/>
  <c r="CA160" i="9"/>
  <c r="CA99" i="9"/>
  <c r="CA128" i="9"/>
  <c r="CA70" i="9"/>
  <c r="AE80" i="9"/>
  <c r="AE142" i="9" s="1"/>
  <c r="CA174" i="9"/>
  <c r="CA113" i="9"/>
  <c r="CY202" i="9"/>
  <c r="CY141" i="9"/>
  <c r="CA127" i="9"/>
  <c r="CA188" i="9"/>
  <c r="CI113" i="9"/>
  <c r="CI174" i="9"/>
  <c r="BS202" i="9"/>
  <c r="BS141" i="9"/>
  <c r="BS66" i="9"/>
  <c r="BS51" i="9"/>
  <c r="BS36" i="9"/>
  <c r="BS81" i="9"/>
  <c r="CI202" i="9"/>
  <c r="CI141" i="9"/>
  <c r="CA81" i="9"/>
  <c r="CA51" i="9"/>
  <c r="CA66" i="9"/>
  <c r="CA68" i="9" s="1"/>
  <c r="CA36" i="9"/>
  <c r="CQ202" i="9"/>
  <c r="CQ141" i="9"/>
  <c r="CI188" i="9"/>
  <c r="CI127" i="9"/>
  <c r="BS113" i="9"/>
  <c r="BS174" i="9"/>
  <c r="BK80" i="9"/>
  <c r="BK142" i="9" s="1"/>
  <c r="BK35" i="9"/>
  <c r="BK100" i="9" s="1"/>
  <c r="BK50" i="9"/>
  <c r="BK114" i="9" s="1"/>
  <c r="BC40" i="9"/>
  <c r="W99" i="9"/>
  <c r="W160" i="9"/>
  <c r="AE51" i="9"/>
  <c r="AE81" i="9"/>
  <c r="AE36" i="9"/>
  <c r="AE66" i="9"/>
  <c r="W51" i="9"/>
  <c r="W66" i="9"/>
  <c r="W81" i="9"/>
  <c r="W36" i="9"/>
  <c r="W188" i="9"/>
  <c r="W127" i="9"/>
  <c r="W85" i="9"/>
  <c r="AE114" i="9"/>
  <c r="AE55" i="9"/>
  <c r="W202" i="9"/>
  <c r="W141" i="9"/>
  <c r="W174" i="9"/>
  <c r="W113" i="9"/>
  <c r="BK128" i="9"/>
  <c r="BK70" i="9"/>
  <c r="AT202" i="9"/>
  <c r="AT206" i="9" s="1"/>
  <c r="N73" i="20" s="1"/>
  <c r="AT141" i="9"/>
  <c r="AT84" i="9"/>
  <c r="AT174" i="9"/>
  <c r="AT178" i="9" s="1"/>
  <c r="N35" i="20" s="1"/>
  <c r="AT113" i="9"/>
  <c r="AU34" i="9"/>
  <c r="AU64" i="9"/>
  <c r="AU79" i="9"/>
  <c r="AU49" i="9"/>
  <c r="AT127" i="9"/>
  <c r="AT131" i="9" s="1"/>
  <c r="F54" i="20" s="1"/>
  <c r="AT188" i="9"/>
  <c r="AT54" i="9"/>
  <c r="AT160" i="9"/>
  <c r="AT99" i="9"/>
  <c r="AT103" i="9" s="1"/>
  <c r="F16" i="20" s="1"/>
  <c r="BK99" i="9"/>
  <c r="BK160" i="9"/>
  <c r="BK127" i="9"/>
  <c r="BK188" i="9"/>
  <c r="BK202" i="9"/>
  <c r="BK141" i="9"/>
  <c r="BK113" i="9"/>
  <c r="BK174" i="9"/>
  <c r="BK66" i="9"/>
  <c r="BK51" i="9"/>
  <c r="BK36" i="9"/>
  <c r="BK81" i="9"/>
  <c r="BC99" i="9"/>
  <c r="BC160" i="9"/>
  <c r="BC113" i="9"/>
  <c r="BC174" i="9"/>
  <c r="BC188" i="9"/>
  <c r="BC127" i="9"/>
  <c r="BC202" i="9"/>
  <c r="BC141" i="9"/>
  <c r="BC36" i="9"/>
  <c r="BC51" i="9"/>
  <c r="BC81" i="9"/>
  <c r="BC66" i="9"/>
  <c r="N125" i="9"/>
  <c r="N186" i="9"/>
  <c r="N49" i="9"/>
  <c r="N64" i="9"/>
  <c r="N79" i="9"/>
  <c r="N34" i="9"/>
  <c r="N63" i="9"/>
  <c r="N33" i="9"/>
  <c r="N48" i="9"/>
  <c r="N78" i="9"/>
  <c r="N158" i="9"/>
  <c r="N97" i="9"/>
  <c r="N200" i="9"/>
  <c r="N139" i="9"/>
  <c r="N172" i="9"/>
  <c r="N111" i="9"/>
  <c r="O33" i="9"/>
  <c r="O98" i="9" s="1"/>
  <c r="O63" i="9"/>
  <c r="O126" i="9" s="1"/>
  <c r="M50" i="20" l="1"/>
  <c r="M63" i="20" s="1"/>
  <c r="F58" i="11" s="1"/>
  <c r="E33" i="11"/>
  <c r="AG5" i="28"/>
  <c r="F8" i="9"/>
  <c r="AE113" i="9"/>
  <c r="AE141" i="9"/>
  <c r="AE127" i="9"/>
  <c r="E63" i="20"/>
  <c r="F49" i="11" s="1"/>
  <c r="AK145" i="9"/>
  <c r="AE99" i="9"/>
  <c r="AE53" i="9"/>
  <c r="O186" i="9"/>
  <c r="AL186" i="9"/>
  <c r="F69" i="9"/>
  <c r="AM63" i="9"/>
  <c r="AM126" i="9" s="1"/>
  <c r="AM33" i="9"/>
  <c r="AM98" i="9" s="1"/>
  <c r="AM78" i="9"/>
  <c r="AM140" i="9" s="1"/>
  <c r="F127" i="9"/>
  <c r="O139" i="9"/>
  <c r="AL49" i="9"/>
  <c r="AL34" i="9"/>
  <c r="AL69" i="9"/>
  <c r="AL127" i="9"/>
  <c r="AL188" i="9"/>
  <c r="AL172" i="9"/>
  <c r="AL200" i="9"/>
  <c r="AL79" i="9"/>
  <c r="F192" i="9"/>
  <c r="N49" i="20" s="1"/>
  <c r="F38" i="9"/>
  <c r="F141" i="9"/>
  <c r="F202" i="9"/>
  <c r="F206" i="9" s="1"/>
  <c r="N68" i="20" s="1"/>
  <c r="F54" i="9"/>
  <c r="F160" i="9"/>
  <c r="F164" i="9" s="1"/>
  <c r="N11" i="20" s="1"/>
  <c r="F99" i="9"/>
  <c r="F174" i="9"/>
  <c r="F178" i="9" s="1"/>
  <c r="N30" i="20" s="1"/>
  <c r="F112" i="9"/>
  <c r="F117" i="9" s="1"/>
  <c r="F30" i="20" s="1"/>
  <c r="F55" i="9"/>
  <c r="F53" i="9"/>
  <c r="F98" i="9"/>
  <c r="F40" i="9"/>
  <c r="F140" i="9"/>
  <c r="F85" i="9"/>
  <c r="F68" i="9"/>
  <c r="F70" i="9"/>
  <c r="F126" i="9"/>
  <c r="F83" i="9"/>
  <c r="M82" i="20"/>
  <c r="F83" i="11" s="1"/>
  <c r="AL33" i="9"/>
  <c r="AL78" i="9"/>
  <c r="AL63" i="9"/>
  <c r="AL48" i="9"/>
  <c r="M44" i="20"/>
  <c r="F32" i="11" s="1"/>
  <c r="AO5" i="28" s="1"/>
  <c r="AM172" i="9"/>
  <c r="AM111" i="9"/>
  <c r="AM125" i="9"/>
  <c r="AM186" i="9"/>
  <c r="M25" i="20"/>
  <c r="F57" i="11" s="1"/>
  <c r="E25" i="20"/>
  <c r="F48" i="11" s="1"/>
  <c r="AM158" i="9"/>
  <c r="AM97" i="9"/>
  <c r="E44" i="20"/>
  <c r="F23" i="11" s="1"/>
  <c r="L5" i="28" s="1"/>
  <c r="AM200" i="9"/>
  <c r="AM139" i="9"/>
  <c r="O172" i="9"/>
  <c r="O158" i="9"/>
  <c r="O78" i="9"/>
  <c r="O140" i="9" s="1"/>
  <c r="CI38" i="9"/>
  <c r="AE38" i="9"/>
  <c r="BK38" i="9"/>
  <c r="CA83" i="9"/>
  <c r="BC83" i="9"/>
  <c r="AE68" i="9"/>
  <c r="CY53" i="9"/>
  <c r="AT117" i="9"/>
  <c r="F35" i="20" s="1"/>
  <c r="AE83" i="9"/>
  <c r="BS53" i="9"/>
  <c r="CQ68" i="9"/>
  <c r="N68" i="9"/>
  <c r="BC68" i="9"/>
  <c r="BK53" i="9"/>
  <c r="N84" i="9"/>
  <c r="N83" i="9"/>
  <c r="BK69" i="9"/>
  <c r="BK68" i="9"/>
  <c r="CQ39" i="9"/>
  <c r="CQ38" i="9"/>
  <c r="CI69" i="9"/>
  <c r="CI68" i="9"/>
  <c r="N54" i="9"/>
  <c r="N53" i="9"/>
  <c r="W69" i="9"/>
  <c r="W68" i="9"/>
  <c r="W53" i="9"/>
  <c r="BS84" i="9"/>
  <c r="BS83" i="9"/>
  <c r="DG54" i="9"/>
  <c r="DG53" i="9"/>
  <c r="BC54" i="9"/>
  <c r="BC53" i="9"/>
  <c r="CA39" i="9"/>
  <c r="CA38" i="9"/>
  <c r="BS39" i="9"/>
  <c r="BS38" i="9"/>
  <c r="DG39" i="9"/>
  <c r="DG38" i="9"/>
  <c r="CY84" i="9"/>
  <c r="CY83" i="9"/>
  <c r="CI83" i="9"/>
  <c r="BC39" i="9"/>
  <c r="BC38" i="9"/>
  <c r="AT145" i="9"/>
  <c r="F73" i="20" s="1"/>
  <c r="DG84" i="9"/>
  <c r="DG83" i="9"/>
  <c r="CY39" i="9"/>
  <c r="CY38" i="9"/>
  <c r="N38" i="9"/>
  <c r="BK84" i="9"/>
  <c r="BK83" i="9"/>
  <c r="CA53" i="9"/>
  <c r="BS68" i="9"/>
  <c r="CY68" i="9"/>
  <c r="AT164" i="9"/>
  <c r="N16" i="20" s="1"/>
  <c r="W39" i="9"/>
  <c r="W38" i="9"/>
  <c r="CQ54" i="9"/>
  <c r="CQ53" i="9"/>
  <c r="W84" i="9"/>
  <c r="W83" i="9"/>
  <c r="CQ84" i="9"/>
  <c r="CQ83" i="9"/>
  <c r="AT192" i="9"/>
  <c r="N54" i="20" s="1"/>
  <c r="E75" i="11"/>
  <c r="E59" i="11"/>
  <c r="CA40" i="9"/>
  <c r="AU80" i="9"/>
  <c r="AU85" i="9" s="1"/>
  <c r="BC55" i="9"/>
  <c r="DG55" i="9"/>
  <c r="CA85" i="9"/>
  <c r="CI40" i="9"/>
  <c r="CQ85" i="9"/>
  <c r="W40" i="9"/>
  <c r="DG85" i="9"/>
  <c r="DG40" i="9"/>
  <c r="AU65" i="9"/>
  <c r="AU70" i="9" s="1"/>
  <c r="CI85" i="9"/>
  <c r="W70" i="9"/>
  <c r="AE70" i="9"/>
  <c r="BK85" i="9"/>
  <c r="CA55" i="9"/>
  <c r="AE85" i="9"/>
  <c r="AU35" i="9"/>
  <c r="AU100" i="9" s="1"/>
  <c r="CQ100" i="9"/>
  <c r="CQ40" i="9"/>
  <c r="CI70" i="9"/>
  <c r="CQ128" i="9"/>
  <c r="CQ70" i="9"/>
  <c r="BC85" i="9"/>
  <c r="BC70" i="9"/>
  <c r="W55" i="9"/>
  <c r="CA84" i="9"/>
  <c r="AE40" i="9"/>
  <c r="BS176" i="9"/>
  <c r="BS115" i="9"/>
  <c r="CQ190" i="9"/>
  <c r="CQ129" i="9"/>
  <c r="CI176" i="9"/>
  <c r="CI115" i="9"/>
  <c r="CI101" i="9"/>
  <c r="CI162" i="9"/>
  <c r="BS190" i="9"/>
  <c r="BS129" i="9"/>
  <c r="CQ176" i="9"/>
  <c r="CQ115" i="9"/>
  <c r="CI204" i="9"/>
  <c r="CI143" i="9"/>
  <c r="CQ143" i="9"/>
  <c r="CQ204" i="9"/>
  <c r="BS128" i="9"/>
  <c r="BS70" i="9"/>
  <c r="CQ101" i="9"/>
  <c r="CQ162" i="9"/>
  <c r="BS142" i="9"/>
  <c r="BS85" i="9"/>
  <c r="BS69" i="9"/>
  <c r="CI190" i="9"/>
  <c r="CI129" i="9"/>
  <c r="BS162" i="9"/>
  <c r="BS101" i="9"/>
  <c r="DG190" i="9"/>
  <c r="DG129" i="9"/>
  <c r="BS100" i="9"/>
  <c r="BS40" i="9"/>
  <c r="CY176" i="9"/>
  <c r="CY115" i="9"/>
  <c r="BS143" i="9"/>
  <c r="BS204" i="9"/>
  <c r="CA101" i="9"/>
  <c r="CA162" i="9"/>
  <c r="DG115" i="9"/>
  <c r="DG176" i="9"/>
  <c r="BS114" i="9"/>
  <c r="BS55" i="9"/>
  <c r="CY143" i="9"/>
  <c r="CY204" i="9"/>
  <c r="CY206" i="9" s="1"/>
  <c r="O80" i="20" s="1"/>
  <c r="BS54" i="9"/>
  <c r="CA190" i="9"/>
  <c r="CA129" i="9"/>
  <c r="CI54" i="9"/>
  <c r="DG69" i="9"/>
  <c r="DG101" i="9"/>
  <c r="DG162" i="9"/>
  <c r="CY100" i="9"/>
  <c r="CY40" i="9"/>
  <c r="CY162" i="9"/>
  <c r="CY101" i="9"/>
  <c r="CY54" i="9"/>
  <c r="CA176" i="9"/>
  <c r="CA115" i="9"/>
  <c r="CA54" i="9"/>
  <c r="DG143" i="9"/>
  <c r="DG204" i="9"/>
  <c r="CY142" i="9"/>
  <c r="CY85" i="9"/>
  <c r="CY129" i="9"/>
  <c r="CY190" i="9"/>
  <c r="BK40" i="9"/>
  <c r="CA143" i="9"/>
  <c r="CA204" i="9"/>
  <c r="CY128" i="9"/>
  <c r="CY70" i="9"/>
  <c r="BK55" i="9"/>
  <c r="CY114" i="9"/>
  <c r="CY55" i="9"/>
  <c r="CY69" i="9"/>
  <c r="CI39" i="9"/>
  <c r="CI84" i="9"/>
  <c r="CA69" i="9"/>
  <c r="CQ69" i="9"/>
  <c r="AE54" i="9"/>
  <c r="BK39" i="9"/>
  <c r="W115" i="9"/>
  <c r="W176" i="9"/>
  <c r="AE190" i="9"/>
  <c r="AE129" i="9"/>
  <c r="AE101" i="9"/>
  <c r="AE162" i="9"/>
  <c r="AE204" i="9"/>
  <c r="AE143" i="9"/>
  <c r="AE115" i="9"/>
  <c r="AE176" i="9"/>
  <c r="AE39" i="9"/>
  <c r="AE69" i="9"/>
  <c r="W101" i="9"/>
  <c r="W162" i="9"/>
  <c r="W54" i="9"/>
  <c r="W143" i="9"/>
  <c r="W204" i="9"/>
  <c r="AE84" i="9"/>
  <c r="W129" i="9"/>
  <c r="W190" i="9"/>
  <c r="AU114" i="9"/>
  <c r="AU55" i="9"/>
  <c r="AU113" i="9"/>
  <c r="AU174" i="9"/>
  <c r="AU202" i="9"/>
  <c r="AU141" i="9"/>
  <c r="AU127" i="9"/>
  <c r="AU188" i="9"/>
  <c r="AU160" i="9"/>
  <c r="AU99" i="9"/>
  <c r="AU81" i="9"/>
  <c r="AU66" i="9"/>
  <c r="AU36" i="9"/>
  <c r="AU51" i="9"/>
  <c r="AU53" i="9" s="1"/>
  <c r="BC190" i="9"/>
  <c r="BC129" i="9"/>
  <c r="BC143" i="9"/>
  <c r="BC204" i="9"/>
  <c r="BC101" i="9"/>
  <c r="BC162" i="9"/>
  <c r="BK143" i="9"/>
  <c r="BK204" i="9"/>
  <c r="BC84" i="9"/>
  <c r="BK101" i="9"/>
  <c r="BK162" i="9"/>
  <c r="BK176" i="9"/>
  <c r="BK115" i="9"/>
  <c r="BK190" i="9"/>
  <c r="BK129" i="9"/>
  <c r="BC69" i="9"/>
  <c r="BK54" i="9"/>
  <c r="BC115" i="9"/>
  <c r="BC176" i="9"/>
  <c r="N140" i="9"/>
  <c r="N85" i="9"/>
  <c r="N126" i="9"/>
  <c r="N70" i="9"/>
  <c r="N98" i="9"/>
  <c r="N40" i="9"/>
  <c r="O34" i="9"/>
  <c r="O79" i="9"/>
  <c r="O49" i="9"/>
  <c r="O64" i="9"/>
  <c r="N99" i="9"/>
  <c r="N160" i="9"/>
  <c r="N39" i="9"/>
  <c r="N141" i="9"/>
  <c r="N202" i="9"/>
  <c r="N55" i="9"/>
  <c r="N112" i="9"/>
  <c r="N127" i="9"/>
  <c r="N188" i="9"/>
  <c r="N192" i="9" s="1"/>
  <c r="N50" i="20" s="1"/>
  <c r="N174" i="9"/>
  <c r="N113" i="9"/>
  <c r="N69" i="9"/>
  <c r="E24" i="11"/>
  <c r="E50" i="11"/>
  <c r="F59" i="11" l="1"/>
  <c r="E72" i="20"/>
  <c r="E82" i="20" s="1"/>
  <c r="F74" i="11" s="1"/>
  <c r="AU5" i="28"/>
  <c r="R5" i="28"/>
  <c r="G49" i="9"/>
  <c r="G113" i="9" s="1"/>
  <c r="F10" i="9"/>
  <c r="G35" i="9" s="1"/>
  <c r="G100" i="9" s="1"/>
  <c r="G34" i="9"/>
  <c r="G160" i="9" s="1"/>
  <c r="G79" i="9"/>
  <c r="G202" i="9" s="1"/>
  <c r="G64" i="9"/>
  <c r="G188" i="9" s="1"/>
  <c r="AM50" i="9"/>
  <c r="AM55" i="9" s="1"/>
  <c r="F50" i="11"/>
  <c r="AL192" i="9"/>
  <c r="N53" i="20" s="1"/>
  <c r="F131" i="9"/>
  <c r="F49" i="20" s="1"/>
  <c r="AL99" i="9"/>
  <c r="AL39" i="9"/>
  <c r="AL160" i="9"/>
  <c r="AL164" i="9" s="1"/>
  <c r="N15" i="20" s="1"/>
  <c r="AL54" i="9"/>
  <c r="AL174" i="9"/>
  <c r="AL178" i="9" s="1"/>
  <c r="N34" i="20" s="1"/>
  <c r="AL113" i="9"/>
  <c r="AM49" i="9"/>
  <c r="AM64" i="9"/>
  <c r="AM34" i="9"/>
  <c r="AM79" i="9"/>
  <c r="AL84" i="9"/>
  <c r="AL202" i="9"/>
  <c r="AL206" i="9" s="1"/>
  <c r="N72" i="20" s="1"/>
  <c r="AL141" i="9"/>
  <c r="F145" i="9"/>
  <c r="F68" i="20" s="1"/>
  <c r="F103" i="9"/>
  <c r="F22" i="11"/>
  <c r="F73" i="11"/>
  <c r="AL112" i="9"/>
  <c r="AL55" i="9"/>
  <c r="AL53" i="9"/>
  <c r="AL126" i="9"/>
  <c r="AL131" i="9" s="1"/>
  <c r="F53" i="20" s="1"/>
  <c r="AL68" i="9"/>
  <c r="AL70" i="9"/>
  <c r="F82" i="11"/>
  <c r="F84" i="11" s="1"/>
  <c r="AL140" i="9"/>
  <c r="AL83" i="9"/>
  <c r="AL85" i="9"/>
  <c r="F31" i="11"/>
  <c r="AL98" i="9"/>
  <c r="AL40" i="9"/>
  <c r="AL38" i="9"/>
  <c r="N103" i="9"/>
  <c r="F12" i="20" s="1"/>
  <c r="AU68" i="9"/>
  <c r="AU38" i="9"/>
  <c r="CY103" i="9"/>
  <c r="G23" i="20" s="1"/>
  <c r="N131" i="9"/>
  <c r="F50" i="20" s="1"/>
  <c r="BS117" i="9"/>
  <c r="G38" i="20" s="1"/>
  <c r="CQ131" i="9"/>
  <c r="G60" i="20" s="1"/>
  <c r="N206" i="9"/>
  <c r="N69" i="20" s="1"/>
  <c r="W206" i="9"/>
  <c r="O70" i="20" s="1"/>
  <c r="CQ117" i="9"/>
  <c r="G41" i="20" s="1"/>
  <c r="BC192" i="9"/>
  <c r="O55" i="20" s="1"/>
  <c r="W131" i="9"/>
  <c r="G51" i="20" s="1"/>
  <c r="AE192" i="9"/>
  <c r="O52" i="20" s="1"/>
  <c r="DG206" i="9"/>
  <c r="O81" i="20" s="1"/>
  <c r="CA131" i="9"/>
  <c r="G58" i="20" s="1"/>
  <c r="DG117" i="9"/>
  <c r="G43" i="20" s="1"/>
  <c r="CI145" i="9"/>
  <c r="G78" i="20" s="1"/>
  <c r="BK206" i="9"/>
  <c r="O75" i="20" s="1"/>
  <c r="AE178" i="9"/>
  <c r="O33" i="20" s="1"/>
  <c r="W178" i="9"/>
  <c r="O32" i="20" s="1"/>
  <c r="CA206" i="9"/>
  <c r="O77" i="20" s="1"/>
  <c r="DG145" i="9"/>
  <c r="G81" i="20" s="1"/>
  <c r="CY164" i="9"/>
  <c r="O23" i="20" s="1"/>
  <c r="CA192" i="9"/>
  <c r="O58" i="20" s="1"/>
  <c r="CA164" i="9"/>
  <c r="O20" i="20" s="1"/>
  <c r="DG131" i="9"/>
  <c r="G62" i="20" s="1"/>
  <c r="CI206" i="9"/>
  <c r="O78" i="20" s="1"/>
  <c r="CI178" i="9"/>
  <c r="O40" i="20" s="1"/>
  <c r="AE117" i="9"/>
  <c r="G33" i="20" s="1"/>
  <c r="AE145" i="9"/>
  <c r="G71" i="20" s="1"/>
  <c r="BS206" i="9"/>
  <c r="O76" i="20" s="1"/>
  <c r="CQ103" i="9"/>
  <c r="G22" i="20" s="1"/>
  <c r="CQ178" i="9"/>
  <c r="O41" i="20" s="1"/>
  <c r="N145" i="9"/>
  <c r="F69" i="20" s="1"/>
  <c r="BK117" i="9"/>
  <c r="G37" i="20" s="1"/>
  <c r="BC103" i="9"/>
  <c r="G17" i="20" s="1"/>
  <c r="AU84" i="9"/>
  <c r="AU83" i="9"/>
  <c r="AE206" i="9"/>
  <c r="O71" i="20" s="1"/>
  <c r="CY192" i="9"/>
  <c r="O61" i="20" s="1"/>
  <c r="CA178" i="9"/>
  <c r="O39" i="20" s="1"/>
  <c r="DG164" i="9"/>
  <c r="O24" i="20" s="1"/>
  <c r="CY145" i="9"/>
  <c r="G80" i="20" s="1"/>
  <c r="BS145" i="9"/>
  <c r="G76" i="20" s="1"/>
  <c r="BS164" i="9"/>
  <c r="O19" i="20" s="1"/>
  <c r="BS131" i="9"/>
  <c r="G57" i="20" s="1"/>
  <c r="BK131" i="9"/>
  <c r="G56" i="20" s="1"/>
  <c r="CA145" i="9"/>
  <c r="G77" i="20" s="1"/>
  <c r="DG192" i="9"/>
  <c r="O62" i="20" s="1"/>
  <c r="BC164" i="9"/>
  <c r="O17" i="20" s="1"/>
  <c r="W145" i="9"/>
  <c r="G70" i="20" s="1"/>
  <c r="CA117" i="9"/>
  <c r="G39" i="20" s="1"/>
  <c r="BS103" i="9"/>
  <c r="G19" i="20" s="1"/>
  <c r="CQ192" i="9"/>
  <c r="O60" i="20" s="1"/>
  <c r="N117" i="9"/>
  <c r="F31" i="20" s="1"/>
  <c r="BC206" i="9"/>
  <c r="O74" i="20" s="1"/>
  <c r="AE164" i="9"/>
  <c r="O14" i="20" s="1"/>
  <c r="CY131" i="9"/>
  <c r="G61" i="20" s="1"/>
  <c r="DG103" i="9"/>
  <c r="G24" i="20" s="1"/>
  <c r="CY117" i="9"/>
  <c r="G42" i="20" s="1"/>
  <c r="CI131" i="9"/>
  <c r="G59" i="20" s="1"/>
  <c r="BS192" i="9"/>
  <c r="O57" i="20" s="1"/>
  <c r="BS178" i="9"/>
  <c r="O38" i="20" s="1"/>
  <c r="BK192" i="9"/>
  <c r="O56" i="20" s="1"/>
  <c r="W164" i="9"/>
  <c r="O13" i="20" s="1"/>
  <c r="BC178" i="9"/>
  <c r="O36" i="20" s="1"/>
  <c r="BK164" i="9"/>
  <c r="O18" i="20" s="1"/>
  <c r="BC145" i="9"/>
  <c r="G74" i="20" s="1"/>
  <c r="W103" i="9"/>
  <c r="G13" i="20" s="1"/>
  <c r="AE103" i="9"/>
  <c r="G14" i="20" s="1"/>
  <c r="CI192" i="9"/>
  <c r="O59" i="20" s="1"/>
  <c r="CQ206" i="9"/>
  <c r="O79" i="20" s="1"/>
  <c r="CI164" i="9"/>
  <c r="O21" i="20" s="1"/>
  <c r="CY178" i="9"/>
  <c r="O42" i="20" s="1"/>
  <c r="BK145" i="9"/>
  <c r="G75" i="20" s="1"/>
  <c r="W117" i="9"/>
  <c r="G32" i="20" s="1"/>
  <c r="CA103" i="9"/>
  <c r="G20" i="20" s="1"/>
  <c r="CQ164" i="9"/>
  <c r="O22" i="20" s="1"/>
  <c r="BC117" i="9"/>
  <c r="G36" i="20" s="1"/>
  <c r="BK103" i="9"/>
  <c r="G18" i="20" s="1"/>
  <c r="BC131" i="9"/>
  <c r="G55" i="20" s="1"/>
  <c r="W192" i="9"/>
  <c r="O51" i="20" s="1"/>
  <c r="AE131" i="9"/>
  <c r="G52" i="20" s="1"/>
  <c r="DG178" i="9"/>
  <c r="O43" i="20" s="1"/>
  <c r="CQ145" i="9"/>
  <c r="G79" i="20" s="1"/>
  <c r="CI103" i="9"/>
  <c r="G21" i="20" s="1"/>
  <c r="N164" i="9"/>
  <c r="N12" i="20" s="1"/>
  <c r="BK178" i="9"/>
  <c r="O37" i="20" s="1"/>
  <c r="CI117" i="9"/>
  <c r="G40" i="20" s="1"/>
  <c r="N178" i="9"/>
  <c r="N31" i="20" s="1"/>
  <c r="AU142" i="9"/>
  <c r="AU128" i="9"/>
  <c r="AU40" i="9"/>
  <c r="AU115" i="9"/>
  <c r="AU176" i="9"/>
  <c r="AU101" i="9"/>
  <c r="AU162" i="9"/>
  <c r="AU164" i="9" s="1"/>
  <c r="O16" i="20" s="1"/>
  <c r="AU54" i="9"/>
  <c r="AU204" i="9"/>
  <c r="AU143" i="9"/>
  <c r="AU39" i="9"/>
  <c r="AU129" i="9"/>
  <c r="AU190" i="9"/>
  <c r="AU192" i="9" s="1"/>
  <c r="O54" i="20" s="1"/>
  <c r="AU69" i="9"/>
  <c r="O174" i="9"/>
  <c r="O113" i="9"/>
  <c r="O202" i="9"/>
  <c r="O141" i="9"/>
  <c r="O160" i="9"/>
  <c r="O99" i="9"/>
  <c r="O127" i="9"/>
  <c r="O188" i="9"/>
  <c r="O80" i="9"/>
  <c r="O35" i="9"/>
  <c r="O50" i="9"/>
  <c r="O65" i="9"/>
  <c r="O36" i="9"/>
  <c r="O81" i="9"/>
  <c r="O66" i="9"/>
  <c r="O51" i="9"/>
  <c r="F75" i="11" l="1"/>
  <c r="F11" i="20"/>
  <c r="F33" i="11"/>
  <c r="AH5" i="28"/>
  <c r="F24" i="11"/>
  <c r="E5" i="28"/>
  <c r="G80" i="9"/>
  <c r="G142" i="9" s="1"/>
  <c r="G174" i="9"/>
  <c r="G50" i="9"/>
  <c r="G55" i="9" s="1"/>
  <c r="G40" i="9"/>
  <c r="G99" i="9"/>
  <c r="G7" i="9"/>
  <c r="G81" i="9" s="1"/>
  <c r="G204" i="9" s="1"/>
  <c r="G206" i="9" s="1"/>
  <c r="O68" i="20" s="1"/>
  <c r="G65" i="9"/>
  <c r="G70" i="9" s="1"/>
  <c r="F20" i="9"/>
  <c r="G127" i="9"/>
  <c r="G141" i="9"/>
  <c r="AM80" i="9"/>
  <c r="AM35" i="9"/>
  <c r="AM40" i="9" s="1"/>
  <c r="AM65" i="9"/>
  <c r="AM128" i="9" s="1"/>
  <c r="AM114" i="9"/>
  <c r="N63" i="20"/>
  <c r="G58" i="11" s="1"/>
  <c r="AL103" i="9"/>
  <c r="N25" i="20"/>
  <c r="G57" i="11" s="1"/>
  <c r="N82" i="20"/>
  <c r="G83" i="11" s="1"/>
  <c r="AM202" i="9"/>
  <c r="AM141" i="9"/>
  <c r="AM99" i="9"/>
  <c r="AM160" i="9"/>
  <c r="AM66" i="9"/>
  <c r="AM81" i="9"/>
  <c r="AM51" i="9"/>
  <c r="AM36" i="9"/>
  <c r="N44" i="20"/>
  <c r="G32" i="11" s="1"/>
  <c r="AP5" i="28" s="1"/>
  <c r="AM188" i="9"/>
  <c r="AM127" i="9"/>
  <c r="AL117" i="9"/>
  <c r="AM174" i="9"/>
  <c r="AM113" i="9"/>
  <c r="AL145" i="9"/>
  <c r="F63" i="20"/>
  <c r="G49" i="11" s="1"/>
  <c r="AU131" i="9"/>
  <c r="G54" i="20" s="1"/>
  <c r="O38" i="9"/>
  <c r="AU145" i="9"/>
  <c r="G73" i="20" s="1"/>
  <c r="AU178" i="9"/>
  <c r="O35" i="20" s="1"/>
  <c r="O54" i="9"/>
  <c r="O53" i="9"/>
  <c r="AU206" i="9"/>
  <c r="O73" i="20" s="1"/>
  <c r="AU103" i="9"/>
  <c r="G16" i="20" s="1"/>
  <c r="AU117" i="9"/>
  <c r="G35" i="20" s="1"/>
  <c r="O68" i="9"/>
  <c r="O83" i="9"/>
  <c r="O69" i="9"/>
  <c r="O84" i="9"/>
  <c r="O204" i="9"/>
  <c r="O143" i="9"/>
  <c r="O128" i="9"/>
  <c r="O70" i="9"/>
  <c r="O142" i="9"/>
  <c r="O85" i="9"/>
  <c r="O115" i="9"/>
  <c r="O176" i="9"/>
  <c r="O190" i="9"/>
  <c r="O129" i="9"/>
  <c r="O162" i="9"/>
  <c r="O101" i="9"/>
  <c r="O39" i="9"/>
  <c r="O55" i="9"/>
  <c r="O114" i="9"/>
  <c r="O100" i="9"/>
  <c r="O40" i="9"/>
  <c r="F72" i="20" l="1"/>
  <c r="F82" i="20" s="1"/>
  <c r="G74" i="11" s="1"/>
  <c r="F15" i="20"/>
  <c r="F25" i="20" s="1"/>
  <c r="G73" i="11" s="1"/>
  <c r="F34" i="20"/>
  <c r="F44" i="20" s="1"/>
  <c r="G23" i="11" s="1"/>
  <c r="M5" i="28" s="1"/>
  <c r="S5" i="28"/>
  <c r="AV5" i="28"/>
  <c r="G114" i="9"/>
  <c r="G85" i="9"/>
  <c r="G66" i="9"/>
  <c r="G69" i="9" s="1"/>
  <c r="G51" i="9"/>
  <c r="G115" i="9" s="1"/>
  <c r="G84" i="9"/>
  <c r="G143" i="9"/>
  <c r="G145" i="9" s="1"/>
  <c r="G68" i="20" s="1"/>
  <c r="G36" i="9"/>
  <c r="G38" i="9" s="1"/>
  <c r="G83" i="9"/>
  <c r="G128" i="9"/>
  <c r="AM100" i="9"/>
  <c r="AM142" i="9"/>
  <c r="AM85" i="9"/>
  <c r="AM70" i="9"/>
  <c r="G59" i="11"/>
  <c r="G31" i="11"/>
  <c r="G82" i="11"/>
  <c r="G84" i="11" s="1"/>
  <c r="AM115" i="9"/>
  <c r="AM117" i="9" s="1"/>
  <c r="G34" i="20" s="1"/>
  <c r="AM176" i="9"/>
  <c r="AM178" i="9" s="1"/>
  <c r="O34" i="20" s="1"/>
  <c r="AM53" i="9"/>
  <c r="AM54" i="9"/>
  <c r="AM162" i="9"/>
  <c r="AM164" i="9" s="1"/>
  <c r="O15" i="20" s="1"/>
  <c r="AM101" i="9"/>
  <c r="AM38" i="9"/>
  <c r="AM143" i="9"/>
  <c r="AM204" i="9"/>
  <c r="AM206" i="9" s="1"/>
  <c r="O72" i="20" s="1"/>
  <c r="AM84" i="9"/>
  <c r="AM83" i="9"/>
  <c r="AM190" i="9"/>
  <c r="AM192" i="9" s="1"/>
  <c r="O53" i="20" s="1"/>
  <c r="AM68" i="9"/>
  <c r="AM129" i="9"/>
  <c r="AM131" i="9" s="1"/>
  <c r="G53" i="20" s="1"/>
  <c r="AM69" i="9"/>
  <c r="AM39" i="9"/>
  <c r="O117" i="9"/>
  <c r="G31" i="20" s="1"/>
  <c r="O131" i="9"/>
  <c r="G50" i="20" s="1"/>
  <c r="O103" i="9"/>
  <c r="G12" i="20" s="1"/>
  <c r="O145" i="9"/>
  <c r="G69" i="20" s="1"/>
  <c r="O192" i="9"/>
  <c r="O50" i="20" s="1"/>
  <c r="O206" i="9"/>
  <c r="O69" i="20" s="1"/>
  <c r="O178" i="9"/>
  <c r="O31" i="20" s="1"/>
  <c r="O164" i="9"/>
  <c r="O12" i="20" s="1"/>
  <c r="G75" i="11" l="1"/>
  <c r="G48" i="11"/>
  <c r="G50" i="11" s="1"/>
  <c r="G22" i="11"/>
  <c r="F5" i="28" s="1"/>
  <c r="T5" i="28" s="1"/>
  <c r="G33" i="11"/>
  <c r="AI5" i="28"/>
  <c r="G117" i="9"/>
  <c r="G68" i="9"/>
  <c r="G190" i="9"/>
  <c r="G192" i="9" s="1"/>
  <c r="G129" i="9"/>
  <c r="G131" i="9" s="1"/>
  <c r="G53" i="9"/>
  <c r="G176" i="9"/>
  <c r="G178" i="9" s="1"/>
  <c r="G54" i="9"/>
  <c r="G162" i="9"/>
  <c r="G164" i="9" s="1"/>
  <c r="G101" i="9"/>
  <c r="G103" i="9" s="1"/>
  <c r="G39" i="9"/>
  <c r="AM103" i="9"/>
  <c r="G15" i="20" s="1"/>
  <c r="AM145" i="9"/>
  <c r="O82" i="20"/>
  <c r="H83" i="11" s="1"/>
  <c r="K83" i="11" s="1"/>
  <c r="O49" i="20" l="1"/>
  <c r="O63" i="20" s="1"/>
  <c r="H58" i="11" s="1"/>
  <c r="K58" i="11" s="1"/>
  <c r="O11" i="20"/>
  <c r="O25" i="20" s="1"/>
  <c r="H31" i="11" s="1"/>
  <c r="AJ5" i="28" s="1"/>
  <c r="AK5" i="28" s="1"/>
  <c r="O30" i="20"/>
  <c r="O44" i="20" s="1"/>
  <c r="H32" i="11" s="1"/>
  <c r="G72" i="20"/>
  <c r="G82" i="20" s="1"/>
  <c r="H74" i="11" s="1"/>
  <c r="K74" i="11" s="1"/>
  <c r="G49" i="20"/>
  <c r="G63" i="20" s="1"/>
  <c r="H49" i="11" s="1"/>
  <c r="K49" i="11" s="1"/>
  <c r="G11" i="20"/>
  <c r="G25" i="20" s="1"/>
  <c r="H48" i="11" s="1"/>
  <c r="K48" i="11" s="1"/>
  <c r="G24" i="11"/>
  <c r="G30" i="20"/>
  <c r="G44" i="20" s="1"/>
  <c r="H23" i="11" s="1"/>
  <c r="AW5" i="28"/>
  <c r="H82" i="11"/>
  <c r="K82" i="11" s="1"/>
  <c r="AQ5" i="28" l="1"/>
  <c r="AR5" i="28" s="1"/>
  <c r="AY5" i="28" s="1"/>
  <c r="H33" i="11"/>
  <c r="K33" i="11" s="1"/>
  <c r="K32" i="11"/>
  <c r="K31" i="11"/>
  <c r="H57" i="11"/>
  <c r="K57" i="11" s="1"/>
  <c r="K23" i="11"/>
  <c r="N5" i="28"/>
  <c r="O5" i="28" s="1"/>
  <c r="H73" i="11"/>
  <c r="K73" i="11" s="1"/>
  <c r="H50" i="11"/>
  <c r="I50" i="11" s="1"/>
  <c r="H22" i="11"/>
  <c r="H84" i="11"/>
  <c r="I84" i="11" s="1"/>
  <c r="AX5" i="28" l="1"/>
  <c r="I33" i="11"/>
  <c r="I50" i="27" s="1"/>
  <c r="H59" i="11"/>
  <c r="I59" i="11" s="1"/>
  <c r="K22" i="11"/>
  <c r="G5" i="28"/>
  <c r="H5" i="28" s="1"/>
  <c r="V5" i="28" s="1"/>
  <c r="H75" i="11"/>
  <c r="I75" i="11" s="1"/>
  <c r="H24" i="11"/>
  <c r="K50" i="11"/>
  <c r="K84" i="11"/>
  <c r="K59" i="11" l="1"/>
  <c r="U5" i="28"/>
  <c r="K24" i="11"/>
  <c r="K75" i="11"/>
  <c r="I24" i="11"/>
  <c r="I20" i="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Ludmila Peres Gargano</author>
  </authors>
  <commentList>
    <comment ref="D79" authorId="0" shapeId="0" xr:uid="{D4E78677-F06A-4056-977D-7A5B46396085}">
      <text>
        <r>
          <rPr>
            <b/>
            <sz val="9"/>
            <color rgb="FF000000"/>
            <rFont val="Segoe UI"/>
            <family val="2"/>
            <charset val="1"/>
          </rPr>
          <t>Ludmila Peres Gargano:</t>
        </r>
        <r>
          <rPr>
            <sz val="9"/>
            <color rgb="FF000000"/>
            <rFont val="Segoe UI"/>
            <family val="2"/>
            <charset val="1"/>
          </rPr>
          <t xml:space="preserve">
</t>
        </r>
        <r>
          <rPr>
            <sz val="9"/>
            <color rgb="FF000000"/>
            <rFont val="Segoe UI"/>
            <family val="2"/>
            <charset val="1"/>
          </rPr>
          <t>Fill in the epidemiological parameters that make up the funnel, informing the percentages (%) in the cells of this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Ludmila</author>
    <author>Ludmila Peres Gargano</author>
  </authors>
  <commentList>
    <comment ref="G31" authorId="0" shapeId="0" xr:uid="{6620B4E6-6CD7-40C0-BE1E-680C7F9BA564}">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Custos que ocorrem durante o tratamento e são comuns para todas as tecnologias avaliadas (por exemplo, custos de acompanhamento com consultas e exames de rotina)</t>
        </r>
      </text>
    </comment>
    <comment ref="H31" authorId="0" shapeId="0" xr:uid="{D635A530-47AD-4CDD-9F35-08F3DDBA3CCF}">
      <text>
        <r>
          <rPr>
            <b/>
            <sz val="9"/>
            <color indexed="81"/>
            <rFont val="Segoe UI"/>
            <family val="2"/>
          </rPr>
          <t>Ludmila:</t>
        </r>
        <r>
          <rPr>
            <sz val="9"/>
            <color indexed="81"/>
            <rFont val="Segoe UI"/>
            <family val="2"/>
          </rPr>
          <t xml:space="preserve">
Custos que ocorrem durante o tratamento e são comuns para todas as tecnologias avaliadas (por exemplo, custos de acompanhamento com consultas e exames de rotina)</t>
        </r>
      </text>
    </comment>
    <comment ref="I31" authorId="0" shapeId="0" xr:uid="{BA7C326F-8234-45B1-AAFD-E62C434698B3}">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Custos que ocorrem APÖS a descontinuação do tratamento e são comuns para todas as tecnologias avaliadas (por exemplo, custos de pós progressão)</t>
        </r>
      </text>
    </comment>
    <comment ref="G200" authorId="1" shapeId="0" xr:uid="{FB677AFC-A758-F541-99DD-232DC37DEBB4}">
      <text>
        <r>
          <rPr>
            <b/>
            <sz val="10"/>
            <color rgb="FF000000"/>
            <rFont val="Tahoma"/>
            <family val="2"/>
          </rPr>
          <t xml:space="preserve">Ludmila Peres Gargano: </t>
        </r>
        <r>
          <rPr>
            <sz val="10"/>
            <color rgb="FF000000"/>
            <rFont val="Tahoma"/>
            <family val="2"/>
          </rPr>
          <t xml:space="preserve">For general costs, fill in only the first row, since these costs will be applied equally across all technologies.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Ludmila</author>
  </authors>
  <commentList>
    <comment ref="C10" authorId="0" shapeId="0" xr:uid="{44B277B8-560C-470A-A1CA-F8F8358644E9}">
      <text>
        <r>
          <rPr>
            <b/>
            <sz val="9"/>
            <color rgb="FF000000"/>
            <rFont val="Segoe UI"/>
            <family val="2"/>
            <charset val="1"/>
          </rPr>
          <t>Ludmila Peres Gargano:</t>
        </r>
        <r>
          <rPr>
            <sz val="9"/>
            <color rgb="FF000000"/>
            <rFont val="Segoe UI"/>
            <family val="2"/>
            <charset val="1"/>
          </rPr>
          <t xml:space="preserve">
</t>
        </r>
        <r>
          <rPr>
            <b/>
            <sz val="9"/>
            <color rgb="FF000000"/>
            <rFont val="Calibri"/>
            <family val="2"/>
          </rPr>
          <t>Example 1:</t>
        </r>
        <r>
          <rPr>
            <sz val="9"/>
            <color rgb="FF000000"/>
            <rFont val="Calibri"/>
            <family val="2"/>
          </rPr>
          <t xml:space="preserve"> According to the product label, if the treatment should be provided for two years, then enter 12 months for 1st year, 12 months for 2nd year, and 0 months for the remaining years.
</t>
        </r>
        <r>
          <rPr>
            <sz val="9"/>
            <color rgb="FF000000"/>
            <rFont val="Calibri"/>
            <family val="2"/>
          </rPr>
          <t xml:space="preserve">
</t>
        </r>
        <r>
          <rPr>
            <b/>
            <sz val="9"/>
            <color rgb="FF000000"/>
            <rFont val="Calibri"/>
            <family val="2"/>
          </rPr>
          <t>Example 2:</t>
        </r>
        <r>
          <rPr>
            <sz val="9"/>
            <color rgb="FF000000"/>
            <rFont val="Calibri"/>
            <family val="2"/>
          </rPr>
          <t xml:space="preserve"> According to the product label, induction treatment is administered during the first two months, and maintenance treatment is continuous until disease progression. Enter 10 months for 1st year (excluding the 2-month induction phase), and 12 months for the subsequent years.</t>
        </r>
      </text>
    </comment>
    <comment ref="C37" authorId="0" shapeId="0" xr:uid="{3E5809A4-CE7E-450D-861B-64E5FBBDAA21}">
      <text>
        <r>
          <rPr>
            <b/>
            <sz val="9"/>
            <color rgb="FF000000"/>
            <rFont val="Segoe UI"/>
            <family val="2"/>
            <charset val="1"/>
          </rPr>
          <t>Ludmila:</t>
        </r>
        <r>
          <rPr>
            <sz val="9"/>
            <color rgb="FF000000"/>
            <rFont val="Segoe UI"/>
            <family val="2"/>
            <charset val="1"/>
          </rPr>
          <t xml:space="preserve">
</t>
        </r>
        <r>
          <rPr>
            <sz val="9"/>
            <color rgb="FF000000"/>
            <rFont val="Segoe UI"/>
            <family val="2"/>
            <charset val="1"/>
          </rPr>
          <t xml:space="preserve">Idealmente, deve-se utilizar a mediana de uso do tratamento (tempo em meses) ou a taxa anual de descontinuação.
</t>
        </r>
        <r>
          <rPr>
            <sz val="9"/>
            <color rgb="FF000000"/>
            <rFont val="Segoe UI"/>
            <family val="2"/>
            <charset val="1"/>
          </rPr>
          <t>Entretando, para terapias utilizadas até a progressão da doença (por exemplo alguns tratamentos oncológicos), a sobrevida livre de progressão poderá ser utilizada para estimar o percentual de pacientes que permanece em uso do tratamento anualmente.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<sst xmlns="http://schemas.openxmlformats.org/spreadsheetml/2006/main" count="3576" uniqueCount="364">
  <si>
    <t>Sim</t>
  </si>
  <si>
    <t>Não</t>
  </si>
  <si>
    <t>4.Market share</t>
  </si>
  <si>
    <t>População estimada em cada tratamento conforme market</t>
  </si>
  <si>
    <t xml:space="preserve">Exibir </t>
  </si>
  <si>
    <t>Total</t>
  </si>
  <si>
    <t>Final</t>
  </si>
  <si>
    <t>-</t>
  </si>
  <si>
    <t>Descontinuação por mês</t>
  </si>
  <si>
    <t>h</t>
  </si>
  <si>
    <t>Óbito por mês</t>
  </si>
  <si>
    <t>Min</t>
  </si>
  <si>
    <t>Max</t>
  </si>
  <si>
    <t>Beta</t>
  </si>
  <si>
    <t>DSA</t>
  </si>
  <si>
    <t>ci_int1</t>
  </si>
  <si>
    <t>ci_int2</t>
  </si>
  <si>
    <t>ci_int3</t>
  </si>
  <si>
    <t>ci_int4</t>
  </si>
  <si>
    <t>ci_comp1</t>
  </si>
  <si>
    <t>ci_comp2</t>
  </si>
  <si>
    <t>ci_comp3</t>
  </si>
  <si>
    <t>ci_comp4</t>
  </si>
  <si>
    <t>ci_comp5</t>
  </si>
  <si>
    <t>ci_comp6</t>
  </si>
  <si>
    <t>ci_comp7</t>
  </si>
  <si>
    <t>ci_comp8</t>
  </si>
  <si>
    <t>ci_comp9</t>
  </si>
  <si>
    <t>ci_comp10</t>
  </si>
  <si>
    <t>ct_int1</t>
  </si>
  <si>
    <t>ct_int2</t>
  </si>
  <si>
    <t>ct_int3</t>
  </si>
  <si>
    <t>ct_int4</t>
  </si>
  <si>
    <t>ct_comp1</t>
  </si>
  <si>
    <t>ct_comp2</t>
  </si>
  <si>
    <t>ct_comp3</t>
  </si>
  <si>
    <t>ct_comp4</t>
  </si>
  <si>
    <t>ct_comp5</t>
  </si>
  <si>
    <t>ct_comp6</t>
  </si>
  <si>
    <t>ct_comp7</t>
  </si>
  <si>
    <t>ct_comp8</t>
  </si>
  <si>
    <t>ct_comp9</t>
  </si>
  <si>
    <t>ct_comp10</t>
  </si>
  <si>
    <t>ca_int1</t>
  </si>
  <si>
    <t>ca_int2</t>
  </si>
  <si>
    <t>ca_int3</t>
  </si>
  <si>
    <t>ca_int4</t>
  </si>
  <si>
    <t>ca_comp1</t>
  </si>
  <si>
    <t>ca_comp2</t>
  </si>
  <si>
    <t>ca_comp3</t>
  </si>
  <si>
    <t>ca_comp4</t>
  </si>
  <si>
    <t>ca_comp5</t>
  </si>
  <si>
    <t>ca_comp6</t>
  </si>
  <si>
    <t>ca_comp7</t>
  </si>
  <si>
    <t>ca_comp8</t>
  </si>
  <si>
    <t>ca_comp9</t>
  </si>
  <si>
    <t>ca_comp10</t>
  </si>
  <si>
    <t>c_inicial</t>
  </si>
  <si>
    <t>c_on</t>
  </si>
  <si>
    <t>c_off</t>
  </si>
  <si>
    <t>Budget Impact Calculator - Blank Template</t>
  </si>
  <si>
    <t>1. Starting a new budget impact analysis</t>
  </si>
  <si>
    <t>When starting a new analysis, save a copy of this document and then complete the following fields.</t>
  </si>
  <si>
    <t>Fields in blue will be automatically filled in after definition in the next steps.</t>
  </si>
  <si>
    <t>Document Version</t>
  </si>
  <si>
    <t>Date</t>
  </si>
  <si>
    <t>Responsible Team</t>
  </si>
  <si>
    <t>2. Research question</t>
  </si>
  <si>
    <t>2.1. Population</t>
  </si>
  <si>
    <t>2.2. Proposed Technology(ies)</t>
  </si>
  <si>
    <t>2.3. Comparator(s)</t>
  </si>
  <si>
    <t>Describe the technologies currently available for the condition</t>
  </si>
  <si>
    <t>Proposed technologies are the "interventions" being evaluated for listing/reimbursement.</t>
  </si>
  <si>
    <t>Comparators are the medications/technologies currently available (on the list) for the condition under analysis.</t>
  </si>
  <si>
    <t>The reference scenario refers to the current scenario, in which the interventions are not available.</t>
  </si>
  <si>
    <t>Alternative scenarios refer to the scenarios in which the intervention under analysis will be available.</t>
  </si>
  <si>
    <t>Different alternative scenarios can be chosen to vary the expected diffusion rates.</t>
  </si>
  <si>
    <t>This spreadsheet is intended solely for educational and non-commercial purposes. Reproduction, distribution, or use for commercial gain is strictly prohibited without prior written permission.</t>
  </si>
  <si>
    <t>3. Time horizon</t>
  </si>
  <si>
    <t>5 years</t>
  </si>
  <si>
    <t>Time horizon</t>
  </si>
  <si>
    <t>Technology</t>
  </si>
  <si>
    <t>Alternative scenario 1:</t>
  </si>
  <si>
    <t>Reference scenario:</t>
  </si>
  <si>
    <t>Establish the period of the analysis.</t>
  </si>
  <si>
    <t>Write in 20xx format the first year of the budget impact analysis (e.g., 2025).</t>
  </si>
  <si>
    <t>By definition, this tool evaluates a five-year time horizon.</t>
  </si>
  <si>
    <t>What is the first year of the analysis?</t>
  </si>
  <si>
    <t>Establish the diffusion rate of the technology considering the scenarios previously reported (reference scenario and proposed scenarios).</t>
  </si>
  <si>
    <t>Alternative scenario 2:</t>
  </si>
  <si>
    <t>Alternative scenario 3:</t>
  </si>
  <si>
    <t>Intervention</t>
  </si>
  <si>
    <t>Comparators</t>
  </si>
  <si>
    <t>Fill in lines only for the technologies under analysis</t>
  </si>
  <si>
    <t>The sum of the percentages must result in 100%</t>
  </si>
  <si>
    <t>It is assumed that interventions are not available in the reference scenario, and therefore, 0% in all years</t>
  </si>
  <si>
    <t>Value (%)</t>
  </si>
  <si>
    <t>Reference</t>
  </si>
  <si>
    <t>Calculation method</t>
  </si>
  <si>
    <t>Does the eligible population refer to the number of new cases?</t>
  </si>
  <si>
    <t>Select this option if you want to manually enter the total number of eligible patients, and complete section 5.1. below.</t>
  </si>
  <si>
    <t>Description</t>
  </si>
  <si>
    <t>Select whether the population should be estimated based on the annual average or a linear trend.</t>
  </si>
  <si>
    <t>*Adjustment for population growth in the period</t>
  </si>
  <si>
    <t>5. Estimating the Total Number of Eligible Patients</t>
  </si>
  <si>
    <t>Select the method to be used to estimate the number of eligible patients.</t>
  </si>
  <si>
    <t>5.1. Manual Data Entry</t>
  </si>
  <si>
    <t>Use this section if you prefer to manually enter the final estimate of eligible patients, without applying the calculation strategies.</t>
  </si>
  <si>
    <t>5.2. Estimation Using the Observed Demand Method</t>
  </si>
  <si>
    <t>Use this section if you prefer to estimate the eligible population based on projections from historical data.</t>
  </si>
  <si>
    <t>If the estimate depends on more than one procedure, enter the number for each in a separate row.</t>
  </si>
  <si>
    <t>Start year of data</t>
  </si>
  <si>
    <t>End year of data</t>
  </si>
  <si>
    <t>Data interval</t>
  </si>
  <si>
    <t>Sum</t>
  </si>
  <si>
    <t>Projection calculation strategy</t>
  </si>
  <si>
    <t>Selected observed demand</t>
  </si>
  <si>
    <r>
      <t>Population projection for the time horizon of the analysis (</t>
    </r>
    <r>
      <rPr>
        <b/>
        <sz val="11"/>
        <color theme="8"/>
        <rFont val="Calibri (Corpo)"/>
      </rPr>
      <t>linear projection</t>
    </r>
    <r>
      <rPr>
        <b/>
        <sz val="11"/>
        <color rgb="FF0EB1BA"/>
        <rFont val="Calibri"/>
        <family val="2"/>
        <scheme val="minor"/>
      </rPr>
      <t>)</t>
    </r>
  </si>
  <si>
    <r>
      <t>Population projection for the time horizon of the analysis (</t>
    </r>
    <r>
      <rPr>
        <b/>
        <sz val="11"/>
        <color theme="8"/>
        <rFont val="Calibri (Corpo)"/>
      </rPr>
      <t>mean projection</t>
    </r>
    <r>
      <rPr>
        <b/>
        <sz val="11"/>
        <color rgb="FF0EB1BA"/>
        <rFont val="Calibri"/>
        <family val="2"/>
        <scheme val="minor"/>
      </rPr>
      <t>)</t>
    </r>
  </si>
  <si>
    <t>Parameters</t>
  </si>
  <si>
    <t>In use</t>
  </si>
  <si>
    <t>Base line</t>
  </si>
  <si>
    <t>Probabilistic</t>
  </si>
  <si>
    <t>Variation</t>
  </si>
  <si>
    <t>SE</t>
  </si>
  <si>
    <t>Distribuition</t>
  </si>
  <si>
    <t>Alpha</t>
  </si>
  <si>
    <t>Estimate</t>
  </si>
  <si>
    <t>5.3. Estimation Using the Epidemiological Method</t>
  </si>
  <si>
    <t>Use this section if you wish to estimate the eligible population based on the epidemiological parameters from the literature.</t>
  </si>
  <si>
    <t>This section can also be used if you wish to apply epidemiological parameters to the population projected through the “Observed Demand” method.</t>
  </si>
  <si>
    <t>Enter the first year for which data are available.</t>
  </si>
  <si>
    <t>Enter the last year for which data are available.</t>
  </si>
  <si>
    <t>The chart must be adjusted to include only the years for which data are available.</t>
  </si>
  <si>
    <t>Parameter</t>
  </si>
  <si>
    <t>Title of the Analysis</t>
  </si>
  <si>
    <t>Expected annual growth</t>
  </si>
  <si>
    <t>Intervention 1</t>
  </si>
  <si>
    <t>Intervention 2</t>
  </si>
  <si>
    <t>Intervention 3</t>
  </si>
  <si>
    <t>Intervention 4</t>
  </si>
  <si>
    <t>Comparator 1</t>
  </si>
  <si>
    <t>Comparator 2</t>
  </si>
  <si>
    <t>Comparator 3</t>
  </si>
  <si>
    <t>Comparator 4</t>
  </si>
  <si>
    <t>Comparator 5</t>
  </si>
  <si>
    <t>Comparator 6</t>
  </si>
  <si>
    <t>Comparator 7</t>
  </si>
  <si>
    <t>Comparator 8</t>
  </si>
  <si>
    <t>Comparator 9</t>
  </si>
  <si>
    <t>Comparator 10</t>
  </si>
  <si>
    <t>Applied for any technology</t>
  </si>
  <si>
    <t>Select the technology</t>
  </si>
  <si>
    <t>Description of resource</t>
  </si>
  <si>
    <t>% of patients using</t>
  </si>
  <si>
    <t>Quantity</t>
  </si>
  <si>
    <t>Unit cost</t>
  </si>
  <si>
    <t>Final cost</t>
  </si>
  <si>
    <t>6.1. Calculating Treatment Costs</t>
  </si>
  <si>
    <t>The table below presents the annual total cost per intervention, as reported in the sections below.</t>
  </si>
  <si>
    <r>
      <rPr>
        <b/>
        <sz val="11"/>
        <rFont val="Calibri"/>
        <family val="2"/>
      </rPr>
      <t>Do not make changes directly in this table</t>
    </r>
    <r>
      <rPr>
        <sz val="11"/>
        <rFont val="Calibri"/>
        <family val="2"/>
      </rPr>
      <t>; use the sections below to enter each type of cost.</t>
    </r>
  </si>
  <si>
    <t>6.1.1 Initial Treatment Costs – One-Time Cost at the Start of the Analysis (PER TECHNOLOGY)</t>
  </si>
  <si>
    <t>In this section, report the treatment costs that are incurred only ONCE, at the time the patient enters the analysis.</t>
  </si>
  <si>
    <t>Examples of one-time costs: induction therapy.</t>
  </si>
  <si>
    <t>Model Calculations</t>
  </si>
  <si>
    <t>Cohort 1</t>
  </si>
  <si>
    <t>Cohort 2</t>
  </si>
  <si>
    <t>Cohort 3</t>
  </si>
  <si>
    <t>Cohort 4</t>
  </si>
  <si>
    <t>Cohort 5</t>
  </si>
  <si>
    <t>Cohort 1 on treat.</t>
  </si>
  <si>
    <t>Cohort 2 on treat.</t>
  </si>
  <si>
    <t>Cohort 3 on treat.</t>
  </si>
  <si>
    <t>Cohort 4 on treat.</t>
  </si>
  <si>
    <t>Cohort 5 on treat.</t>
  </si>
  <si>
    <t>Cohort 1 off treat.</t>
  </si>
  <si>
    <t>Cohort 2 off treat.</t>
  </si>
  <si>
    <t>Cohort 3 off treat.</t>
  </si>
  <si>
    <t>Cohort 4 off treat.</t>
  </si>
  <si>
    <t>Cohort 5 off treat.</t>
  </si>
  <si>
    <t>Population estimate adjusted by market share</t>
  </si>
  <si>
    <t>Calculations considering all associated costs</t>
  </si>
  <si>
    <t>Calculations considering only acquisition costs</t>
  </si>
  <si>
    <t>8. Results</t>
  </si>
  <si>
    <t>In observed demand, the number of eligible patients is estimated based on data obtained from previous years on the service. Complete section 5.2 below.</t>
  </si>
  <si>
    <t>In epidemiological methods, population data are used to estimate the total number of eligible patients (e.g. prevalence). Complete section 5.3 below.</t>
  </si>
  <si>
    <t>to</t>
  </si>
  <si>
    <t>Incremental budget impact</t>
  </si>
  <si>
    <t>Adoption rate ranging from</t>
  </si>
  <si>
    <t>8.1. Final population used in the calculations</t>
  </si>
  <si>
    <t>Annual mean</t>
  </si>
  <si>
    <t>Full-cost results</t>
  </si>
  <si>
    <t>Technology cost–only results</t>
  </si>
  <si>
    <t>1st year</t>
  </si>
  <si>
    <t>2nd year</t>
  </si>
  <si>
    <t>3rd year</t>
  </si>
  <si>
    <t>5th year</t>
  </si>
  <si>
    <t>4th year</t>
  </si>
  <si>
    <t>7.1 Reporting Treatment Duration According to the Product Label</t>
  </si>
  <si>
    <t>Use this section to specify the number of months per year that each technology is expected to be used, based on the approved product label.</t>
  </si>
  <si>
    <t>This duration refers solely to the recommended usage and does not account for discontinuation due to disease progression or other reasons (which will be reported in the following sections).</t>
  </si>
  <si>
    <t>If the treatment includes both an induction and a maintenance phase, report only the number of months recommended for the maintenance phase.</t>
  </si>
  <si>
    <t xml:space="preserve">For how many months will each intervention be used per patient?
</t>
  </si>
  <si>
    <t>For how many months will each comparator be used per patient?</t>
  </si>
  <si>
    <t>months</t>
  </si>
  <si>
    <t>Entry</t>
  </si>
  <si>
    <t>On treatment</t>
  </si>
  <si>
    <t>Deaths</t>
  </si>
  <si>
    <t>Discontinued</t>
  </si>
  <si>
    <t>Code</t>
  </si>
  <si>
    <t>HTA Submission Number</t>
  </si>
  <si>
    <t>Describe the target population, interventions, and comparators (alternative treatments or technologies).</t>
  </si>
  <si>
    <t>Describe the population under evaluation (clinical condition)</t>
  </si>
  <si>
    <t>Describe the technology(ies) under assessment for listing/reimbursment</t>
  </si>
  <si>
    <t>Number of technologies under assessment</t>
  </si>
  <si>
    <t>Name of the technology</t>
  </si>
  <si>
    <t>Name of the comparator</t>
  </si>
  <si>
    <t>Number of comparators</t>
  </si>
  <si>
    <t>2.4. Assessed Scenarios</t>
  </si>
  <si>
    <t>Provide names to identify the scenarios under evaluation</t>
  </si>
  <si>
    <t>Name of reference scenario</t>
  </si>
  <si>
    <t>Name of alternative scenario 1</t>
  </si>
  <si>
    <t>Name of alternative scenario 2</t>
  </si>
  <si>
    <t>Name of alternative scenario 3</t>
  </si>
  <si>
    <t>This spreadsheet is intended solely for educational and non-commercial purposes. Reproduction, distribution, or use for commercial gain without prior written permission is strictly prohibited.</t>
  </si>
  <si>
    <t>Tip: If the R² value of the linear projection is less than 0.5, you should consider to use the mean.</t>
  </si>
  <si>
    <t>Technology-Specific Costs</t>
  </si>
  <si>
    <t>Initial treatment cost (one-time)</t>
  </si>
  <si>
    <t>Ongoing monthly treatment cost</t>
  </si>
  <si>
    <t>Additional ongoing monthly costs</t>
  </si>
  <si>
    <t>Initial general costs</t>
  </si>
  <si>
    <t>General Costs (common to all patients)</t>
  </si>
  <si>
    <t>Monthly costs during treatment</t>
  </si>
  <si>
    <t>Monthly costs after treatment</t>
  </si>
  <si>
    <r>
      <t xml:space="preserve">Ongoing </t>
    </r>
    <r>
      <rPr>
        <b/>
        <u/>
        <sz val="11"/>
        <color theme="0"/>
        <rFont val="Calibri"/>
        <family val="2"/>
      </rPr>
      <t>annual</t>
    </r>
    <r>
      <rPr>
        <b/>
        <sz val="11"/>
        <color theme="0"/>
        <rFont val="Calibri"/>
        <family val="2"/>
      </rPr>
      <t xml:space="preserve"> treatment cost</t>
    </r>
  </si>
  <si>
    <r>
      <t xml:space="preserve">Additional ongoing </t>
    </r>
    <r>
      <rPr>
        <b/>
        <u/>
        <sz val="11"/>
        <color theme="0"/>
        <rFont val="Calibri"/>
        <family val="2"/>
      </rPr>
      <t>annual</t>
    </r>
    <r>
      <rPr>
        <b/>
        <sz val="11"/>
        <color theme="0"/>
        <rFont val="Calibri"/>
        <family val="2"/>
      </rPr>
      <t xml:space="preserve"> costs</t>
    </r>
  </si>
  <si>
    <r>
      <rPr>
        <b/>
        <u/>
        <sz val="11"/>
        <color theme="0"/>
        <rFont val="Calibri"/>
        <family val="2"/>
      </rPr>
      <t>Annual</t>
    </r>
    <r>
      <rPr>
        <b/>
        <sz val="11"/>
        <color theme="0"/>
        <rFont val="Calibri"/>
        <family val="2"/>
      </rPr>
      <t xml:space="preserve"> costs during treatment</t>
    </r>
  </si>
  <si>
    <r>
      <rPr>
        <b/>
        <u/>
        <sz val="11"/>
        <color theme="0"/>
        <rFont val="Calibri"/>
        <family val="2"/>
      </rPr>
      <t>Annual</t>
    </r>
    <r>
      <rPr>
        <b/>
        <sz val="11"/>
        <color theme="0"/>
        <rFont val="Calibri"/>
        <family val="2"/>
      </rPr>
      <t xml:space="preserve"> costs after treatment</t>
    </r>
  </si>
  <si>
    <t>6.1.2 Ongoing Monthly Treatment Costs – Recurrent or Continuous (PER TECHNOLOGY)</t>
  </si>
  <si>
    <t>In this section, enter the costs related to each intervention/comparator that occur more than once during the year.</t>
  </si>
  <si>
    <t>Examples of recurring costs: maintenance therapy, continuous treatment, periodic monitoring tests (e.g., every x months).</t>
  </si>
  <si>
    <t>6.1.3 Associated Monthly Costs (Treatment-Related) – Recurrent or Continuous (PER TECHNOLOGY)</t>
  </si>
  <si>
    <t>In this section, enter any additional costs related to each intervention/comparator that occur throughout the treatment period, such as exam or monitoring costs.</t>
  </si>
  <si>
    <t>These costs will be considered in the analysis for the entire duration in which the patient is receiving the technology.</t>
  </si>
  <si>
    <t>Examples of recurring associated costs: specific monitoring of adverse events related to the treatment.</t>
  </si>
  <si>
    <t>6.1.4 Initial General Costs (Common to All Technologies)</t>
  </si>
  <si>
    <t>In this section, enter any initial costs that apply to all patients at the start of the analysis (e.g., diagnostic or molecular testing).</t>
  </si>
  <si>
    <t>6.1.5 Monthly Costs DURING Treatment (Common to All Technologies)</t>
  </si>
  <si>
    <t xml:space="preserve">In this section, enter any additional costs that apply while the patient is receiving treatment (e.g., routine follow-up or monitoring visits).
</t>
  </si>
  <si>
    <t>6.1.6 Monthly Costs AFTER Treatment (Common to All Technologies)</t>
  </si>
  <si>
    <t>In this section, enter any additional costs that apply after the patient discontinues treatment (e.g., costs related to disease progression).</t>
  </si>
  <si>
    <t>6.2. Cost Support Table</t>
  </si>
  <si>
    <t>Use this section only if it is not possible to estimate the costs of each intervention using the structured steps above.</t>
  </si>
  <si>
    <t>These values should be used only as a last resort, when calculating costs through the standard tables is not feasible.</t>
  </si>
  <si>
    <t>Using the 'Cost Support Table'?</t>
  </si>
  <si>
    <t xml:space="preserve">Please keep "No" selected if costs are being calculated using the Section 6.1 tables.
</t>
  </si>
  <si>
    <t>No</t>
  </si>
  <si>
    <t>If the cost applies only during the first year or only in certain years of the analysis, you should still enter the monthly frequency here. The number of months per year or the number of years in which the cost applies should be defined later in the "Time on treatment" tab.</t>
  </si>
  <si>
    <t>7.2. Estimating Patient Discontinuation and Number of Patients on Treatment</t>
  </si>
  <si>
    <t>Use this section if it is important to indicate the percentage of patients who remain on treatment or discontinue treatment over the course of the year.</t>
  </si>
  <si>
    <t>Treatment discontinuation can be estimated using different parameters: median treatment duration, discontinuation rate, or disease progression.</t>
  </si>
  <si>
    <t>Do you wish to consider treatment discontinuation?</t>
  </si>
  <si>
    <t>Select the method to estimate treatment discontinuation:</t>
  </si>
  <si>
    <t>Enter data period:</t>
  </si>
  <si>
    <t>This option does not apply if the "median usage time" is entered.</t>
  </si>
  <si>
    <t>If "Other data frequency" is selected  complete the following tab -&gt;</t>
  </si>
  <si>
    <t>If you wish to report the monthly or semi-annual discontinuation rate, please use the table below.</t>
  </si>
  <si>
    <t>If you wish to report progression-free survival monthly or semi-annually, use the table below.</t>
  </si>
  <si>
    <t>If you wish to report the monthly death rate by month or half-year, use the table below.</t>
  </si>
  <si>
    <t>If you wish to report overall survival monthly or semi-annually, use the table below.</t>
  </si>
  <si>
    <t>MONTHLY death rate (%)</t>
  </si>
  <si>
    <t>Overall MONTHLY survival (%)</t>
  </si>
  <si>
    <t>In this spreadsheet, median survival is extrapolated monthly using an exponential distribution. Do not make any changes here.</t>
  </si>
  <si>
    <t>In this spreadsheet, the median treatment time is extrapolated monthly using an exponential distribution. Do not make any changes here.</t>
  </si>
  <si>
    <t>MONTHLY progression-free survival (%)</t>
  </si>
  <si>
    <t>MONTHLY discontinuation rate (%)</t>
  </si>
  <si>
    <t>Do not fill in this table</t>
  </si>
  <si>
    <t>7.2.1. Table of median time of use of treatments</t>
  </si>
  <si>
    <t>Time (in months)</t>
  </si>
  <si>
    <t>Comparators (inform in %)</t>
  </si>
  <si>
    <t>Interventions (inform in %)</t>
  </si>
  <si>
    <t>Data applied to the analysis - percentage of patients who discontinue the technology each year</t>
  </si>
  <si>
    <t>Extrapolation - percentage of patients who discontinue based on the median time of use</t>
  </si>
  <si>
    <t>Calculation table - percentage of patients who discontinue based on progression-free survival</t>
  </si>
  <si>
    <t>Calculation table - percentage of patients who discontinue based on the discontinuation rate</t>
  </si>
  <si>
    <t>12 months</t>
  </si>
  <si>
    <t>24 months</t>
  </si>
  <si>
    <t>36 months</t>
  </si>
  <si>
    <t>48 months</t>
  </si>
  <si>
    <t>7.3. Patient Exit from the Analysis Due to Death</t>
  </si>
  <si>
    <t>Use this section if it is important to account for patient attrition in the budget impact analysis based on the occurrence of deaths.</t>
  </si>
  <si>
    <t>Do you wish to consider patient exit from the analysis due to death?</t>
  </si>
  <si>
    <t>Select “No” if 100% of patients are expected to remain on treatment for the entire period specified in the previous section.</t>
  </si>
  <si>
    <t>Data source for patient exit information</t>
  </si>
  <si>
    <t>Specify data period</t>
  </si>
  <si>
    <t>If “Other data periodicity” is selected, complete the following tab →</t>
  </si>
  <si>
    <t>This option does not apply if “Median survival” is provided.</t>
  </si>
  <si>
    <t>7.3.1. Table of median survival</t>
  </si>
  <si>
    <t>7.3.2. Table of mortality rate and overall survival</t>
  </si>
  <si>
    <t>Yes</t>
  </si>
  <si>
    <t>Data applied to the analysis – percentage of patients exiting the model due to death</t>
  </si>
  <si>
    <t>Extrapolation – percentage of patients dying based on median survival</t>
  </si>
  <si>
    <t>Calculation table – percentage of patients dying based on overall survival</t>
  </si>
  <si>
    <t>Calculation table – percentage of patients discontinuing based on mortality rate</t>
  </si>
  <si>
    <t>Year 1</t>
  </si>
  <si>
    <t>Year 2</t>
  </si>
  <si>
    <t>Year 3</t>
  </si>
  <si>
    <t>Year 4</t>
  </si>
  <si>
    <t>Year 5</t>
  </si>
  <si>
    <t>Lower limit of the graph</t>
  </si>
  <si>
    <t>Upper limit of the graph</t>
  </si>
  <si>
    <t>Central value of the graph</t>
  </si>
  <si>
    <t>9. Deterministic sensitivity analysis (DSA)</t>
  </si>
  <si>
    <t>Cumulative</t>
  </si>
  <si>
    <t>Select “No” if all patients are expected to remain on treatment for the entire period specified in the previous section, or until death (next section).</t>
  </si>
  <si>
    <t>Annual data</t>
  </si>
  <si>
    <t>Mean projection</t>
  </si>
  <si>
    <t>Discontinuation data includes deaths?</t>
  </si>
  <si>
    <t>Does the reported prevalence refer to a specific line of treatment?</t>
  </si>
  <si>
    <t>If Yes, patients who progress in one year will be removed from the eligible prevalent population in the next year.</t>
  </si>
  <si>
    <t>Range</t>
  </si>
  <si>
    <t>Lower limit</t>
  </si>
  <si>
    <t>Upper limit</t>
  </si>
  <si>
    <t>p</t>
  </si>
  <si>
    <t>Reference scenario</t>
  </si>
  <si>
    <t>Alternative scenario 1</t>
  </si>
  <si>
    <t>Mean</t>
  </si>
  <si>
    <t>Scenario diference</t>
  </si>
  <si>
    <t>95% CI (lower)</t>
  </si>
  <si>
    <t>95% CI (upper)</t>
  </si>
  <si>
    <t>Parameters - Scenario 1 (technology cost–only)</t>
  </si>
  <si>
    <t>Parameters - Scenario 1 (full-cost)</t>
  </si>
  <si>
    <t>Gamma</t>
  </si>
  <si>
    <t>Is it necessary to use dynamic cohorts to project the population?</t>
  </si>
  <si>
    <t>If Yes, patients whil trasition between cohorts based on the data to be provided in the "time to treatment" tab.</t>
  </si>
  <si>
    <t>Cohort on treat.</t>
  </si>
  <si>
    <t>Cohort  on treat.</t>
  </si>
  <si>
    <t>Yes, it represents incidence</t>
  </si>
  <si>
    <t>Cumulative mortality rate</t>
  </si>
  <si>
    <t xml:space="preserve">Enter market share assumptions according to the best available evidence and the applicable BIA guidelines. </t>
  </si>
  <si>
    <t>Linear, non-linear, S-shaped, or other uptake patterns may be used, provided they are appropriately justified.</t>
  </si>
  <si>
    <t>point estimate</t>
  </si>
  <si>
    <t>yes</t>
  </si>
  <si>
    <t xml:space="preserve">Initial costs </t>
  </si>
  <si>
    <t xml:space="preserve">Treatment costs </t>
  </si>
  <si>
    <t xml:space="preserve">Additional costs </t>
  </si>
  <si>
    <t>Recommendation Report No. 1066</t>
  </si>
  <si>
    <t>Intrauterine device levonorgestrel</t>
  </si>
  <si>
    <t>Oral contraceptive</t>
  </si>
  <si>
    <t>Without IUD-LNG</t>
  </si>
  <si>
    <t>With IUD-LNG 5-25%</t>
  </si>
  <si>
    <t>With IUD-LNG 10-50%</t>
  </si>
  <si>
    <t>Epidemiological method</t>
  </si>
  <si>
    <t>Women reproductive age</t>
  </si>
  <si>
    <t>Leiomyoma prevalence</t>
  </si>
  <si>
    <t>FIGO 3-6 (subserosal or intramural)</t>
  </si>
  <si>
    <t>Adequate urterine volume/position</t>
  </si>
  <si>
    <t>Percentage with heavy uterine bleeding</t>
  </si>
  <si>
    <t>Percentage using COCs</t>
  </si>
  <si>
    <t>Acquisiction and insertion cost</t>
  </si>
  <si>
    <t>Ultrasound</t>
  </si>
  <si>
    <t>COC (0.03 mg + 0.15mg)</t>
  </si>
  <si>
    <t>Discontinuation rate</t>
  </si>
  <si>
    <t>Leiomioma presenting with heavy bleeding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</si>
</sst>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quot;R$&quot;\ #,##0;\-&quot;R$&quot;\ #,##0"/>
    <numFmt numFmtId="43" formatCode="_-* #,##0.00_-;\-* #,##0.00_-;_-* &quot;-&quot;??_-;_-@_-"/>
    <numFmt numFmtId="164" formatCode="&quot;R$&quot;\ #,##0.00"/>
    <numFmt numFmtId="165" formatCode="0.000000"/>
    <numFmt numFmtId="166" formatCode="0.0000"/>
    <numFmt numFmtId="167" formatCode="&quot;R$&quot;#,##0.00"/>
    <numFmt numFmtId="168" formatCode="&quot;R$&quot;\ #,##0"/>
    <numFmt numFmtId="169" formatCode="0.000%"/>
    <numFmt numFmtId="170" formatCode="#,##0.000"/>
    <numFmt numFmtId="171" formatCode="_-[$$-409]* #,##0.00_ ;_-[$$-409]* \-#,##0.00\ ;_-[$$-409]* &quot;-&quot;??_ ;_-@_ "/>
    <numFmt numFmtId="172" formatCode="_-[$$-409]* #,##0_ ;_-[$$-409]* \-#,##0\ ;_-[$$-409]* &quot;-&quot;??_ ;_-@_ "/>
    <numFmt numFmtId="173" formatCode="_(* #,##0.00_);_(* \(#,##0.00\);_(* &quot;-&quot;??_);_(@_)"/>
    <numFmt numFmtId="174" formatCode="0.0000000"/>
    <numFmt numFmtId="175" formatCode="[$$-409]#,##0.00"/>
  </numFmts>
  <fonts count="93">
    <font>
      <sz val="11"/>
      <color theme="1"/>
      <name val="Calibri"/>
      <family val="2"/>
      <scheme val="minor"/>
    </font>
    <font>
      <sz val="11"/>
      <color theme="1"/>
      <name val="Calibri"/>
      <family val="2"/>
    </font>
    <font>
      <sz val="8"/>
      <name val="Calibri"/>
      <family val="2"/>
      <scheme val="minor"/>
    </font>
    <font>
      <sz val="11"/>
      <color rgb="FF000000"/>
      <name val="Calibri"/>
      <family val="2"/>
    </font>
    <font>
      <sz val="11"/>
      <color theme="1"/>
      <name val="Calibri"/>
      <family val="2"/>
      <scheme val="minor"/>
    </font>
    <font>
      <b/>
      <sz val="11"/>
      <color rgb="FFFA7D00"/>
      <name val="Calibri"/>
      <family val="2"/>
      <scheme val="minor"/>
    </font>
    <font>
      <sz val="11"/>
      <color theme="1"/>
      <name val="Calibri"/>
      <family val="2"/>
    </font>
    <font>
      <b/>
      <sz val="11"/>
      <color theme="1"/>
      <name val="Calibri"/>
      <family val="2"/>
    </font>
    <font>
      <sz val="10"/>
      <color theme="1"/>
      <name val="Calibri"/>
      <family val="2"/>
    </font>
    <font>
      <sz val="11"/>
      <color rgb="FFFF0000"/>
      <name val="Calibri"/>
      <family val="2"/>
    </font>
    <font>
      <sz val="10"/>
      <name val="Calibri"/>
      <family val="2"/>
    </font>
    <font>
      <sz val="9"/>
      <color theme="1"/>
      <name val="Calibri"/>
      <family val="2"/>
    </font>
    <font>
      <b/>
      <sz val="12"/>
      <color theme="1"/>
      <name val="Calibri"/>
      <family val="2"/>
    </font>
    <font>
      <b/>
      <sz val="11"/>
      <color theme="4" tint="-0.499984740745262"/>
      <name val="Calibri"/>
      <family val="2"/>
    </font>
    <font>
      <b/>
      <sz val="11"/>
      <color theme="0"/>
      <name val="Calibri"/>
      <family val="2"/>
    </font>
    <font>
      <sz val="11"/>
      <name val="Calibri"/>
      <family val="2"/>
    </font>
    <font>
      <sz val="11"/>
      <color theme="0"/>
      <name val="Calibri"/>
      <family val="2"/>
    </font>
    <font>
      <sz val="11"/>
      <color rgb="FF3F3F76"/>
      <name val="Calibri"/>
      <family val="2"/>
      <scheme val="minor"/>
    </font>
    <font>
      <sz val="11"/>
      <color rgb="FF0EB1BA"/>
      <name val="Calibri"/>
      <family val="2"/>
    </font>
    <font>
      <b/>
      <sz val="14"/>
      <color rgb="FF726C5A"/>
      <name val="Calibri"/>
      <family val="2"/>
    </font>
    <font>
      <b/>
      <i/>
      <sz val="14"/>
      <color rgb="FF726C5A"/>
      <name val="Calibri"/>
      <family val="2"/>
    </font>
    <font>
      <b/>
      <sz val="26"/>
      <color rgb="FF0EB1BA"/>
      <name val="Calibri"/>
      <family val="2"/>
    </font>
    <font>
      <i/>
      <sz val="12"/>
      <color rgb="FF726C5A"/>
      <name val="Calibri"/>
      <family val="2"/>
    </font>
    <font>
      <b/>
      <sz val="11"/>
      <color rgb="FF0EB1BA"/>
      <name val="Calibri"/>
      <family val="2"/>
      <scheme val="minor"/>
    </font>
    <font>
      <sz val="11"/>
      <color rgb="FF000000"/>
      <name val="Calibri"/>
      <family val="2"/>
      <scheme val="minor"/>
    </font>
    <font>
      <sz val="11"/>
      <color rgb="FF726C5A"/>
      <name val="Calibri"/>
      <family val="2"/>
    </font>
    <font>
      <sz val="11"/>
      <name val="Calibri"/>
      <family val="2"/>
      <scheme val="minor"/>
    </font>
    <font>
      <i/>
      <sz val="9"/>
      <color theme="8"/>
      <name val="Calibri"/>
      <family val="2"/>
      <scheme val="minor"/>
    </font>
    <font>
      <sz val="1"/>
      <color rgb="FF0EB1BA"/>
      <name val="Calibri"/>
      <family val="2"/>
    </font>
    <font>
      <b/>
      <sz val="11"/>
      <color rgb="FF726C5A"/>
      <name val="Calibri"/>
      <family val="2"/>
      <scheme val="minor"/>
    </font>
    <font>
      <i/>
      <sz val="10"/>
      <color rgb="FF726C5A"/>
      <name val="Calibri"/>
      <family val="2"/>
    </font>
    <font>
      <b/>
      <i/>
      <sz val="12"/>
      <color rgb="FF726C5A"/>
      <name val="Calibri"/>
      <family val="2"/>
    </font>
    <font>
      <b/>
      <i/>
      <sz val="14"/>
      <color theme="4"/>
      <name val="Calibri"/>
      <family val="2"/>
    </font>
    <font>
      <b/>
      <i/>
      <sz val="12"/>
      <color theme="4"/>
      <name val="Calibri"/>
      <family val="2"/>
    </font>
    <font>
      <sz val="14"/>
      <color theme="1"/>
      <name val="Calibri"/>
      <family val="2"/>
    </font>
    <font>
      <sz val="12"/>
      <color theme="1"/>
      <name val="Calibri"/>
      <family val="2"/>
    </font>
    <font>
      <b/>
      <sz val="11"/>
      <name val="Calibri"/>
      <family val="2"/>
      <scheme val="minor"/>
    </font>
    <font>
      <sz val="1"/>
      <name val="Calibri"/>
      <family val="2"/>
    </font>
    <font>
      <b/>
      <sz val="12"/>
      <color rgb="FF0EB1BA"/>
      <name val="Calibri"/>
      <family val="2"/>
      <scheme val="minor"/>
    </font>
    <font>
      <b/>
      <sz val="11"/>
      <color rgb="FF726C5A"/>
      <name val="Calibri"/>
      <family val="2"/>
    </font>
    <font>
      <i/>
      <sz val="14"/>
      <color rgb="FF726C5A"/>
      <name val="Calibri"/>
      <family val="2"/>
    </font>
    <font>
      <sz val="11"/>
      <color rgb="FFFF0000"/>
      <name val="Calibri"/>
      <family val="2"/>
      <scheme val="minor"/>
    </font>
    <font>
      <sz val="1"/>
      <color rgb="FFFF0000"/>
      <name val="Calibri"/>
      <family val="2"/>
    </font>
    <font>
      <i/>
      <sz val="10"/>
      <color theme="8"/>
      <name val="Calibri"/>
      <family val="2"/>
    </font>
    <font>
      <b/>
      <i/>
      <sz val="16"/>
      <color theme="4"/>
      <name val="Calibri"/>
      <family val="2"/>
    </font>
    <font>
      <b/>
      <i/>
      <sz val="11"/>
      <color rgb="FF726C5A"/>
      <name val="Calibri"/>
      <family val="2"/>
    </font>
    <font>
      <i/>
      <sz val="11"/>
      <color theme="1"/>
      <name val="Calibri"/>
      <family val="2"/>
    </font>
    <font>
      <sz val="9"/>
      <color indexed="81"/>
      <name val="Segoe UI"/>
      <family val="2"/>
    </font>
    <font>
      <b/>
      <sz val="9"/>
      <color indexed="81"/>
      <name val="Segoe UI"/>
      <family val="2"/>
    </font>
    <font>
      <b/>
      <sz val="12"/>
      <color theme="1"/>
      <name val="Calibri"/>
      <family val="2"/>
      <scheme val="minor"/>
    </font>
    <font>
      <i/>
      <sz val="10"/>
      <color rgb="FFFF0000"/>
      <name val="Calibri"/>
      <family val="2"/>
    </font>
    <font>
      <b/>
      <i/>
      <sz val="14"/>
      <color theme="0"/>
      <name val="Calibri"/>
      <family val="2"/>
    </font>
    <font>
      <sz val="11"/>
      <color theme="2" tint="-0.249977111117893"/>
      <name val="Calibri"/>
      <family val="2"/>
    </font>
    <font>
      <sz val="12"/>
      <color rgb="FF000000"/>
      <name val="Calibri"/>
      <family val="2"/>
    </font>
    <font>
      <sz val="12"/>
      <name val="Calibri"/>
      <family val="2"/>
    </font>
    <font>
      <sz val="8"/>
      <color theme="1" tint="0.499984740745262"/>
      <name val="Calibri"/>
      <family val="2"/>
    </font>
    <font>
      <i/>
      <sz val="9"/>
      <color theme="1"/>
      <name val="Calibri"/>
      <family val="2"/>
    </font>
    <font>
      <i/>
      <sz val="9"/>
      <color rgb="FF0EB1BA"/>
      <name val="Calibri"/>
      <family val="2"/>
    </font>
    <font>
      <i/>
      <sz val="9"/>
      <color rgb="FF726C5A"/>
      <name val="Calibri"/>
      <family val="2"/>
    </font>
    <font>
      <b/>
      <i/>
      <sz val="14"/>
      <color rgb="FFFF0000"/>
      <name val="Calibri"/>
      <family val="2"/>
    </font>
    <font>
      <b/>
      <sz val="14"/>
      <color theme="3" tint="-0.249977111117893"/>
      <name val="Calibri"/>
      <family val="2"/>
      <scheme val="minor"/>
    </font>
    <font>
      <b/>
      <sz val="14"/>
      <color rgb="FF686A10"/>
      <name val="Calibri"/>
      <family val="2"/>
      <scheme val="minor"/>
    </font>
    <font>
      <b/>
      <i/>
      <sz val="11"/>
      <color theme="8"/>
      <name val="Calibri"/>
      <family val="2"/>
    </font>
    <font>
      <b/>
      <i/>
      <sz val="11"/>
      <color theme="4"/>
      <name val="Calibri"/>
      <family val="2"/>
    </font>
    <font>
      <sz val="10"/>
      <color theme="9"/>
      <name val="Calibri"/>
      <family val="2"/>
    </font>
    <font>
      <b/>
      <i/>
      <sz val="11"/>
      <color theme="1"/>
      <name val="Calibri"/>
      <family val="2"/>
    </font>
    <font>
      <b/>
      <sz val="10"/>
      <color theme="8"/>
      <name val="Calibri"/>
      <family val="2"/>
    </font>
    <font>
      <b/>
      <i/>
      <sz val="10"/>
      <color rgb="FF726C5A"/>
      <name val="Calibri"/>
      <family val="2"/>
    </font>
    <font>
      <b/>
      <sz val="9"/>
      <color rgb="FF000000"/>
      <name val="Segoe UI"/>
      <family val="2"/>
      <charset val="1"/>
    </font>
    <font>
      <sz val="9"/>
      <color rgb="FF000000"/>
      <name val="Segoe UI"/>
      <family val="2"/>
      <charset val="1"/>
    </font>
    <font>
      <b/>
      <sz val="11"/>
      <color theme="4"/>
      <name val="Calibri"/>
      <family val="2"/>
    </font>
    <font>
      <b/>
      <sz val="11"/>
      <color theme="8"/>
      <name val="Calibri (Corpo)"/>
    </font>
    <font>
      <i/>
      <sz val="11"/>
      <color theme="1"/>
      <name val="Calibri"/>
      <family val="2"/>
      <scheme val="minor"/>
    </font>
    <font>
      <b/>
      <sz val="11"/>
      <name val="Calibri"/>
      <family val="2"/>
    </font>
    <font>
      <sz val="11"/>
      <color theme="8"/>
      <name val="Calibri (Corpo)"/>
    </font>
    <font>
      <b/>
      <sz val="13.5"/>
      <color theme="1"/>
      <name val="Calibri"/>
      <family val="2"/>
      <scheme val="minor"/>
    </font>
    <font>
      <b/>
      <sz val="11"/>
      <color theme="1"/>
      <name val="Calibri"/>
      <family val="2"/>
      <scheme val="minor"/>
    </font>
    <font>
      <sz val="10"/>
      <color rgb="FF000000"/>
      <name val="Tahoma"/>
      <family val="2"/>
    </font>
    <font>
      <b/>
      <u/>
      <sz val="11"/>
      <color theme="0"/>
      <name val="Calibri"/>
      <family val="2"/>
    </font>
    <font>
      <b/>
      <sz val="10"/>
      <color rgb="FF000000"/>
      <name val="Tahoma"/>
      <family val="2"/>
    </font>
    <font>
      <b/>
      <sz val="9"/>
      <color rgb="FF000000"/>
      <name val="Calibri"/>
      <family val="2"/>
    </font>
    <font>
      <sz val="9"/>
      <color rgb="FF000000"/>
      <name val="Calibri"/>
      <family val="2"/>
    </font>
    <font>
      <b/>
      <i/>
      <sz val="10"/>
      <color theme="8"/>
      <name val="Calibri"/>
      <family val="2"/>
    </font>
    <font>
      <sz val="11"/>
      <color theme="7"/>
      <name val="Calibri"/>
      <family val="2"/>
    </font>
    <font>
      <b/>
      <sz val="10"/>
      <color rgb="FFC00000"/>
      <name val="Calibri"/>
      <family val="2"/>
    </font>
    <font>
      <b/>
      <sz val="11"/>
      <color theme="5"/>
      <name val="Calibri"/>
      <family val="2"/>
      <scheme val="minor"/>
    </font>
    <font>
      <sz val="12"/>
      <color theme="1"/>
      <name val="Calibri"/>
      <family val="2"/>
      <scheme val="minor"/>
    </font>
    <font>
      <i/>
      <sz val="9"/>
      <color rgb="FFF8F1DF"/>
      <name val="Calibri"/>
      <family val="2"/>
    </font>
    <font>
      <b/>
      <i/>
      <sz val="14"/>
      <color rgb="FFF8F1DF"/>
      <name val="Calibri"/>
      <family val="2"/>
      <scheme val="minor"/>
    </font>
    <font>
      <sz val="11"/>
      <color rgb="FFF8F1DF"/>
      <name val="Calibri"/>
      <family val="2"/>
      <scheme val="minor"/>
    </font>
    <font>
      <sz val="11"/>
      <color rgb="FFF8F1DF"/>
      <name val="Calibri"/>
      <family val="2"/>
    </font>
    <font>
      <b/>
      <sz val="12"/>
      <color rgb="FF726C5A"/>
      <name val="Calibri"/>
      <family val="2"/>
    </font>
    <font>
      <sz val="10"/>
      <color rgb="FFFF0000"/>
      <name val="Calibri"/>
      <family val="2"/>
    </font>
  </fonts>
  <fills count="14">
    <fill>
      <patternFill patternType="none"/>
    </fill>
    <fill>
      <patternFill patternType="gray125"/>
    </fill>
    <fill>
      <patternFill patternType="solid">
        <fgColor theme="0"/>
        <bgColor indexed="64"/>
      </patternFill>
    </fill>
    <fill>
      <patternFill patternType="solid">
        <fgColor rgb="FFF2F2F2"/>
      </patternFill>
    </fill>
    <fill>
      <patternFill patternType="solid">
        <fgColor rgb="FFF8F1DF"/>
        <bgColor indexed="64"/>
      </patternFill>
    </fill>
    <fill>
      <patternFill patternType="solid">
        <fgColor rgb="FF726C5A"/>
        <bgColor indexed="64"/>
      </patternFill>
    </fill>
    <fill>
      <patternFill patternType="solid">
        <fgColor theme="5"/>
        <bgColor indexed="64"/>
      </patternFill>
    </fill>
    <fill>
      <patternFill patternType="solid">
        <fgColor theme="8"/>
        <bgColor indexed="64"/>
      </patternFill>
    </fill>
    <fill>
      <patternFill patternType="solid">
        <fgColor rgb="FF0EB1BA"/>
        <bgColor indexed="64"/>
      </patternFill>
    </fill>
    <fill>
      <patternFill patternType="solid">
        <fgColor theme="0" tint="-4.9989318521683403E-2"/>
        <bgColor indexed="64"/>
      </patternFill>
    </fill>
    <fill>
      <patternFill patternType="solid">
        <fgColor theme="2"/>
        <bgColor indexed="64"/>
      </patternFill>
    </fill>
    <fill>
      <patternFill patternType="solid">
        <fgColor theme="3" tint="-0.249977111117893"/>
        <bgColor indexed="64"/>
      </patternFill>
    </fill>
    <fill>
      <patternFill patternType="solid">
        <fgColor rgb="FF686A10"/>
        <bgColor indexed="64"/>
      </patternFill>
    </fill>
    <fill>
      <patternFill patternType="solid">
        <fgColor rgb="FF1F6180"/>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dotted">
        <color rgb="FF726C5A"/>
      </left>
      <right style="dotted">
        <color rgb="FF726C5A"/>
      </right>
      <top style="dotted">
        <color rgb="FF726C5A"/>
      </top>
      <bottom style="dotted">
        <color rgb="FF726C5A"/>
      </bottom>
      <diagonal/>
    </border>
    <border>
      <left/>
      <right/>
      <top style="dotted">
        <color rgb="FF726C5A"/>
      </top>
      <bottom/>
      <diagonal/>
    </border>
    <border>
      <left style="dotted">
        <color rgb="FF726C5A"/>
      </left>
      <right style="thin">
        <color indexed="64"/>
      </right>
      <top style="dotted">
        <color rgb="FF726C5A"/>
      </top>
      <bottom style="dotted">
        <color rgb="FF726C5A"/>
      </bottom>
      <diagonal/>
    </border>
    <border>
      <left style="thin">
        <color indexed="64"/>
      </left>
      <right style="thin">
        <color indexed="64"/>
      </right>
      <top style="dotted">
        <color rgb="FF726C5A"/>
      </top>
      <bottom style="dotted">
        <color rgb="FF726C5A"/>
      </bottom>
      <diagonal/>
    </border>
    <border>
      <left style="thin">
        <color indexed="64"/>
      </left>
      <right style="dotted">
        <color rgb="FF726C5A"/>
      </right>
      <top style="dotted">
        <color rgb="FF726C5A"/>
      </top>
      <bottom style="dotted">
        <color rgb="FF726C5A"/>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dotted">
        <color rgb="FF726C5A"/>
      </left>
      <right/>
      <top style="dotted">
        <color rgb="FF726C5A"/>
      </top>
      <bottom style="dotted">
        <color rgb="FF726C5A"/>
      </bottom>
      <diagonal/>
    </border>
    <border>
      <left/>
      <right style="dotted">
        <color rgb="FF726C5A"/>
      </right>
      <top style="dotted">
        <color rgb="FF726C5A"/>
      </top>
      <bottom style="dotted">
        <color rgb="FF726C5A"/>
      </bottom>
      <diagonal/>
    </border>
    <border>
      <left style="thin">
        <color theme="0"/>
      </left>
      <right/>
      <top/>
      <bottom/>
      <diagonal/>
    </border>
    <border>
      <left/>
      <right/>
      <top style="dotted">
        <color rgb="FF726C5A"/>
      </top>
      <bottom style="dotted">
        <color rgb="FF726C5A"/>
      </bottom>
      <diagonal/>
    </border>
    <border>
      <left/>
      <right/>
      <top style="thin">
        <color theme="0"/>
      </top>
      <bottom/>
      <diagonal/>
    </border>
    <border>
      <left style="thin">
        <color theme="0"/>
      </left>
      <right style="thin">
        <color theme="0"/>
      </right>
      <top/>
      <bottom style="thin">
        <color theme="0"/>
      </bottom>
      <diagonal/>
    </border>
    <border>
      <left/>
      <right style="thin">
        <color theme="0"/>
      </right>
      <top/>
      <bottom/>
      <diagonal/>
    </border>
    <border>
      <left style="thin">
        <color theme="0"/>
      </left>
      <right/>
      <top style="thin">
        <color theme="0"/>
      </top>
      <bottom style="thin">
        <color indexed="64"/>
      </bottom>
      <diagonal/>
    </border>
    <border>
      <left/>
      <right/>
      <top style="thin">
        <color theme="0"/>
      </top>
      <bottom style="thin">
        <color indexed="64"/>
      </bottom>
      <diagonal/>
    </border>
    <border>
      <left/>
      <right/>
      <top/>
      <bottom style="dotted">
        <color rgb="FF726C5A"/>
      </bottom>
      <diagonal/>
    </border>
    <border>
      <left style="dotted">
        <color rgb="FF726C5A"/>
      </left>
      <right/>
      <top style="thin">
        <color theme="0"/>
      </top>
      <bottom style="thin">
        <color indexed="64"/>
      </bottom>
      <diagonal/>
    </border>
    <border>
      <left/>
      <right style="thin">
        <color theme="0"/>
      </right>
      <top/>
      <bottom style="dotted">
        <color rgb="FF726C5A"/>
      </bottom>
      <diagonal/>
    </border>
    <border>
      <left style="dotted">
        <color rgb="FF726C5A"/>
      </left>
      <right/>
      <top/>
      <bottom/>
      <diagonal/>
    </border>
    <border>
      <left/>
      <right style="dotted">
        <color rgb="FF726C5A"/>
      </right>
      <top/>
      <bottom/>
      <diagonal/>
    </border>
    <border>
      <left/>
      <right style="dotted">
        <color rgb="FF726C5A"/>
      </right>
      <top style="dotted">
        <color rgb="FF726C5A"/>
      </top>
      <bottom/>
      <diagonal/>
    </border>
    <border>
      <left style="dotted">
        <color rgb="FF726C5A"/>
      </left>
      <right/>
      <top style="dotted">
        <color rgb="FF726C5A"/>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bottom style="medium">
        <color theme="8"/>
      </bottom>
      <diagonal/>
    </border>
    <border>
      <left style="dotted">
        <color rgb="FF726C5A"/>
      </left>
      <right style="dotted">
        <color rgb="FF726C5A"/>
      </right>
      <top/>
      <bottom style="dotted">
        <color rgb="FF726C5A"/>
      </bottom>
      <diagonal/>
    </border>
    <border>
      <left style="thin">
        <color theme="0"/>
      </left>
      <right style="thin">
        <color theme="0"/>
      </right>
      <top style="thin">
        <color theme="0"/>
      </top>
      <bottom style="medium">
        <color theme="8"/>
      </bottom>
      <diagonal/>
    </border>
    <border>
      <left style="dotted">
        <color rgb="FF726C5A"/>
      </left>
      <right style="dotted">
        <color rgb="FF726C5A"/>
      </right>
      <top style="dotted">
        <color rgb="FF726C5A"/>
      </top>
      <bottom style="medium">
        <color theme="8"/>
      </bottom>
      <diagonal/>
    </border>
    <border>
      <left style="dotted">
        <color indexed="64"/>
      </left>
      <right style="dotted">
        <color indexed="64"/>
      </right>
      <top style="dotted">
        <color indexed="64"/>
      </top>
      <bottom style="dotted">
        <color indexed="64"/>
      </bottom>
      <diagonal/>
    </border>
    <border>
      <left/>
      <right style="dotted">
        <color rgb="FF726C5A"/>
      </right>
      <top/>
      <bottom style="dotted">
        <color rgb="FF726C5A"/>
      </bottom>
      <diagonal/>
    </border>
    <border>
      <left style="dotted">
        <color indexed="64"/>
      </left>
      <right/>
      <top style="dotted">
        <color indexed="64"/>
      </top>
      <bottom style="dotted">
        <color indexed="64"/>
      </bottom>
      <diagonal/>
    </border>
    <border>
      <left/>
      <right/>
      <top style="dotted">
        <color indexed="64"/>
      </top>
      <bottom style="dotted">
        <color indexed="64"/>
      </bottom>
      <diagonal/>
    </border>
    <border>
      <left/>
      <right style="dotted">
        <color indexed="64"/>
      </right>
      <top style="dotted">
        <color indexed="64"/>
      </top>
      <bottom style="dotted">
        <color indexed="64"/>
      </bottom>
      <diagonal/>
    </border>
    <border>
      <left style="thin">
        <color theme="0"/>
      </left>
      <right style="thin">
        <color theme="0"/>
      </right>
      <top style="thin">
        <color theme="0"/>
      </top>
      <bottom/>
      <diagonal/>
    </border>
    <border>
      <left style="dotted">
        <color indexed="64"/>
      </left>
      <right/>
      <top/>
      <bottom/>
      <diagonal/>
    </border>
    <border>
      <left/>
      <right/>
      <top style="thin">
        <color rgb="FF726C5A"/>
      </top>
      <bottom/>
      <diagonal/>
    </border>
    <border>
      <left/>
      <right/>
      <top/>
      <bottom style="medium">
        <color rgb="FF726C5A"/>
      </bottom>
      <diagonal/>
    </border>
    <border>
      <left style="medium">
        <color rgb="FF726C5A"/>
      </left>
      <right/>
      <top style="medium">
        <color rgb="FF726C5A"/>
      </top>
      <bottom/>
      <diagonal/>
    </border>
    <border>
      <left/>
      <right/>
      <top style="medium">
        <color rgb="FF726C5A"/>
      </top>
      <bottom/>
      <diagonal/>
    </border>
    <border>
      <left/>
      <right style="medium">
        <color rgb="FF726C5A"/>
      </right>
      <top style="medium">
        <color rgb="FF726C5A"/>
      </top>
      <bottom/>
      <diagonal/>
    </border>
    <border>
      <left style="medium">
        <color rgb="FF726C5A"/>
      </left>
      <right/>
      <top/>
      <bottom/>
      <diagonal/>
    </border>
    <border>
      <left/>
      <right style="medium">
        <color rgb="FF726C5A"/>
      </right>
      <top/>
      <bottom/>
      <diagonal/>
    </border>
    <border>
      <left style="medium">
        <color rgb="FF726C5A"/>
      </left>
      <right/>
      <top/>
      <bottom style="medium">
        <color rgb="FF726C5A"/>
      </bottom>
      <diagonal/>
    </border>
    <border>
      <left/>
      <right style="medium">
        <color rgb="FF726C5A"/>
      </right>
      <top/>
      <bottom style="medium">
        <color rgb="FF726C5A"/>
      </bottom>
      <diagonal/>
    </border>
    <border>
      <left style="dotted">
        <color rgb="FF726C5A"/>
      </left>
      <right/>
      <top style="thin">
        <color theme="0"/>
      </top>
      <bottom style="dotted">
        <color rgb="FF726C5A"/>
      </bottom>
      <diagonal/>
    </border>
    <border>
      <left/>
      <right style="dotted">
        <color rgb="FF726C5A"/>
      </right>
      <top style="thin">
        <color theme="0"/>
      </top>
      <bottom style="dotted">
        <color rgb="FF726C5A"/>
      </bottom>
      <diagonal/>
    </border>
  </borders>
  <cellStyleXfs count="7">
    <xf numFmtId="0" fontId="0" fillId="0" borderId="0"/>
    <xf numFmtId="9" fontId="4" fillId="0" borderId="0" applyFont="0" applyFill="0" applyBorder="0" applyAlignment="0" applyProtection="0"/>
    <xf numFmtId="43" fontId="4" fillId="0" borderId="0" applyFont="0" applyFill="0" applyBorder="0" applyAlignment="0" applyProtection="0"/>
    <xf numFmtId="0" fontId="5" fillId="3" borderId="14" applyNumberFormat="0" applyAlignment="0" applyProtection="0"/>
    <xf numFmtId="0" fontId="17" fillId="4" borderId="15" applyNumberFormat="0" applyAlignment="0" applyProtection="0"/>
    <xf numFmtId="0" fontId="86" fillId="0" borderId="0"/>
    <xf numFmtId="173" fontId="86" fillId="0" borderId="0" applyFont="0" applyFill="0" applyBorder="0" applyAlignment="0" applyProtection="0"/>
  </cellStyleXfs>
  <cellXfs count="514">
    <xf numFmtId="0" fontId="0" fillId="0" borderId="0" xfId="0"/>
    <xf numFmtId="0" fontId="6" fillId="0" borderId="0" xfId="0" applyFont="1" applyProtection="1">
      <protection locked="0"/>
    </xf>
    <xf numFmtId="0" fontId="8" fillId="2" borderId="0" xfId="0" applyFont="1" applyFill="1"/>
    <xf numFmtId="0" fontId="6" fillId="0" borderId="0" xfId="0" applyFont="1"/>
    <xf numFmtId="0" fontId="9" fillId="0" borderId="0" xfId="0" applyFont="1"/>
    <xf numFmtId="0" fontId="9" fillId="0" borderId="13" xfId="0" applyFont="1" applyBorder="1" applyAlignment="1">
      <alignment horizontal="left"/>
    </xf>
    <xf numFmtId="0" fontId="1" fillId="2" borderId="0" xfId="0" applyFont="1" applyFill="1" applyProtection="1">
      <protection locked="0"/>
    </xf>
    <xf numFmtId="0" fontId="1" fillId="2" borderId="0" xfId="0" applyFont="1" applyFill="1"/>
    <xf numFmtId="0" fontId="1" fillId="0" borderId="0" xfId="0" applyFont="1" applyProtection="1">
      <protection locked="0"/>
    </xf>
    <xf numFmtId="0" fontId="1" fillId="0" borderId="0" xfId="0" applyFont="1"/>
    <xf numFmtId="0" fontId="1" fillId="0" borderId="0" xfId="0" applyFont="1" applyAlignment="1">
      <alignment horizontal="right"/>
    </xf>
    <xf numFmtId="0" fontId="1" fillId="0" borderId="0" xfId="0" applyFont="1" applyAlignment="1">
      <alignment horizontal="center"/>
    </xf>
    <xf numFmtId="168" fontId="1" fillId="0" borderId="0" xfId="2" applyNumberFormat="1" applyFont="1" applyBorder="1" applyAlignment="1" applyProtection="1">
      <alignment horizontal="center"/>
      <protection locked="0"/>
    </xf>
    <xf numFmtId="0" fontId="7" fillId="0" borderId="0" xfId="0" applyFont="1" applyAlignment="1" applyProtection="1">
      <alignment horizontal="center"/>
      <protection locked="0"/>
    </xf>
    <xf numFmtId="0" fontId="1" fillId="0" borderId="0" xfId="0" applyFont="1" applyAlignment="1">
      <alignment horizontal="left"/>
    </xf>
    <xf numFmtId="0" fontId="1" fillId="0" borderId="0" xfId="0" applyFont="1" applyAlignment="1" applyProtection="1">
      <alignment wrapText="1"/>
      <protection locked="0"/>
    </xf>
    <xf numFmtId="0" fontId="8" fillId="0" borderId="0" xfId="0" applyFont="1"/>
    <xf numFmtId="0" fontId="8" fillId="0" borderId="0" xfId="0" applyFont="1" applyProtection="1">
      <protection locked="0"/>
    </xf>
    <xf numFmtId="0" fontId="6" fillId="4" borderId="0" xfId="0" applyFont="1" applyFill="1" applyProtection="1">
      <protection locked="0"/>
    </xf>
    <xf numFmtId="0" fontId="1" fillId="4" borderId="0" xfId="0" applyFont="1" applyFill="1" applyProtection="1">
      <protection locked="0"/>
    </xf>
    <xf numFmtId="0" fontId="7" fillId="4" borderId="0" xfId="0" applyFont="1" applyFill="1" applyProtection="1">
      <protection locked="0"/>
    </xf>
    <xf numFmtId="0" fontId="20" fillId="4" borderId="0" xfId="0" applyFont="1" applyFill="1" applyProtection="1">
      <protection locked="0"/>
    </xf>
    <xf numFmtId="0" fontId="21" fillId="4" borderId="0" xfId="0" applyFont="1" applyFill="1" applyProtection="1">
      <protection locked="0"/>
    </xf>
    <xf numFmtId="0" fontId="23" fillId="0" borderId="0" xfId="0" applyFont="1"/>
    <xf numFmtId="0" fontId="24" fillId="0" borderId="0" xfId="0" applyFont="1"/>
    <xf numFmtId="0" fontId="1" fillId="4" borderId="0" xfId="0" applyFont="1" applyFill="1" applyAlignment="1" applyProtection="1">
      <alignment horizontal="center"/>
      <protection locked="0"/>
    </xf>
    <xf numFmtId="0" fontId="1" fillId="0" borderId="0" xfId="0" applyFont="1" applyAlignment="1" applyProtection="1">
      <alignment horizontal="center"/>
      <protection locked="0"/>
    </xf>
    <xf numFmtId="0" fontId="6" fillId="0" borderId="0" xfId="0" applyFont="1" applyAlignment="1" applyProtection="1">
      <alignment horizontal="center"/>
      <protection locked="0"/>
    </xf>
    <xf numFmtId="0" fontId="8" fillId="0" borderId="0" xfId="0" applyFont="1" applyAlignment="1">
      <alignment horizontal="center"/>
    </xf>
    <xf numFmtId="0" fontId="8" fillId="0" borderId="0" xfId="0" applyFont="1" applyAlignment="1" applyProtection="1">
      <alignment horizontal="center"/>
      <protection locked="0"/>
    </xf>
    <xf numFmtId="0" fontId="22" fillId="4" borderId="0" xfId="0" applyFont="1" applyFill="1" applyAlignment="1" applyProtection="1">
      <alignment horizontal="left"/>
      <protection locked="0"/>
    </xf>
    <xf numFmtId="0" fontId="1" fillId="0" borderId="0" xfId="0" applyFont="1" applyAlignment="1" applyProtection="1">
      <alignment vertical="center"/>
      <protection locked="0"/>
    </xf>
    <xf numFmtId="0" fontId="1" fillId="0" borderId="0" xfId="0" applyFont="1" applyAlignment="1" applyProtection="1">
      <alignment horizontal="center" vertical="center"/>
      <protection locked="0"/>
    </xf>
    <xf numFmtId="0" fontId="6" fillId="4" borderId="0" xfId="0" applyFont="1" applyFill="1" applyAlignment="1" applyProtection="1">
      <alignment vertical="center"/>
      <protection locked="0"/>
    </xf>
    <xf numFmtId="0" fontId="21" fillId="4" borderId="0" xfId="0" applyFont="1" applyFill="1" applyAlignment="1" applyProtection="1">
      <alignment vertical="center"/>
      <protection locked="0"/>
    </xf>
    <xf numFmtId="0" fontId="1" fillId="4" borderId="0" xfId="0" applyFont="1" applyFill="1" applyAlignment="1" applyProtection="1">
      <alignment horizontal="center" vertical="center"/>
      <protection locked="0"/>
    </xf>
    <xf numFmtId="0" fontId="1" fillId="4" borderId="0" xfId="0" applyFont="1" applyFill="1" applyAlignment="1" applyProtection="1">
      <alignment vertical="center"/>
      <protection locked="0"/>
    </xf>
    <xf numFmtId="0" fontId="20" fillId="4" borderId="0" xfId="0" applyFont="1" applyFill="1" applyAlignment="1" applyProtection="1">
      <alignment vertical="center"/>
      <protection locked="0"/>
    </xf>
    <xf numFmtId="0" fontId="22" fillId="4" borderId="0" xfId="0" applyFont="1" applyFill="1" applyAlignment="1" applyProtection="1">
      <alignment horizontal="left" vertical="center"/>
      <protection locked="0"/>
    </xf>
    <xf numFmtId="0" fontId="7" fillId="4" borderId="0" xfId="0" applyFont="1" applyFill="1" applyAlignment="1" applyProtection="1">
      <alignment vertical="center"/>
      <protection locked="0"/>
    </xf>
    <xf numFmtId="0" fontId="18" fillId="0" borderId="0" xfId="0" applyFont="1" applyAlignment="1" applyProtection="1">
      <alignment vertical="center"/>
      <protection locked="0"/>
    </xf>
    <xf numFmtId="0" fontId="18" fillId="0" borderId="0" xfId="0" applyFont="1" applyAlignment="1" applyProtection="1">
      <alignment horizontal="center" vertical="center"/>
      <protection locked="0"/>
    </xf>
    <xf numFmtId="0" fontId="23" fillId="0" borderId="0" xfId="0" applyFont="1" applyAlignment="1">
      <alignment horizontal="right" vertical="center"/>
    </xf>
    <xf numFmtId="0" fontId="27" fillId="0" borderId="0" xfId="0" applyFont="1" applyAlignment="1">
      <alignment vertical="center"/>
    </xf>
    <xf numFmtId="0" fontId="26" fillId="4" borderId="15" xfId="4" applyFont="1" applyAlignment="1" applyProtection="1">
      <alignment horizontal="center" vertical="center"/>
      <protection locked="0"/>
    </xf>
    <xf numFmtId="0" fontId="28" fillId="5" borderId="0" xfId="0" applyFont="1" applyFill="1" applyProtection="1">
      <protection locked="0"/>
    </xf>
    <xf numFmtId="0" fontId="28" fillId="5" borderId="0" xfId="0" applyFont="1" applyFill="1" applyAlignment="1" applyProtection="1">
      <alignment horizontal="center"/>
      <protection locked="0"/>
    </xf>
    <xf numFmtId="0" fontId="20" fillId="0" borderId="0" xfId="0" applyFont="1" applyAlignment="1" applyProtection="1">
      <alignment vertical="center"/>
      <protection locked="0"/>
    </xf>
    <xf numFmtId="0" fontId="29" fillId="0" borderId="0" xfId="0" applyFont="1" applyAlignment="1">
      <alignment horizontal="right" vertical="center"/>
    </xf>
    <xf numFmtId="0" fontId="1" fillId="4" borderId="15" xfId="0" applyFont="1" applyFill="1" applyBorder="1" applyAlignment="1" applyProtection="1">
      <alignment horizontal="center"/>
      <protection locked="0"/>
    </xf>
    <xf numFmtId="9" fontId="26" fillId="4" borderId="15" xfId="1" applyFont="1" applyFill="1" applyBorder="1" applyAlignment="1" applyProtection="1">
      <alignment horizontal="center" vertical="center"/>
      <protection locked="0"/>
    </xf>
    <xf numFmtId="9" fontId="26" fillId="6" borderId="15" xfId="1" applyFont="1" applyFill="1" applyBorder="1" applyAlignment="1" applyProtection="1">
      <alignment horizontal="center" vertical="center"/>
      <protection locked="0"/>
    </xf>
    <xf numFmtId="0" fontId="14" fillId="7" borderId="20" xfId="0" applyFont="1" applyFill="1" applyBorder="1" applyAlignment="1" applyProtection="1">
      <alignment horizontal="center"/>
      <protection locked="0"/>
    </xf>
    <xf numFmtId="3" fontId="26" fillId="4" borderId="15" xfId="1" applyNumberFormat="1" applyFont="1" applyFill="1" applyBorder="1" applyAlignment="1" applyProtection="1">
      <alignment horizontal="center" vertical="center"/>
      <protection locked="0"/>
    </xf>
    <xf numFmtId="3" fontId="26" fillId="6" borderId="15" xfId="1" applyNumberFormat="1" applyFont="1" applyFill="1" applyBorder="1" applyAlignment="1" applyProtection="1">
      <alignment horizontal="center" vertical="center"/>
      <protection locked="0"/>
    </xf>
    <xf numFmtId="0" fontId="15" fillId="4" borderId="0" xfId="0" applyFont="1" applyFill="1" applyAlignment="1" applyProtection="1">
      <alignment vertical="center"/>
      <protection locked="0"/>
    </xf>
    <xf numFmtId="0" fontId="37" fillId="5" borderId="0" xfId="0" applyFont="1" applyFill="1" applyProtection="1">
      <protection locked="0"/>
    </xf>
    <xf numFmtId="0" fontId="20" fillId="0" borderId="0" xfId="0" applyFont="1" applyAlignment="1" applyProtection="1">
      <alignment horizontal="right" vertical="center"/>
      <protection locked="0"/>
    </xf>
    <xf numFmtId="0" fontId="1" fillId="0" borderId="16" xfId="0" applyFont="1" applyBorder="1" applyProtection="1">
      <protection locked="0"/>
    </xf>
    <xf numFmtId="164" fontId="26" fillId="4" borderId="15" xfId="1" applyNumberFormat="1" applyFont="1" applyFill="1" applyBorder="1" applyAlignment="1" applyProtection="1">
      <alignment horizontal="center" vertical="center"/>
      <protection locked="0"/>
    </xf>
    <xf numFmtId="164" fontId="26" fillId="6" borderId="15" xfId="1" applyNumberFormat="1" applyFont="1" applyFill="1" applyBorder="1" applyAlignment="1" applyProtection="1">
      <alignment horizontal="center" vertical="center"/>
      <protection locked="0"/>
    </xf>
    <xf numFmtId="9" fontId="26" fillId="4" borderId="24" xfId="1" applyFont="1" applyFill="1" applyBorder="1" applyAlignment="1" applyProtection="1">
      <alignment horizontal="center" vertical="center"/>
      <protection locked="0"/>
    </xf>
    <xf numFmtId="2" fontId="26" fillId="4" borderId="15" xfId="1" applyNumberFormat="1" applyFont="1" applyFill="1" applyBorder="1" applyAlignment="1" applyProtection="1">
      <alignment horizontal="center" vertical="center"/>
      <protection locked="0"/>
    </xf>
    <xf numFmtId="0" fontId="23" fillId="0" borderId="0" xfId="0" applyFont="1" applyAlignment="1">
      <alignment horizontal="right" vertical="center" wrapText="1"/>
    </xf>
    <xf numFmtId="0" fontId="23" fillId="0" borderId="16" xfId="0" applyFont="1" applyBorder="1" applyAlignment="1">
      <alignment horizontal="right" vertical="center" wrapText="1"/>
    </xf>
    <xf numFmtId="0" fontId="1" fillId="2" borderId="16" xfId="0" applyFont="1" applyFill="1" applyBorder="1"/>
    <xf numFmtId="0" fontId="25" fillId="0" borderId="0" xfId="0" applyFont="1" applyAlignment="1" applyProtection="1">
      <alignment horizontal="center" vertical="center"/>
      <protection locked="0"/>
    </xf>
    <xf numFmtId="0" fontId="6" fillId="4" borderId="0" xfId="0" applyFont="1" applyFill="1" applyAlignment="1" applyProtection="1">
      <alignment horizontal="center" vertical="center"/>
      <protection locked="0"/>
    </xf>
    <xf numFmtId="9" fontId="26" fillId="4" borderId="37" xfId="1" applyFont="1" applyFill="1" applyBorder="1" applyAlignment="1" applyProtection="1">
      <alignment horizontal="center" vertical="center"/>
      <protection locked="0"/>
    </xf>
    <xf numFmtId="9" fontId="26" fillId="4" borderId="16" xfId="1" applyFont="1" applyFill="1" applyBorder="1" applyAlignment="1" applyProtection="1">
      <alignment horizontal="center" vertical="center"/>
      <protection locked="0"/>
    </xf>
    <xf numFmtId="9" fontId="26" fillId="4" borderId="26" xfId="1" applyFont="1" applyFill="1" applyBorder="1" applyAlignment="1" applyProtection="1">
      <alignment horizontal="center" vertical="center"/>
      <protection locked="0"/>
    </xf>
    <xf numFmtId="0" fontId="25" fillId="0" borderId="0" xfId="0" applyFont="1" applyAlignment="1" applyProtection="1">
      <alignment horizontal="center" vertical="center" textRotation="180"/>
      <protection locked="0"/>
    </xf>
    <xf numFmtId="0" fontId="21" fillId="4" borderId="0" xfId="0" applyFont="1" applyFill="1" applyAlignment="1" applyProtection="1">
      <alignment horizontal="center" vertical="center"/>
      <protection locked="0"/>
    </xf>
    <xf numFmtId="0" fontId="25" fillId="4" borderId="0" xfId="0" applyFont="1" applyFill="1" applyAlignment="1" applyProtection="1">
      <alignment horizontal="center" vertical="center" textRotation="180"/>
      <protection locked="0"/>
    </xf>
    <xf numFmtId="0" fontId="18" fillId="5" borderId="0" xfId="0" applyFont="1" applyFill="1" applyAlignment="1" applyProtection="1">
      <alignment horizontal="center" vertical="center"/>
      <protection locked="0"/>
    </xf>
    <xf numFmtId="0" fontId="25" fillId="5" borderId="0" xfId="0" applyFont="1" applyFill="1" applyAlignment="1" applyProtection="1">
      <alignment horizontal="center" vertical="center" textRotation="180"/>
      <protection locked="0"/>
    </xf>
    <xf numFmtId="0" fontId="44" fillId="0" borderId="0" xfId="0" applyFont="1" applyAlignment="1">
      <alignment horizontal="center" vertical="center"/>
    </xf>
    <xf numFmtId="0" fontId="25" fillId="0" borderId="0" xfId="0" applyFont="1" applyAlignment="1">
      <alignment horizontal="center" vertical="center" textRotation="180"/>
    </xf>
    <xf numFmtId="0" fontId="31" fillId="0" borderId="0" xfId="0" applyFont="1" applyAlignment="1">
      <alignment horizontal="center" vertical="center"/>
    </xf>
    <xf numFmtId="0" fontId="6" fillId="0" borderId="0" xfId="0" applyFont="1" applyAlignment="1">
      <alignment horizontal="center" vertical="center"/>
    </xf>
    <xf numFmtId="3" fontId="1" fillId="0" borderId="0" xfId="0" applyNumberFormat="1" applyFont="1" applyAlignment="1">
      <alignment horizontal="center" vertical="center"/>
    </xf>
    <xf numFmtId="0" fontId="6" fillId="0" borderId="16" xfId="0" applyFont="1" applyBorder="1" applyAlignment="1">
      <alignment horizontal="center" vertical="center"/>
    </xf>
    <xf numFmtId="0" fontId="25" fillId="0" borderId="16" xfId="0" applyFont="1" applyBorder="1" applyAlignment="1">
      <alignment horizontal="center" vertical="center" textRotation="180"/>
    </xf>
    <xf numFmtId="0" fontId="1" fillId="0" borderId="0" xfId="0" applyFont="1" applyAlignment="1">
      <alignment horizontal="center" vertical="center"/>
    </xf>
    <xf numFmtId="0" fontId="1" fillId="0" borderId="8" xfId="0" applyFont="1" applyBorder="1" applyAlignment="1">
      <alignment horizontal="center" vertical="center"/>
    </xf>
    <xf numFmtId="0" fontId="1" fillId="0" borderId="2" xfId="0" applyFont="1" applyBorder="1" applyAlignment="1">
      <alignment horizontal="center" vertical="center"/>
    </xf>
    <xf numFmtId="167" fontId="7" fillId="0" borderId="0" xfId="0" applyNumberFormat="1" applyFont="1" applyAlignment="1">
      <alignment horizontal="center" vertical="center"/>
    </xf>
    <xf numFmtId="3" fontId="1" fillId="0" borderId="8" xfId="0" applyNumberFormat="1" applyFont="1" applyBorder="1" applyAlignment="1">
      <alignment horizontal="center" vertical="center"/>
    </xf>
    <xf numFmtId="3" fontId="1" fillId="0" borderId="9" xfId="0" applyNumberFormat="1" applyFont="1" applyBorder="1" applyAlignment="1">
      <alignment horizontal="center" vertical="center"/>
    </xf>
    <xf numFmtId="3" fontId="1" fillId="0" borderId="2" xfId="0" applyNumberFormat="1" applyFont="1" applyBorder="1" applyAlignment="1">
      <alignment horizontal="center" vertical="center"/>
    </xf>
    <xf numFmtId="3" fontId="7" fillId="0" borderId="3" xfId="0" applyNumberFormat="1" applyFont="1" applyBorder="1" applyAlignment="1">
      <alignment horizontal="center" vertical="center"/>
    </xf>
    <xf numFmtId="3" fontId="7" fillId="0" borderId="4" xfId="0" applyNumberFormat="1" applyFont="1" applyBorder="1" applyAlignment="1">
      <alignment horizontal="center" vertical="center"/>
    </xf>
    <xf numFmtId="3" fontId="7" fillId="0" borderId="0" xfId="0" applyNumberFormat="1" applyFont="1" applyAlignment="1">
      <alignment horizontal="center" vertical="center"/>
    </xf>
    <xf numFmtId="0" fontId="14" fillId="5" borderId="1" xfId="0" applyFont="1" applyFill="1" applyBorder="1" applyAlignment="1">
      <alignment horizontal="center"/>
    </xf>
    <xf numFmtId="3" fontId="7" fillId="0" borderId="2" xfId="0" applyNumberFormat="1" applyFont="1" applyBorder="1" applyAlignment="1">
      <alignment horizontal="center" vertical="center"/>
    </xf>
    <xf numFmtId="3" fontId="25" fillId="0" borderId="4" xfId="0" applyNumberFormat="1" applyFont="1" applyBorder="1" applyAlignment="1">
      <alignment horizontal="center" vertical="center" textRotation="180"/>
    </xf>
    <xf numFmtId="3" fontId="25" fillId="0" borderId="0" xfId="0" applyNumberFormat="1" applyFont="1" applyAlignment="1">
      <alignment horizontal="center" vertical="center" textRotation="180"/>
    </xf>
    <xf numFmtId="3" fontId="6" fillId="0" borderId="0" xfId="0" applyNumberFormat="1" applyFont="1" applyAlignment="1">
      <alignment horizontal="center" vertical="center"/>
    </xf>
    <xf numFmtId="3" fontId="7" fillId="0" borderId="5" xfId="0" applyNumberFormat="1" applyFont="1" applyBorder="1" applyAlignment="1">
      <alignment horizontal="center" vertical="center"/>
    </xf>
    <xf numFmtId="3" fontId="7" fillId="0" borderId="8" xfId="0" applyNumberFormat="1" applyFont="1" applyBorder="1" applyAlignment="1">
      <alignment horizontal="center" vertical="center"/>
    </xf>
    <xf numFmtId="3" fontId="7" fillId="0" borderId="10" xfId="0" applyNumberFormat="1" applyFont="1" applyBorder="1" applyAlignment="1">
      <alignment horizontal="center" vertical="center"/>
    </xf>
    <xf numFmtId="0" fontId="39" fillId="0" borderId="0" xfId="0" applyFont="1" applyAlignment="1">
      <alignment horizontal="center" vertical="center"/>
    </xf>
    <xf numFmtId="0" fontId="39" fillId="0" borderId="9" xfId="0" applyFont="1" applyBorder="1" applyAlignment="1">
      <alignment horizontal="center" vertical="center"/>
    </xf>
    <xf numFmtId="3" fontId="1" fillId="9" borderId="0" xfId="0" applyNumberFormat="1" applyFont="1" applyFill="1" applyAlignment="1">
      <alignment horizontal="center" vertical="center"/>
    </xf>
    <xf numFmtId="0" fontId="21" fillId="4" borderId="0" xfId="0" applyFont="1" applyFill="1" applyAlignment="1" applyProtection="1">
      <alignment horizontal="left" vertical="center"/>
      <protection locked="0"/>
    </xf>
    <xf numFmtId="3" fontId="52" fillId="0" borderId="0" xfId="0" applyNumberFormat="1" applyFont="1" applyAlignment="1">
      <alignment horizontal="center" vertical="center"/>
    </xf>
    <xf numFmtId="3" fontId="52" fillId="0" borderId="9" xfId="0" applyNumberFormat="1" applyFont="1" applyBorder="1" applyAlignment="1">
      <alignment horizontal="center" vertical="center"/>
    </xf>
    <xf numFmtId="0" fontId="45" fillId="0" borderId="0" xfId="0" applyFont="1" applyAlignment="1">
      <alignment vertical="center"/>
    </xf>
    <xf numFmtId="0" fontId="44" fillId="0" borderId="0" xfId="0" applyFont="1" applyAlignment="1">
      <alignment vertical="center"/>
    </xf>
    <xf numFmtId="5" fontId="1" fillId="0" borderId="0" xfId="0" applyNumberFormat="1" applyFont="1" applyAlignment="1">
      <alignment horizontal="center" vertical="center"/>
    </xf>
    <xf numFmtId="5" fontId="1" fillId="0" borderId="9" xfId="0" applyNumberFormat="1" applyFont="1" applyBorder="1" applyAlignment="1">
      <alignment horizontal="center" vertical="center"/>
    </xf>
    <xf numFmtId="5" fontId="1" fillId="10" borderId="0" xfId="0" applyNumberFormat="1" applyFont="1" applyFill="1" applyAlignment="1">
      <alignment horizontal="center" vertical="center"/>
    </xf>
    <xf numFmtId="5" fontId="15" fillId="0" borderId="9" xfId="0" applyNumberFormat="1" applyFont="1" applyBorder="1" applyAlignment="1">
      <alignment horizontal="center" vertical="center"/>
    </xf>
    <xf numFmtId="5" fontId="7" fillId="0" borderId="3" xfId="0" applyNumberFormat="1" applyFont="1" applyBorder="1" applyAlignment="1">
      <alignment horizontal="center" vertical="center"/>
    </xf>
    <xf numFmtId="5" fontId="7" fillId="0" borderId="4" xfId="0" applyNumberFormat="1" applyFont="1" applyBorder="1" applyAlignment="1">
      <alignment horizontal="center" vertical="center"/>
    </xf>
    <xf numFmtId="0" fontId="45" fillId="0" borderId="0" xfId="0" applyFont="1" applyAlignment="1">
      <alignment horizontal="right"/>
    </xf>
    <xf numFmtId="0" fontId="56" fillId="4" borderId="0" xfId="0" applyFont="1" applyFill="1" applyAlignment="1" applyProtection="1">
      <alignment vertical="center"/>
      <protection locked="0"/>
    </xf>
    <xf numFmtId="0" fontId="57" fillId="5" borderId="0" xfId="0" applyFont="1" applyFill="1" applyProtection="1">
      <protection locked="0"/>
    </xf>
    <xf numFmtId="0" fontId="56" fillId="0" borderId="0" xfId="0" applyFont="1" applyProtection="1">
      <protection locked="0"/>
    </xf>
    <xf numFmtId="168" fontId="1" fillId="0" borderId="0" xfId="0" applyNumberFormat="1" applyFont="1" applyProtection="1">
      <protection locked="0"/>
    </xf>
    <xf numFmtId="0" fontId="1" fillId="0" borderId="16" xfId="0" applyFont="1" applyBorder="1" applyAlignment="1">
      <alignment horizontal="center" vertical="center"/>
    </xf>
    <xf numFmtId="0" fontId="14" fillId="11" borderId="20" xfId="0" applyFont="1" applyFill="1" applyBorder="1" applyAlignment="1" applyProtection="1">
      <alignment horizontal="center" vertical="center" wrapText="1"/>
      <protection locked="0"/>
    </xf>
    <xf numFmtId="0" fontId="14" fillId="12" borderId="20" xfId="0" applyFont="1" applyFill="1" applyBorder="1" applyAlignment="1" applyProtection="1">
      <alignment horizontal="center" vertical="center" wrapText="1"/>
      <protection locked="0"/>
    </xf>
    <xf numFmtId="0" fontId="14" fillId="12" borderId="20" xfId="0" applyFont="1" applyFill="1" applyBorder="1" applyAlignment="1" applyProtection="1">
      <alignment horizontal="center"/>
      <protection locked="0"/>
    </xf>
    <xf numFmtId="0" fontId="14" fillId="11" borderId="20" xfId="0" applyFont="1" applyFill="1" applyBorder="1" applyAlignment="1" applyProtection="1">
      <alignment horizontal="center"/>
      <protection locked="0"/>
    </xf>
    <xf numFmtId="14" fontId="26" fillId="4" borderId="15" xfId="4" applyNumberFormat="1" applyFont="1" applyAlignment="1" applyProtection="1">
      <alignment horizontal="center" vertical="center"/>
      <protection locked="0"/>
    </xf>
    <xf numFmtId="0" fontId="14" fillId="11" borderId="21" xfId="0" applyFont="1" applyFill="1" applyBorder="1" applyAlignment="1" applyProtection="1">
      <alignment horizontal="center" vertical="center"/>
      <protection locked="0"/>
    </xf>
    <xf numFmtId="0" fontId="1" fillId="4" borderId="0" xfId="0" applyFont="1" applyFill="1" applyAlignment="1">
      <alignment vertical="center"/>
    </xf>
    <xf numFmtId="0" fontId="21" fillId="4" borderId="0" xfId="0" applyFont="1" applyFill="1" applyAlignment="1">
      <alignment vertical="center"/>
    </xf>
    <xf numFmtId="0" fontId="1" fillId="4" borderId="0" xfId="0" applyFont="1" applyFill="1" applyAlignment="1">
      <alignment horizontal="center" vertical="center"/>
    </xf>
    <xf numFmtId="0" fontId="6" fillId="4" borderId="0" xfId="0" applyFont="1" applyFill="1" applyAlignment="1">
      <alignment vertical="center"/>
    </xf>
    <xf numFmtId="0" fontId="20" fillId="4" borderId="0" xfId="0" applyFont="1" applyFill="1" applyAlignment="1">
      <alignment vertical="center"/>
    </xf>
    <xf numFmtId="0" fontId="22" fillId="4" borderId="0" xfId="0" applyFont="1" applyFill="1" applyAlignment="1">
      <alignment horizontal="left" vertical="center"/>
    </xf>
    <xf numFmtId="0" fontId="7" fillId="4" borderId="0" xfId="0" applyFont="1" applyFill="1" applyAlignment="1">
      <alignment vertical="center"/>
    </xf>
    <xf numFmtId="0" fontId="28" fillId="5" borderId="0" xfId="0" applyFont="1" applyFill="1"/>
    <xf numFmtId="0" fontId="28" fillId="5" borderId="0" xfId="0" applyFont="1" applyFill="1" applyAlignment="1">
      <alignment horizontal="center"/>
    </xf>
    <xf numFmtId="0" fontId="1" fillId="0" borderId="0" xfId="0" applyFont="1" applyAlignment="1">
      <alignment vertical="center"/>
    </xf>
    <xf numFmtId="0" fontId="18" fillId="0" borderId="0" xfId="0" applyFont="1" applyAlignment="1">
      <alignment vertical="center"/>
    </xf>
    <xf numFmtId="0" fontId="18" fillId="0" borderId="0" xfId="0" applyFont="1" applyAlignment="1">
      <alignment horizontal="center" vertical="center"/>
    </xf>
    <xf numFmtId="0" fontId="16" fillId="0" borderId="0" xfId="0" applyFont="1" applyAlignment="1">
      <alignment vertical="center"/>
    </xf>
    <xf numFmtId="0" fontId="20" fillId="0" borderId="0" xfId="0" applyFont="1" applyAlignment="1">
      <alignment vertical="center"/>
    </xf>
    <xf numFmtId="0" fontId="19" fillId="0" borderId="0" xfId="0" applyFont="1" applyAlignment="1">
      <alignment vertical="center"/>
    </xf>
    <xf numFmtId="0" fontId="6" fillId="0" borderId="0" xfId="0" applyFont="1" applyAlignment="1">
      <alignment vertical="center"/>
    </xf>
    <xf numFmtId="0" fontId="0" fillId="0" borderId="0" xfId="0" applyAlignment="1">
      <alignment vertical="center"/>
    </xf>
    <xf numFmtId="0" fontId="23" fillId="0" borderId="0" xfId="0" applyFont="1" applyAlignment="1">
      <alignment horizontal="right" vertical="top"/>
    </xf>
    <xf numFmtId="0" fontId="23" fillId="0" borderId="0" xfId="0" applyFont="1" applyAlignment="1">
      <alignment vertical="center"/>
    </xf>
    <xf numFmtId="0" fontId="1" fillId="6" borderId="15" xfId="0" applyFont="1" applyFill="1" applyBorder="1" applyAlignment="1">
      <alignment horizontal="center" vertical="center" wrapText="1"/>
    </xf>
    <xf numFmtId="0" fontId="25" fillId="0" borderId="0" xfId="0" applyFont="1" applyAlignment="1">
      <alignment vertical="center"/>
    </xf>
    <xf numFmtId="0" fontId="27" fillId="0" borderId="0" xfId="0" applyFont="1" applyAlignment="1">
      <alignment vertical="top"/>
    </xf>
    <xf numFmtId="0" fontId="64" fillId="0" borderId="0" xfId="0" applyFont="1" applyAlignment="1" applyProtection="1">
      <alignment vertical="center"/>
      <protection locked="0" hidden="1"/>
    </xf>
    <xf numFmtId="0" fontId="16" fillId="0" borderId="0" xfId="0" applyFont="1" applyAlignment="1" applyProtection="1">
      <alignment vertical="center"/>
      <protection locked="0" hidden="1"/>
    </xf>
    <xf numFmtId="0" fontId="25" fillId="0" borderId="0" xfId="0" applyFont="1" applyAlignment="1" applyProtection="1">
      <alignment vertical="center"/>
      <protection locked="0" hidden="1"/>
    </xf>
    <xf numFmtId="0" fontId="1" fillId="2" borderId="0" xfId="0" applyFont="1" applyFill="1" applyProtection="1">
      <protection locked="0" hidden="1"/>
    </xf>
    <xf numFmtId="0" fontId="1" fillId="4" borderId="0" xfId="0" applyFont="1" applyFill="1"/>
    <xf numFmtId="0" fontId="21" fillId="4" borderId="0" xfId="0" applyFont="1" applyFill="1"/>
    <xf numFmtId="0" fontId="1" fillId="4" borderId="0" xfId="0" applyFont="1" applyFill="1" applyAlignment="1">
      <alignment horizontal="center"/>
    </xf>
    <xf numFmtId="0" fontId="1" fillId="4" borderId="0" xfId="0" applyFont="1" applyFill="1" applyAlignment="1">
      <alignment horizontal="left" vertical="center"/>
    </xf>
    <xf numFmtId="0" fontId="6" fillId="4" borderId="0" xfId="0" applyFont="1" applyFill="1"/>
    <xf numFmtId="0" fontId="20" fillId="4" borderId="0" xfId="0" applyFont="1" applyFill="1"/>
    <xf numFmtId="0" fontId="22" fillId="4" borderId="0" xfId="0" applyFont="1" applyFill="1" applyAlignment="1">
      <alignment horizontal="left"/>
    </xf>
    <xf numFmtId="0" fontId="7" fillId="4" borderId="0" xfId="0" applyFont="1" applyFill="1"/>
    <xf numFmtId="0" fontId="7" fillId="4" borderId="0" xfId="0" applyFont="1" applyFill="1" applyAlignment="1">
      <alignment horizontal="left" vertical="center"/>
    </xf>
    <xf numFmtId="0" fontId="28" fillId="5" borderId="0" xfId="0" applyFont="1" applyFill="1" applyAlignment="1">
      <alignment horizontal="left" vertical="center"/>
    </xf>
    <xf numFmtId="0" fontId="9" fillId="0" borderId="0" xfId="0" applyFont="1" applyAlignment="1">
      <alignment horizontal="center" vertical="center"/>
    </xf>
    <xf numFmtId="1" fontId="26" fillId="6" borderId="15" xfId="1" applyNumberFormat="1" applyFont="1" applyFill="1" applyBorder="1" applyAlignment="1" applyProtection="1">
      <alignment horizontal="center" vertical="center"/>
    </xf>
    <xf numFmtId="0" fontId="33" fillId="0" borderId="0" xfId="0" applyFont="1" applyAlignment="1">
      <alignment horizontal="left" vertical="center"/>
    </xf>
    <xf numFmtId="0" fontId="34" fillId="0" borderId="0" xfId="0" applyFont="1"/>
    <xf numFmtId="0" fontId="32" fillId="0" borderId="0" xfId="0" applyFont="1" applyAlignment="1">
      <alignment horizontal="right" vertical="center"/>
    </xf>
    <xf numFmtId="0" fontId="32" fillId="0" borderId="0" xfId="0" applyFont="1" applyAlignment="1">
      <alignment vertical="center"/>
    </xf>
    <xf numFmtId="0" fontId="59" fillId="0" borderId="0" xfId="0" applyFont="1" applyAlignment="1">
      <alignment vertical="center"/>
    </xf>
    <xf numFmtId="0" fontId="40" fillId="0" borderId="0" xfId="0" applyFont="1" applyAlignment="1">
      <alignment horizontal="left" vertical="center"/>
    </xf>
    <xf numFmtId="0" fontId="33" fillId="0" borderId="0" xfId="0" applyFont="1" applyAlignment="1">
      <alignment vertical="center"/>
    </xf>
    <xf numFmtId="0" fontId="16" fillId="0" borderId="0" xfId="0" applyFont="1"/>
    <xf numFmtId="0" fontId="30" fillId="0" borderId="0" xfId="0" applyFont="1" applyAlignment="1">
      <alignment horizontal="left" vertical="center"/>
    </xf>
    <xf numFmtId="0" fontId="14" fillId="7" borderId="0" xfId="0" applyFont="1" applyFill="1" applyAlignment="1">
      <alignment horizontal="center"/>
    </xf>
    <xf numFmtId="0" fontId="39" fillId="0" borderId="0" xfId="0" applyFont="1" applyAlignment="1">
      <alignment horizontal="center"/>
    </xf>
    <xf numFmtId="0" fontId="25" fillId="0" borderId="0" xfId="0" applyFont="1"/>
    <xf numFmtId="0" fontId="1" fillId="0" borderId="0" xfId="0" applyFont="1" applyAlignment="1">
      <alignment horizontal="left" vertical="center"/>
    </xf>
    <xf numFmtId="9" fontId="30" fillId="0" borderId="0" xfId="0" applyNumberFormat="1" applyFont="1" applyAlignment="1">
      <alignment horizontal="center"/>
    </xf>
    <xf numFmtId="0" fontId="30" fillId="0" borderId="0" xfId="0" applyFont="1" applyAlignment="1">
      <alignment horizontal="center"/>
    </xf>
    <xf numFmtId="0" fontId="6" fillId="2" borderId="0" xfId="0" applyFont="1" applyFill="1"/>
    <xf numFmtId="0" fontId="35" fillId="0" borderId="0" xfId="0" applyFont="1"/>
    <xf numFmtId="0" fontId="6" fillId="0" borderId="0" xfId="0" applyFont="1" applyAlignment="1">
      <alignment horizontal="left" vertical="center"/>
    </xf>
    <xf numFmtId="169" fontId="26" fillId="4" borderId="15" xfId="1" applyNumberFormat="1" applyFont="1" applyFill="1" applyBorder="1" applyAlignment="1" applyProtection="1">
      <alignment horizontal="center" vertical="center"/>
      <protection locked="0"/>
    </xf>
    <xf numFmtId="170" fontId="26" fillId="4" borderId="15" xfId="1" applyNumberFormat="1" applyFont="1" applyFill="1" applyBorder="1" applyAlignment="1" applyProtection="1">
      <alignment horizontal="center" vertical="center"/>
      <protection locked="0"/>
    </xf>
    <xf numFmtId="171" fontId="26" fillId="4" borderId="15" xfId="1" applyNumberFormat="1" applyFont="1" applyFill="1" applyBorder="1" applyAlignment="1" applyProtection="1">
      <alignment horizontal="center" vertical="center"/>
      <protection locked="0"/>
    </xf>
    <xf numFmtId="171" fontId="26" fillId="6" borderId="15" xfId="1" applyNumberFormat="1" applyFont="1" applyFill="1" applyBorder="1" applyAlignment="1" applyProtection="1">
      <alignment horizontal="center" vertical="center"/>
      <protection locked="0"/>
    </xf>
    <xf numFmtId="0" fontId="9" fillId="0" borderId="0" xfId="0" applyFont="1" applyAlignment="1">
      <alignment vertical="center"/>
    </xf>
    <xf numFmtId="0" fontId="30" fillId="0" borderId="0" xfId="0" applyFont="1" applyAlignment="1">
      <alignment vertical="top" wrapText="1"/>
    </xf>
    <xf numFmtId="0" fontId="14" fillId="7" borderId="20" xfId="0" applyFont="1" applyFill="1" applyBorder="1" applyAlignment="1">
      <alignment horizontal="center"/>
    </xf>
    <xf numFmtId="0" fontId="72" fillId="0" borderId="0" xfId="0" applyFont="1"/>
    <xf numFmtId="0" fontId="9" fillId="2" borderId="0" xfId="0" applyFont="1" applyFill="1" applyAlignment="1">
      <alignment horizontal="center"/>
    </xf>
    <xf numFmtId="0" fontId="30" fillId="2" borderId="0" xfId="0" applyFont="1" applyFill="1"/>
    <xf numFmtId="0" fontId="1" fillId="2" borderId="0" xfId="0" applyFont="1" applyFill="1" applyAlignment="1">
      <alignment horizontal="right"/>
    </xf>
    <xf numFmtId="0" fontId="16" fillId="2" borderId="0" xfId="0" applyFont="1" applyFill="1" applyAlignment="1">
      <alignment horizontal="right"/>
    </xf>
    <xf numFmtId="0" fontId="63" fillId="2" borderId="0" xfId="0" applyFont="1" applyFill="1"/>
    <xf numFmtId="0" fontId="16" fillId="2" borderId="0" xfId="0" applyFont="1" applyFill="1"/>
    <xf numFmtId="0" fontId="26" fillId="6" borderId="15" xfId="1" applyNumberFormat="1" applyFont="1" applyFill="1" applyBorder="1" applyAlignment="1" applyProtection="1">
      <alignment horizontal="center" vertical="center"/>
    </xf>
    <xf numFmtId="0" fontId="45" fillId="2" borderId="0" xfId="0" applyFont="1" applyFill="1" applyAlignment="1">
      <alignment horizontal="right"/>
    </xf>
    <xf numFmtId="3" fontId="26" fillId="6" borderId="15" xfId="1" applyNumberFormat="1" applyFont="1" applyFill="1" applyBorder="1" applyAlignment="1" applyProtection="1">
      <alignment horizontal="center" vertical="center"/>
    </xf>
    <xf numFmtId="0" fontId="70" fillId="2" borderId="0" xfId="0" applyFont="1" applyFill="1" applyAlignment="1">
      <alignment horizontal="right"/>
    </xf>
    <xf numFmtId="0" fontId="31" fillId="2" borderId="0" xfId="0" applyFont="1" applyFill="1" applyAlignment="1">
      <alignment horizontal="right"/>
    </xf>
    <xf numFmtId="0" fontId="74" fillId="0" borderId="0" xfId="0" applyFont="1" applyAlignment="1">
      <alignment vertical="center"/>
    </xf>
    <xf numFmtId="0" fontId="71" fillId="0" borderId="0" xfId="0" applyFont="1" applyAlignment="1">
      <alignment horizontal="right" vertical="center"/>
    </xf>
    <xf numFmtId="0" fontId="74" fillId="2" borderId="0" xfId="0" applyFont="1" applyFill="1"/>
    <xf numFmtId="0" fontId="74" fillId="0" borderId="0" xfId="0" applyFont="1"/>
    <xf numFmtId="171" fontId="1" fillId="0" borderId="0" xfId="0" applyNumberFormat="1" applyFont="1"/>
    <xf numFmtId="0" fontId="28" fillId="5" borderId="0" xfId="0" applyFont="1" applyFill="1" applyAlignment="1">
      <alignment vertical="center"/>
    </xf>
    <xf numFmtId="0" fontId="28" fillId="5" borderId="0" xfId="0" applyFont="1" applyFill="1" applyAlignment="1">
      <alignment horizontal="center" vertical="center"/>
    </xf>
    <xf numFmtId="9" fontId="10" fillId="4" borderId="15" xfId="1" applyFont="1" applyFill="1" applyBorder="1" applyAlignment="1" applyProtection="1">
      <alignment horizontal="center" vertical="center"/>
      <protection locked="0"/>
    </xf>
    <xf numFmtId="0" fontId="11" fillId="4" borderId="15" xfId="0" applyFont="1" applyFill="1" applyBorder="1" applyAlignment="1" applyProtection="1">
      <alignment vertical="center"/>
      <protection locked="0"/>
    </xf>
    <xf numFmtId="0" fontId="8" fillId="4" borderId="15" xfId="0" applyFont="1" applyFill="1" applyBorder="1" applyAlignment="1" applyProtection="1">
      <alignment vertical="center"/>
      <protection locked="0"/>
    </xf>
    <xf numFmtId="1" fontId="26" fillId="4" borderId="15" xfId="1" applyNumberFormat="1" applyFont="1" applyFill="1" applyBorder="1" applyAlignment="1" applyProtection="1">
      <alignment horizontal="center" vertical="center"/>
      <protection locked="0"/>
    </xf>
    <xf numFmtId="171" fontId="26" fillId="6" borderId="24" xfId="1" applyNumberFormat="1" applyFont="1" applyFill="1" applyBorder="1" applyAlignment="1" applyProtection="1">
      <alignment horizontal="center" vertical="center"/>
      <protection locked="0"/>
    </xf>
    <xf numFmtId="171" fontId="1" fillId="0" borderId="0" xfId="0" applyNumberFormat="1" applyFont="1" applyAlignment="1">
      <alignment horizontal="center"/>
    </xf>
    <xf numFmtId="171" fontId="9" fillId="0" borderId="0" xfId="0" applyNumberFormat="1" applyFont="1"/>
    <xf numFmtId="171" fontId="45" fillId="0" borderId="0" xfId="0" applyNumberFormat="1" applyFont="1" applyAlignment="1">
      <alignment horizontal="right"/>
    </xf>
    <xf numFmtId="0" fontId="9" fillId="4" borderId="0" xfId="0" applyFont="1" applyFill="1" applyAlignment="1">
      <alignment vertical="center"/>
    </xf>
    <xf numFmtId="0" fontId="42" fillId="5" borderId="0" xfId="0" applyFont="1" applyFill="1"/>
    <xf numFmtId="0" fontId="49" fillId="0" borderId="0" xfId="0" applyFont="1"/>
    <xf numFmtId="0" fontId="14" fillId="7" borderId="24" xfId="0" applyFont="1" applyFill="1" applyBorder="1" applyAlignment="1">
      <alignment horizontal="center" vertical="center" wrapText="1"/>
    </xf>
    <xf numFmtId="0" fontId="14" fillId="7" borderId="15" xfId="0" applyFont="1" applyFill="1" applyBorder="1" applyAlignment="1">
      <alignment horizontal="center" vertical="top" wrapText="1"/>
    </xf>
    <xf numFmtId="0" fontId="14" fillId="7" borderId="23" xfId="0" applyFont="1" applyFill="1" applyBorder="1" applyAlignment="1">
      <alignment horizontal="center" vertical="top" wrapText="1"/>
    </xf>
    <xf numFmtId="166" fontId="26" fillId="6" borderId="24" xfId="1" applyNumberFormat="1" applyFont="1" applyFill="1" applyBorder="1" applyAlignment="1" applyProtection="1">
      <alignment horizontal="center" vertical="center"/>
    </xf>
    <xf numFmtId="0" fontId="14" fillId="7" borderId="37" xfId="0" applyFont="1" applyFill="1" applyBorder="1" applyAlignment="1">
      <alignment horizontal="center" vertical="center" wrapText="1"/>
    </xf>
    <xf numFmtId="9" fontId="26" fillId="6" borderId="37" xfId="1" applyFont="1" applyFill="1" applyBorder="1" applyAlignment="1" applyProtection="1">
      <alignment horizontal="center" vertical="center"/>
    </xf>
    <xf numFmtId="9" fontId="26" fillId="6" borderId="16" xfId="1" applyFont="1" applyFill="1" applyBorder="1" applyAlignment="1" applyProtection="1">
      <alignment horizontal="center" vertical="center"/>
    </xf>
    <xf numFmtId="9" fontId="26" fillId="6" borderId="24" xfId="1" applyFont="1" applyFill="1" applyBorder="1" applyAlignment="1" applyProtection="1">
      <alignment horizontal="center" vertical="center"/>
    </xf>
    <xf numFmtId="9" fontId="26" fillId="6" borderId="26" xfId="1" applyFont="1" applyFill="1" applyBorder="1" applyAlignment="1" applyProtection="1">
      <alignment horizontal="center" vertical="center"/>
    </xf>
    <xf numFmtId="0" fontId="0" fillId="0" borderId="16" xfId="0" applyBorder="1"/>
    <xf numFmtId="10" fontId="26" fillId="4" borderId="24" xfId="1" applyNumberFormat="1" applyFont="1" applyFill="1" applyBorder="1" applyAlignment="1" applyProtection="1">
      <alignment horizontal="center" vertical="center"/>
      <protection locked="0"/>
    </xf>
    <xf numFmtId="0" fontId="15" fillId="4" borderId="0" xfId="0" applyFont="1" applyFill="1" applyAlignment="1">
      <alignment vertical="center"/>
    </xf>
    <xf numFmtId="0" fontId="37" fillId="5" borderId="0" xfId="0" applyFont="1" applyFill="1"/>
    <xf numFmtId="0" fontId="3" fillId="0" borderId="0" xfId="0" applyFont="1"/>
    <xf numFmtId="9" fontId="3" fillId="0" borderId="0" xfId="1" applyFont="1" applyFill="1" applyAlignment="1" applyProtection="1">
      <alignment horizontal="center"/>
    </xf>
    <xf numFmtId="1" fontId="3" fillId="0" borderId="0" xfId="0" applyNumberFormat="1" applyFont="1"/>
    <xf numFmtId="164" fontId="3" fillId="0" borderId="0" xfId="0" applyNumberFormat="1" applyFont="1"/>
    <xf numFmtId="164" fontId="3" fillId="0" borderId="0" xfId="0" applyNumberFormat="1" applyFont="1" applyAlignment="1">
      <alignment horizontal="center"/>
    </xf>
    <xf numFmtId="0" fontId="15" fillId="0" borderId="0" xfId="0" applyFont="1"/>
    <xf numFmtId="0" fontId="46" fillId="0" borderId="0" xfId="0" applyFont="1" applyAlignment="1">
      <alignment horizontal="left"/>
    </xf>
    <xf numFmtId="0" fontId="75" fillId="0" borderId="0" xfId="0" applyFont="1"/>
    <xf numFmtId="0" fontId="76" fillId="0" borderId="0" xfId="0" applyFont="1"/>
    <xf numFmtId="0" fontId="15" fillId="0" borderId="0" xfId="0" applyFont="1" applyAlignment="1">
      <alignment vertical="center"/>
    </xf>
    <xf numFmtId="0" fontId="61" fillId="0" borderId="0" xfId="0" applyFont="1" applyAlignment="1">
      <alignment horizontal="left" vertical="center"/>
    </xf>
    <xf numFmtId="0" fontId="53" fillId="0" borderId="0" xfId="0" applyFont="1"/>
    <xf numFmtId="0" fontId="35" fillId="0" borderId="0" xfId="0" applyFont="1" applyAlignment="1">
      <alignment horizontal="center"/>
    </xf>
    <xf numFmtId="9" fontId="53" fillId="0" borderId="0" xfId="1" applyFont="1" applyFill="1" applyAlignment="1" applyProtection="1">
      <alignment horizontal="center"/>
    </xf>
    <xf numFmtId="1" fontId="53" fillId="0" borderId="0" xfId="0" applyNumberFormat="1" applyFont="1"/>
    <xf numFmtId="164" fontId="53" fillId="0" borderId="0" xfId="0" applyNumberFormat="1" applyFont="1"/>
    <xf numFmtId="164" fontId="53" fillId="0" borderId="0" xfId="0" applyNumberFormat="1" applyFont="1" applyAlignment="1">
      <alignment horizontal="center"/>
    </xf>
    <xf numFmtId="0" fontId="54" fillId="0" borderId="0" xfId="0" applyFont="1"/>
    <xf numFmtId="0" fontId="60" fillId="0" borderId="0" xfId="0" applyFont="1" applyAlignment="1">
      <alignment horizontal="left" vertical="center"/>
    </xf>
    <xf numFmtId="9" fontId="30" fillId="0" borderId="0" xfId="1" applyFont="1" applyFill="1" applyAlignment="1" applyProtection="1">
      <alignment horizontal="left"/>
    </xf>
    <xf numFmtId="0" fontId="3" fillId="0" borderId="0" xfId="0" applyFont="1" applyAlignment="1">
      <alignment horizontal="center" vertical="center"/>
    </xf>
    <xf numFmtId="1" fontId="3" fillId="0" borderId="0" xfId="0" applyNumberFormat="1" applyFont="1" applyAlignment="1">
      <alignment horizontal="center" vertical="center"/>
    </xf>
    <xf numFmtId="164" fontId="3" fillId="0" borderId="0" xfId="0" applyNumberFormat="1" applyFont="1" applyAlignment="1">
      <alignment horizontal="center" vertical="center"/>
    </xf>
    <xf numFmtId="0" fontId="15" fillId="0" borderId="0" xfId="0" applyFont="1" applyAlignment="1">
      <alignment horizontal="center" vertical="center"/>
    </xf>
    <xf numFmtId="0" fontId="62" fillId="0" borderId="0" xfId="0" applyFont="1"/>
    <xf numFmtId="164" fontId="6" fillId="2" borderId="0" xfId="0" applyNumberFormat="1" applyFont="1" applyFill="1"/>
    <xf numFmtId="1" fontId="6" fillId="2" borderId="0" xfId="0" applyNumberFormat="1" applyFont="1" applyFill="1"/>
    <xf numFmtId="164" fontId="6" fillId="2" borderId="0" xfId="0" applyNumberFormat="1" applyFont="1" applyFill="1" applyAlignment="1">
      <alignment horizontal="center"/>
    </xf>
    <xf numFmtId="0" fontId="15" fillId="2" borderId="0" xfId="0" applyFont="1" applyFill="1"/>
    <xf numFmtId="0" fontId="6" fillId="2" borderId="0" xfId="0" applyFont="1" applyFill="1" applyAlignment="1">
      <alignment horizontal="center"/>
    </xf>
    <xf numFmtId="9" fontId="6" fillId="2" borderId="0" xfId="1" applyFont="1" applyFill="1" applyAlignment="1" applyProtection="1">
      <alignment horizontal="center"/>
    </xf>
    <xf numFmtId="0" fontId="8" fillId="6" borderId="15" xfId="0" applyFont="1" applyFill="1" applyBorder="1" applyAlignment="1" applyProtection="1">
      <alignment horizontal="left" vertical="center"/>
      <protection locked="0"/>
    </xf>
    <xf numFmtId="166" fontId="8" fillId="6" borderId="15" xfId="0" applyNumberFormat="1" applyFont="1" applyFill="1" applyBorder="1" applyAlignment="1" applyProtection="1">
      <alignment horizontal="center" vertical="center"/>
      <protection locked="0"/>
    </xf>
    <xf numFmtId="0" fontId="1" fillId="6" borderId="15" xfId="0" applyFont="1" applyFill="1" applyBorder="1" applyAlignment="1" applyProtection="1">
      <alignment horizontal="center" vertical="center"/>
      <protection locked="0"/>
    </xf>
    <xf numFmtId="3" fontId="8" fillId="6" borderId="15" xfId="0" applyNumberFormat="1" applyFont="1" applyFill="1" applyBorder="1" applyAlignment="1" applyProtection="1">
      <alignment horizontal="left" vertical="center"/>
      <protection locked="0"/>
    </xf>
    <xf numFmtId="0" fontId="8" fillId="6" borderId="15" xfId="0" applyFont="1" applyFill="1" applyBorder="1" applyAlignment="1" applyProtection="1">
      <alignment vertical="center"/>
      <protection locked="0"/>
    </xf>
    <xf numFmtId="0" fontId="1" fillId="0" borderId="16" xfId="0" applyFont="1" applyBorder="1"/>
    <xf numFmtId="0" fontId="27" fillId="0" borderId="16" xfId="0" applyFont="1" applyBorder="1" applyAlignment="1">
      <alignment vertical="center"/>
    </xf>
    <xf numFmtId="0" fontId="20" fillId="0" borderId="0" xfId="0" applyFont="1" applyAlignment="1">
      <alignment horizontal="right" vertical="center"/>
    </xf>
    <xf numFmtId="0" fontId="27" fillId="0" borderId="0" xfId="0" applyFont="1" applyAlignment="1" applyProtection="1">
      <alignment vertical="center"/>
      <protection locked="0"/>
    </xf>
    <xf numFmtId="0" fontId="27" fillId="0" borderId="16" xfId="0" applyFont="1" applyBorder="1" applyAlignment="1" applyProtection="1">
      <alignment vertical="center"/>
      <protection locked="0"/>
    </xf>
    <xf numFmtId="0" fontId="12" fillId="0" borderId="0" xfId="0" applyFont="1"/>
    <xf numFmtId="0" fontId="38" fillId="0" borderId="0" xfId="0" applyFont="1" applyAlignment="1">
      <alignment horizontal="right" vertical="center"/>
    </xf>
    <xf numFmtId="43" fontId="13" fillId="0" borderId="0" xfId="3" applyNumberFormat="1" applyFont="1" applyFill="1" applyBorder="1" applyAlignment="1" applyProtection="1">
      <alignment horizontal="center" vertical="center"/>
    </xf>
    <xf numFmtId="9" fontId="26" fillId="6" borderId="15" xfId="1" applyFont="1" applyFill="1" applyBorder="1" applyAlignment="1" applyProtection="1">
      <alignment horizontal="center" vertical="center"/>
    </xf>
    <xf numFmtId="0" fontId="38" fillId="0" borderId="0" xfId="0" applyFont="1" applyAlignment="1">
      <alignment horizontal="center" vertical="center"/>
    </xf>
    <xf numFmtId="0" fontId="39" fillId="0" borderId="20" xfId="0" applyFont="1" applyBorder="1" applyAlignment="1">
      <alignment horizontal="right"/>
    </xf>
    <xf numFmtId="0" fontId="1" fillId="0" borderId="42" xfId="0" applyFont="1" applyBorder="1"/>
    <xf numFmtId="0" fontId="39" fillId="0" borderId="44" xfId="0" applyFont="1" applyBorder="1" applyAlignment="1">
      <alignment horizontal="right"/>
    </xf>
    <xf numFmtId="0" fontId="39" fillId="0" borderId="28" xfId="0" applyFont="1" applyBorder="1" applyAlignment="1">
      <alignment horizontal="right"/>
    </xf>
    <xf numFmtId="0" fontId="41" fillId="0" borderId="0" xfId="0" applyFont="1"/>
    <xf numFmtId="0" fontId="0" fillId="0" borderId="0" xfId="0" applyAlignment="1">
      <alignment horizontal="center"/>
    </xf>
    <xf numFmtId="0" fontId="58" fillId="0" borderId="0" xfId="0" applyFont="1" applyAlignment="1">
      <alignment horizontal="right"/>
    </xf>
    <xf numFmtId="0" fontId="30" fillId="0" borderId="0" xfId="0" applyFont="1" applyAlignment="1">
      <alignment horizontal="left"/>
    </xf>
    <xf numFmtId="0" fontId="1" fillId="2" borderId="0" xfId="0" applyFont="1" applyFill="1" applyAlignment="1">
      <alignment horizontal="center"/>
    </xf>
    <xf numFmtId="0" fontId="55" fillId="2" borderId="0" xfId="0" applyFont="1" applyFill="1" applyAlignment="1">
      <alignment horizontal="left"/>
    </xf>
    <xf numFmtId="0" fontId="9" fillId="2" borderId="0" xfId="0" applyFont="1" applyFill="1"/>
    <xf numFmtId="0" fontId="43" fillId="2" borderId="0" xfId="0" applyFont="1" applyFill="1" applyAlignment="1">
      <alignment horizontal="left"/>
    </xf>
    <xf numFmtId="0" fontId="50" fillId="2" borderId="0" xfId="0" applyFont="1" applyFill="1" applyAlignment="1">
      <alignment horizontal="left"/>
    </xf>
    <xf numFmtId="0" fontId="82" fillId="2" borderId="0" xfId="0" applyFont="1" applyFill="1" applyAlignment="1">
      <alignment horizontal="left"/>
    </xf>
    <xf numFmtId="0" fontId="29" fillId="0" borderId="0" xfId="0" applyFont="1" applyAlignment="1">
      <alignment horizontal="left" vertical="center"/>
    </xf>
    <xf numFmtId="0" fontId="14" fillId="7" borderId="29" xfId="0" applyFont="1" applyFill="1" applyBorder="1" applyAlignment="1">
      <alignment horizontal="center" vertical="center" wrapText="1"/>
    </xf>
    <xf numFmtId="0" fontId="14" fillId="7" borderId="20" xfId="0" applyFont="1" applyFill="1" applyBorder="1" applyAlignment="1">
      <alignment horizontal="center" vertical="center" wrapText="1"/>
    </xf>
    <xf numFmtId="0" fontId="14" fillId="7" borderId="29" xfId="0" applyFont="1" applyFill="1" applyBorder="1" applyAlignment="1">
      <alignment vertical="center" wrapText="1"/>
    </xf>
    <xf numFmtId="0" fontId="14" fillId="7" borderId="30" xfId="0" applyFont="1" applyFill="1" applyBorder="1"/>
    <xf numFmtId="0" fontId="14" fillId="7" borderId="31" xfId="0" applyFont="1" applyFill="1" applyBorder="1"/>
    <xf numFmtId="0" fontId="14" fillId="7" borderId="34" xfId="0" applyFont="1" applyFill="1" applyBorder="1" applyAlignment="1">
      <alignment vertical="center" wrapText="1"/>
    </xf>
    <xf numFmtId="0" fontId="1" fillId="0" borderId="15" xfId="0" applyFont="1" applyBorder="1" applyAlignment="1">
      <alignment horizontal="center"/>
    </xf>
    <xf numFmtId="0" fontId="26" fillId="6" borderId="24" xfId="1" applyNumberFormat="1" applyFont="1" applyFill="1" applyBorder="1" applyAlignment="1" applyProtection="1">
      <alignment horizontal="center" vertical="center"/>
    </xf>
    <xf numFmtId="0" fontId="14" fillId="7" borderId="15" xfId="0" applyFont="1" applyFill="1" applyBorder="1" applyAlignment="1">
      <alignment horizontal="center" vertical="center" wrapText="1"/>
    </xf>
    <xf numFmtId="0" fontId="14" fillId="7" borderId="33" xfId="0" applyFont="1" applyFill="1" applyBorder="1" applyAlignment="1">
      <alignment vertical="center"/>
    </xf>
    <xf numFmtId="0" fontId="14" fillId="7" borderId="31" xfId="0" applyFont="1" applyFill="1" applyBorder="1" applyAlignment="1">
      <alignment vertical="center"/>
    </xf>
    <xf numFmtId="0" fontId="6" fillId="0" borderId="0" xfId="0" applyFont="1" applyAlignment="1">
      <alignment horizontal="center"/>
    </xf>
    <xf numFmtId="0" fontId="1" fillId="2" borderId="0" xfId="0" applyFont="1" applyFill="1" applyAlignment="1">
      <alignment horizontal="center" wrapText="1"/>
    </xf>
    <xf numFmtId="0" fontId="27" fillId="0" borderId="0" xfId="0" applyFont="1" applyAlignment="1">
      <alignment vertical="top" wrapText="1"/>
    </xf>
    <xf numFmtId="0" fontId="83" fillId="0" borderId="0" xfId="0" applyFont="1" applyAlignment="1">
      <alignment horizontal="center" vertical="center"/>
    </xf>
    <xf numFmtId="10" fontId="26" fillId="4" borderId="37" xfId="1" applyNumberFormat="1" applyFont="1" applyFill="1" applyBorder="1" applyAlignment="1" applyProtection="1">
      <alignment horizontal="center" vertical="center"/>
      <protection locked="0"/>
    </xf>
    <xf numFmtId="10" fontId="26" fillId="4" borderId="47" xfId="1" applyNumberFormat="1" applyFont="1" applyFill="1" applyBorder="1" applyAlignment="1" applyProtection="1">
      <alignment horizontal="center" vertical="center"/>
      <protection locked="0"/>
    </xf>
    <xf numFmtId="0" fontId="14" fillId="7" borderId="51" xfId="0" applyFont="1" applyFill="1" applyBorder="1" applyAlignment="1">
      <alignment horizontal="center" vertical="center" wrapText="1"/>
    </xf>
    <xf numFmtId="0" fontId="84" fillId="2" borderId="0" xfId="0" applyFont="1" applyFill="1"/>
    <xf numFmtId="3" fontId="1" fillId="0" borderId="3" xfId="0" applyNumberFormat="1" applyFont="1" applyBorder="1" applyAlignment="1">
      <alignment horizontal="center" vertical="center"/>
    </xf>
    <xf numFmtId="3" fontId="1" fillId="0" borderId="6" xfId="0" applyNumberFormat="1" applyFont="1" applyBorder="1" applyAlignment="1">
      <alignment horizontal="center" vertical="center"/>
    </xf>
    <xf numFmtId="3" fontId="1" fillId="0" borderId="11" xfId="0" applyNumberFormat="1" applyFont="1" applyBorder="1" applyAlignment="1">
      <alignment horizontal="center" vertical="center"/>
    </xf>
    <xf numFmtId="0" fontId="43" fillId="2" borderId="0" xfId="0" applyFont="1" applyFill="1" applyAlignment="1">
      <alignment wrapText="1"/>
    </xf>
    <xf numFmtId="172" fontId="26" fillId="6" borderId="15" xfId="1" applyNumberFormat="1" applyFont="1" applyFill="1" applyBorder="1" applyAlignment="1" applyProtection="1">
      <alignment horizontal="center" vertical="center"/>
      <protection locked="0"/>
    </xf>
    <xf numFmtId="172" fontId="26" fillId="6" borderId="15" xfId="1" applyNumberFormat="1" applyFont="1" applyFill="1" applyBorder="1" applyAlignment="1" applyProtection="1">
      <alignment horizontal="center" vertical="center"/>
    </xf>
    <xf numFmtId="172" fontId="1" fillId="0" borderId="0" xfId="0" applyNumberFormat="1" applyFont="1"/>
    <xf numFmtId="172" fontId="26" fillId="6" borderId="45" xfId="1" applyNumberFormat="1" applyFont="1" applyFill="1" applyBorder="1" applyAlignment="1" applyProtection="1">
      <alignment horizontal="center" vertical="center"/>
    </xf>
    <xf numFmtId="172" fontId="1" fillId="0" borderId="42" xfId="0" applyNumberFormat="1" applyFont="1" applyBorder="1"/>
    <xf numFmtId="172" fontId="26" fillId="6" borderId="43" xfId="1" applyNumberFormat="1" applyFont="1" applyFill="1" applyBorder="1" applyAlignment="1" applyProtection="1">
      <alignment horizontal="center" vertical="center"/>
    </xf>
    <xf numFmtId="172" fontId="6" fillId="0" borderId="0" xfId="0" applyNumberFormat="1" applyFont="1"/>
    <xf numFmtId="0" fontId="0" fillId="13" borderId="0" xfId="0" applyFill="1"/>
    <xf numFmtId="167" fontId="0" fillId="0" borderId="0" xfId="0" applyNumberFormat="1"/>
    <xf numFmtId="0" fontId="88" fillId="4" borderId="0" xfId="0" applyFont="1" applyFill="1" applyAlignment="1">
      <alignment horizontal="left" vertical="center"/>
    </xf>
    <xf numFmtId="0" fontId="89" fillId="4" borderId="0" xfId="0" applyFont="1" applyFill="1"/>
    <xf numFmtId="0" fontId="0" fillId="4" borderId="0" xfId="0" applyFill="1"/>
    <xf numFmtId="0" fontId="0" fillId="2" borderId="0" xfId="0" applyFill="1"/>
    <xf numFmtId="167" fontId="0" fillId="4" borderId="0" xfId="0" applyNumberFormat="1" applyFill="1"/>
    <xf numFmtId="167" fontId="0" fillId="2" borderId="0" xfId="0" applyNumberFormat="1" applyFill="1"/>
    <xf numFmtId="0" fontId="29" fillId="2" borderId="0" xfId="0" applyFont="1" applyFill="1" applyAlignment="1">
      <alignment horizontal="center"/>
    </xf>
    <xf numFmtId="0" fontId="87" fillId="4" borderId="53" xfId="0" applyFont="1" applyFill="1" applyBorder="1" applyAlignment="1" applyProtection="1">
      <alignment vertical="center"/>
      <protection locked="0"/>
    </xf>
    <xf numFmtId="0" fontId="21" fillId="4" borderId="53" xfId="0" applyFont="1" applyFill="1" applyBorder="1" applyAlignment="1" applyProtection="1">
      <alignment vertical="center"/>
      <protection locked="0"/>
    </xf>
    <xf numFmtId="0" fontId="1" fillId="4" borderId="53" xfId="0" applyFont="1" applyFill="1" applyBorder="1" applyAlignment="1" applyProtection="1">
      <alignment horizontal="center" vertical="center"/>
      <protection locked="0"/>
    </xf>
    <xf numFmtId="0" fontId="1" fillId="4" borderId="53" xfId="0" applyFont="1" applyFill="1" applyBorder="1" applyAlignment="1" applyProtection="1">
      <alignment vertical="center"/>
      <protection locked="0"/>
    </xf>
    <xf numFmtId="0" fontId="6" fillId="4" borderId="53" xfId="0" applyFont="1" applyFill="1" applyBorder="1" applyAlignment="1" applyProtection="1">
      <alignment vertical="center"/>
      <protection locked="0"/>
    </xf>
    <xf numFmtId="0" fontId="0" fillId="4" borderId="53" xfId="0" applyFill="1" applyBorder="1"/>
    <xf numFmtId="0" fontId="87" fillId="4" borderId="54" xfId="0" applyFont="1" applyFill="1" applyBorder="1" applyAlignment="1" applyProtection="1">
      <alignment vertical="center"/>
      <protection locked="0"/>
    </xf>
    <xf numFmtId="0" fontId="6" fillId="4" borderId="54" xfId="0" applyFont="1" applyFill="1" applyBorder="1" applyAlignment="1" applyProtection="1">
      <alignment vertical="center"/>
      <protection locked="0"/>
    </xf>
    <xf numFmtId="0" fontId="0" fillId="4" borderId="54" xfId="0" applyFill="1" applyBorder="1"/>
    <xf numFmtId="0" fontId="76" fillId="2" borderId="55" xfId="0" applyFont="1" applyFill="1" applyBorder="1" applyAlignment="1">
      <alignment horizontal="center"/>
    </xf>
    <xf numFmtId="0" fontId="0" fillId="2" borderId="56" xfId="0" applyFill="1" applyBorder="1"/>
    <xf numFmtId="0" fontId="76" fillId="2" borderId="58" xfId="0" applyFont="1" applyFill="1" applyBorder="1" applyAlignment="1">
      <alignment horizontal="center"/>
    </xf>
    <xf numFmtId="1" fontId="29" fillId="2" borderId="0" xfId="0" applyNumberFormat="1" applyFont="1" applyFill="1" applyAlignment="1">
      <alignment horizontal="center"/>
    </xf>
    <xf numFmtId="0" fontId="76" fillId="2" borderId="0" xfId="0" applyFont="1" applyFill="1" applyAlignment="1">
      <alignment horizontal="center" wrapText="1"/>
    </xf>
    <xf numFmtId="167" fontId="29" fillId="2" borderId="0" xfId="0" applyNumberFormat="1" applyFont="1" applyFill="1" applyAlignment="1">
      <alignment horizontal="center"/>
    </xf>
    <xf numFmtId="175" fontId="0" fillId="6" borderId="0" xfId="0" quotePrefix="1" applyNumberFormat="1" applyFill="1" applyAlignment="1">
      <alignment horizontal="center"/>
    </xf>
    <xf numFmtId="175" fontId="0" fillId="2" borderId="0" xfId="0" quotePrefix="1" applyNumberFormat="1" applyFill="1" applyAlignment="1">
      <alignment horizontal="center"/>
    </xf>
    <xf numFmtId="175" fontId="0" fillId="6" borderId="0" xfId="0" applyNumberFormat="1" applyFill="1" applyAlignment="1">
      <alignment horizontal="center"/>
    </xf>
    <xf numFmtId="0" fontId="29" fillId="2" borderId="58" xfId="0" applyFont="1" applyFill="1" applyBorder="1" applyAlignment="1">
      <alignment horizontal="center"/>
    </xf>
    <xf numFmtId="0" fontId="76" fillId="2" borderId="60" xfId="0" applyFont="1" applyFill="1" applyBorder="1" applyAlignment="1">
      <alignment horizontal="center"/>
    </xf>
    <xf numFmtId="0" fontId="89" fillId="2" borderId="0" xfId="0" applyFont="1" applyFill="1"/>
    <xf numFmtId="0" fontId="56" fillId="2" borderId="0" xfId="0" applyFont="1" applyFill="1" applyProtection="1">
      <protection locked="0"/>
    </xf>
    <xf numFmtId="0" fontId="6" fillId="2" borderId="0" xfId="0" applyFont="1" applyFill="1" applyProtection="1">
      <protection locked="0"/>
    </xf>
    <xf numFmtId="0" fontId="6" fillId="2" borderId="0" xfId="0" applyFont="1" applyFill="1" applyAlignment="1">
      <alignment vertical="center"/>
    </xf>
    <xf numFmtId="174" fontId="76" fillId="6" borderId="0" xfId="5" applyNumberFormat="1" applyFont="1" applyFill="1" applyAlignment="1" applyProtection="1">
      <alignment horizontal="center"/>
      <protection locked="0"/>
    </xf>
    <xf numFmtId="0" fontId="0" fillId="2" borderId="57" xfId="0" applyFill="1" applyBorder="1"/>
    <xf numFmtId="0" fontId="4" fillId="4" borderId="0" xfId="5" applyFont="1" applyFill="1" applyProtection="1">
      <protection locked="0"/>
    </xf>
    <xf numFmtId="0" fontId="85" fillId="4" borderId="0" xfId="5" applyFont="1" applyFill="1" applyProtection="1">
      <protection locked="0"/>
    </xf>
    <xf numFmtId="0" fontId="39" fillId="0" borderId="0" xfId="0" applyFont="1" applyAlignment="1">
      <alignment horizontal="right"/>
    </xf>
    <xf numFmtId="0" fontId="29" fillId="2" borderId="0" xfId="5" applyFont="1" applyFill="1" applyAlignment="1" applyProtection="1">
      <alignment horizontal="right"/>
      <protection locked="0"/>
    </xf>
    <xf numFmtId="2" fontId="91" fillId="0" borderId="15" xfId="0" applyNumberFormat="1" applyFont="1" applyBorder="1" applyAlignment="1">
      <alignment horizontal="center" vertical="center"/>
    </xf>
    <xf numFmtId="0" fontId="91" fillId="0" borderId="15" xfId="0" applyFont="1" applyBorder="1" applyAlignment="1">
      <alignment horizontal="center" vertical="center"/>
    </xf>
    <xf numFmtId="0" fontId="0" fillId="2" borderId="0" xfId="0" applyFill="1" applyAlignment="1">
      <alignment horizontal="center"/>
    </xf>
    <xf numFmtId="0" fontId="0" fillId="2" borderId="59" xfId="0" applyFill="1" applyBorder="1" applyAlignment="1">
      <alignment horizontal="center"/>
    </xf>
    <xf numFmtId="0" fontId="4" fillId="4" borderId="0" xfId="5" applyFont="1" applyFill="1" applyAlignment="1" applyProtection="1">
      <alignment horizontal="center"/>
      <protection locked="0"/>
    </xf>
    <xf numFmtId="175" fontId="0" fillId="0" borderId="0" xfId="0" applyNumberFormat="1" applyAlignment="1">
      <alignment horizontal="center"/>
    </xf>
    <xf numFmtId="175" fontId="0" fillId="2" borderId="0" xfId="0" applyNumberFormat="1" applyFill="1" applyAlignment="1">
      <alignment horizontal="center"/>
    </xf>
    <xf numFmtId="175" fontId="4" fillId="6" borderId="0" xfId="6" applyNumberFormat="1" applyFont="1" applyFill="1" applyBorder="1" applyAlignment="1" applyProtection="1">
      <alignment horizontal="center"/>
      <protection locked="0"/>
    </xf>
    <xf numFmtId="167" fontId="0" fillId="2" borderId="0" xfId="0" applyNumberFormat="1" applyFill="1" applyAlignment="1">
      <alignment horizontal="center"/>
    </xf>
    <xf numFmtId="175" fontId="4" fillId="6" borderId="0" xfId="5" applyNumberFormat="1" applyFont="1" applyFill="1" applyAlignment="1" applyProtection="1">
      <alignment horizontal="center"/>
      <protection locked="0"/>
    </xf>
    <xf numFmtId="167" fontId="0" fillId="2" borderId="54" xfId="0" applyNumberFormat="1" applyFill="1" applyBorder="1" applyAlignment="1">
      <alignment horizontal="center"/>
    </xf>
    <xf numFmtId="0" fontId="0" fillId="2" borderId="54" xfId="0" applyFill="1" applyBorder="1" applyAlignment="1">
      <alignment horizontal="center"/>
    </xf>
    <xf numFmtId="0" fontId="0" fillId="2" borderId="61" xfId="0" applyFill="1" applyBorder="1" applyAlignment="1">
      <alignment horizontal="center"/>
    </xf>
    <xf numFmtId="0" fontId="0" fillId="4" borderId="0" xfId="0" applyFill="1" applyAlignment="1">
      <alignment horizontal="center"/>
    </xf>
    <xf numFmtId="0" fontId="4" fillId="6" borderId="0" xfId="5" applyFont="1" applyFill="1" applyAlignment="1" applyProtection="1">
      <alignment horizontal="center"/>
      <protection locked="0"/>
    </xf>
    <xf numFmtId="0" fontId="65" fillId="0" borderId="0" xfId="0" applyFont="1" applyAlignment="1">
      <alignment vertical="center" wrapText="1"/>
    </xf>
    <xf numFmtId="0" fontId="7" fillId="2" borderId="0" xfId="0" applyFont="1" applyFill="1"/>
    <xf numFmtId="0" fontId="1" fillId="4" borderId="46" xfId="0" applyFont="1" applyFill="1" applyBorder="1" applyAlignment="1" applyProtection="1">
      <alignment horizontal="center" vertical="center"/>
      <protection locked="0"/>
    </xf>
    <xf numFmtId="0" fontId="1" fillId="4" borderId="46" xfId="0" applyFont="1" applyFill="1" applyBorder="1" applyAlignment="1" applyProtection="1">
      <alignment horizontal="center"/>
      <protection locked="0"/>
    </xf>
    <xf numFmtId="3" fontId="26" fillId="6" borderId="26" xfId="1" quotePrefix="1" applyNumberFormat="1" applyFont="1" applyFill="1" applyBorder="1" applyAlignment="1" applyProtection="1">
      <alignment horizontal="center" vertical="center"/>
      <protection locked="0"/>
    </xf>
    <xf numFmtId="3" fontId="36" fillId="6" borderId="15" xfId="1" applyNumberFormat="1" applyFont="1" applyFill="1" applyBorder="1" applyAlignment="1" applyProtection="1">
      <alignment horizontal="center" vertical="center"/>
      <protection locked="0"/>
    </xf>
    <xf numFmtId="2" fontId="8" fillId="4" borderId="15" xfId="0" applyNumberFormat="1" applyFont="1" applyFill="1" applyBorder="1" applyAlignment="1" applyProtection="1">
      <alignment horizontal="center" vertical="center"/>
      <protection locked="0"/>
    </xf>
    <xf numFmtId="10" fontId="26" fillId="4" borderId="15" xfId="1" applyNumberFormat="1" applyFont="1" applyFill="1" applyBorder="1" applyAlignment="1" applyProtection="1">
      <alignment horizontal="center" vertical="center"/>
      <protection locked="0"/>
    </xf>
    <xf numFmtId="3" fontId="1" fillId="0" borderId="10" xfId="0" applyNumberFormat="1" applyFont="1" applyBorder="1" applyAlignment="1">
      <alignment horizontal="center" vertical="center"/>
    </xf>
    <xf numFmtId="3" fontId="1" fillId="0" borderId="12" xfId="0" applyNumberFormat="1" applyFont="1" applyBorder="1" applyAlignment="1">
      <alignment horizontal="center" vertical="center"/>
    </xf>
    <xf numFmtId="5" fontId="1" fillId="0" borderId="11" xfId="0" applyNumberFormat="1" applyFont="1" applyBorder="1" applyAlignment="1">
      <alignment horizontal="center" vertical="center"/>
    </xf>
    <xf numFmtId="5" fontId="1" fillId="0" borderId="12" xfId="0" applyNumberFormat="1" applyFont="1" applyBorder="1" applyAlignment="1">
      <alignment horizontal="center" vertical="center"/>
    </xf>
    <xf numFmtId="172" fontId="26" fillId="0" borderId="0" xfId="1" applyNumberFormat="1" applyFont="1" applyFill="1" applyBorder="1" applyAlignment="1" applyProtection="1">
      <alignment horizontal="center" vertical="center"/>
    </xf>
    <xf numFmtId="0" fontId="11" fillId="4" borderId="15" xfId="0" applyFont="1" applyFill="1" applyBorder="1" applyAlignment="1" applyProtection="1">
      <alignment horizontal="center" vertical="center"/>
      <protection locked="0"/>
    </xf>
    <xf numFmtId="0" fontId="8" fillId="4" borderId="15" xfId="0" applyFont="1" applyFill="1" applyBorder="1" applyAlignment="1" applyProtection="1">
      <alignment horizontal="center" vertical="center"/>
      <protection locked="0"/>
    </xf>
    <xf numFmtId="0" fontId="8" fillId="6" borderId="15" xfId="0" applyFont="1" applyFill="1" applyBorder="1" applyAlignment="1">
      <alignment horizontal="left" vertical="center"/>
    </xf>
    <xf numFmtId="165" fontId="8" fillId="6" borderId="15" xfId="0" applyNumberFormat="1" applyFont="1" applyFill="1" applyBorder="1" applyAlignment="1">
      <alignment horizontal="center" vertical="center"/>
    </xf>
    <xf numFmtId="2" fontId="8" fillId="6" borderId="15" xfId="0" applyNumberFormat="1" applyFont="1" applyFill="1" applyBorder="1" applyAlignment="1">
      <alignment horizontal="center" vertical="center"/>
    </xf>
    <xf numFmtId="0" fontId="10" fillId="6" borderId="15" xfId="0" applyFont="1" applyFill="1" applyBorder="1" applyAlignment="1">
      <alignment horizontal="center" vertical="center"/>
    </xf>
    <xf numFmtId="166" fontId="10" fillId="6" borderId="15" xfId="0" applyNumberFormat="1" applyFont="1" applyFill="1" applyBorder="1" applyAlignment="1">
      <alignment horizontal="center" vertical="center"/>
    </xf>
    <xf numFmtId="165" fontId="10" fillId="6" borderId="15" xfId="0" applyNumberFormat="1" applyFont="1" applyFill="1" applyBorder="1" applyAlignment="1">
      <alignment horizontal="center" vertical="center"/>
    </xf>
    <xf numFmtId="175" fontId="8" fillId="6" borderId="15" xfId="0" applyNumberFormat="1" applyFont="1" applyFill="1" applyBorder="1" applyAlignment="1">
      <alignment horizontal="center" vertical="center"/>
    </xf>
    <xf numFmtId="0" fontId="8" fillId="6" borderId="15" xfId="0" applyFont="1" applyFill="1" applyBorder="1" applyAlignment="1">
      <alignment vertical="center"/>
    </xf>
    <xf numFmtId="0" fontId="90" fillId="4" borderId="0" xfId="0" applyFont="1" applyFill="1" applyAlignment="1" applyProtection="1">
      <alignment horizontal="center" vertical="center"/>
      <protection locked="0"/>
    </xf>
    <xf numFmtId="0" fontId="42" fillId="5" borderId="0" xfId="0" applyFont="1" applyFill="1" applyAlignment="1">
      <alignment vertical="center"/>
    </xf>
    <xf numFmtId="166" fontId="92" fillId="0" borderId="0" xfId="0" applyNumberFormat="1" applyFont="1" applyAlignment="1" applyProtection="1">
      <alignment horizontal="center" vertical="center"/>
      <protection locked="0"/>
    </xf>
    <xf numFmtId="0" fontId="9" fillId="0" borderId="0" xfId="0" applyFont="1" applyProtection="1">
      <protection locked="0"/>
    </xf>
    <xf numFmtId="0" fontId="23" fillId="0" borderId="0" xfId="0" applyFont="1" applyAlignment="1">
      <alignment horizontal="center"/>
    </xf>
    <xf numFmtId="0" fontId="65" fillId="0" borderId="0" xfId="0" applyFont="1" applyAlignment="1">
      <alignment horizontal="center" vertical="center" wrapText="1"/>
    </xf>
    <xf numFmtId="0" fontId="29" fillId="0" borderId="0" xfId="0" applyFont="1" applyAlignment="1">
      <alignment horizontal="right" vertical="top" wrapText="1"/>
    </xf>
    <xf numFmtId="0" fontId="27" fillId="0" borderId="35" xfId="0" applyFont="1" applyBorder="1" applyAlignment="1">
      <alignment horizontal="left" vertical="center" wrapText="1"/>
    </xf>
    <xf numFmtId="0" fontId="27" fillId="0" borderId="0" xfId="0" applyFont="1" applyAlignment="1">
      <alignment horizontal="left" vertical="center" wrapText="1"/>
    </xf>
    <xf numFmtId="0" fontId="27" fillId="0" borderId="0" xfId="0" applyFont="1" applyAlignment="1">
      <alignment horizontal="left" vertical="top" wrapText="1"/>
    </xf>
    <xf numFmtId="0" fontId="67" fillId="0" borderId="35" xfId="0" applyFont="1" applyBorder="1" applyAlignment="1">
      <alignment horizontal="left" vertical="top" wrapText="1"/>
    </xf>
    <xf numFmtId="0" fontId="66" fillId="0" borderId="0" xfId="0" applyFont="1" applyAlignment="1">
      <alignment horizontal="right" textRotation="90" wrapText="1"/>
    </xf>
    <xf numFmtId="0" fontId="66" fillId="0" borderId="0" xfId="0" applyFont="1" applyAlignment="1">
      <alignment horizontal="right" vertical="center" textRotation="90" wrapText="1"/>
    </xf>
    <xf numFmtId="3" fontId="26" fillId="4" borderId="15" xfId="1" applyNumberFormat="1" applyFont="1" applyFill="1" applyBorder="1" applyAlignment="1" applyProtection="1">
      <alignment horizontal="center" vertical="center"/>
      <protection locked="0"/>
    </xf>
    <xf numFmtId="0" fontId="14" fillId="7" borderId="25" xfId="0" applyFont="1" applyFill="1" applyBorder="1" applyAlignment="1">
      <alignment horizontal="center"/>
    </xf>
    <xf numFmtId="0" fontId="14" fillId="7" borderId="0" xfId="0" applyFont="1" applyFill="1" applyAlignment="1">
      <alignment horizontal="center"/>
    </xf>
    <xf numFmtId="0" fontId="23" fillId="0" borderId="0" xfId="0" applyFont="1" applyAlignment="1">
      <alignment horizontal="right" vertical="center" wrapText="1"/>
    </xf>
    <xf numFmtId="0" fontId="1" fillId="4" borderId="23" xfId="0" applyFont="1" applyFill="1" applyBorder="1" applyAlignment="1" applyProtection="1">
      <alignment horizontal="center"/>
      <protection locked="0"/>
    </xf>
    <xf numFmtId="0" fontId="1" fillId="4" borderId="24" xfId="0" applyFont="1" applyFill="1" applyBorder="1" applyAlignment="1" applyProtection="1">
      <alignment horizontal="center"/>
      <protection locked="0"/>
    </xf>
    <xf numFmtId="0" fontId="26" fillId="4" borderId="17" xfId="4" applyFont="1" applyBorder="1" applyAlignment="1" applyProtection="1">
      <alignment horizontal="center" vertical="center"/>
      <protection locked="0"/>
    </xf>
    <xf numFmtId="0" fontId="26" fillId="4" borderId="18" xfId="4" applyFont="1" applyBorder="1" applyAlignment="1" applyProtection="1">
      <alignment horizontal="center" vertical="center"/>
      <protection locked="0"/>
    </xf>
    <xf numFmtId="0" fontId="26" fillId="4" borderId="19" xfId="4" applyFont="1" applyBorder="1" applyAlignment="1" applyProtection="1">
      <alignment horizontal="center" vertical="center"/>
      <protection locked="0"/>
    </xf>
    <xf numFmtId="0" fontId="30" fillId="0" borderId="16" xfId="0" applyFont="1" applyBorder="1" applyAlignment="1">
      <alignment horizontal="center" vertical="top" wrapText="1"/>
    </xf>
    <xf numFmtId="0" fontId="30" fillId="0" borderId="0" xfId="0" applyFont="1" applyAlignment="1">
      <alignment horizontal="center" vertical="top" wrapText="1"/>
    </xf>
    <xf numFmtId="0" fontId="14" fillId="7" borderId="27" xfId="0" applyFont="1" applyFill="1" applyBorder="1" applyAlignment="1">
      <alignment horizontal="center" vertical="center"/>
    </xf>
    <xf numFmtId="0" fontId="14" fillId="7" borderId="32" xfId="0" applyFont="1" applyFill="1" applyBorder="1" applyAlignment="1">
      <alignment horizontal="center" vertical="center"/>
    </xf>
    <xf numFmtId="0" fontId="23" fillId="0" borderId="0" xfId="0" applyFont="1" applyAlignment="1">
      <alignment horizontal="right" wrapText="1"/>
    </xf>
    <xf numFmtId="0" fontId="14" fillId="5" borderId="0" xfId="0" applyFont="1" applyFill="1" applyAlignment="1" applyProtection="1">
      <alignment horizontal="center" vertical="center"/>
      <protection locked="0"/>
    </xf>
    <xf numFmtId="0" fontId="14" fillId="5" borderId="40" xfId="0" applyFont="1" applyFill="1" applyBorder="1" applyAlignment="1" applyProtection="1">
      <alignment horizontal="center" vertical="center"/>
      <protection locked="0"/>
    </xf>
    <xf numFmtId="0" fontId="14" fillId="7" borderId="0" xfId="0" applyFont="1" applyFill="1" applyAlignment="1" applyProtection="1">
      <alignment horizontal="center" vertical="center" wrapText="1"/>
      <protection locked="0"/>
    </xf>
    <xf numFmtId="0" fontId="14" fillId="7" borderId="29" xfId="0" applyFont="1" applyFill="1" applyBorder="1" applyAlignment="1" applyProtection="1">
      <alignment horizontal="center" vertical="center" wrapText="1"/>
      <protection locked="0"/>
    </xf>
    <xf numFmtId="0" fontId="14" fillId="7" borderId="40" xfId="0" applyFont="1" applyFill="1" applyBorder="1" applyAlignment="1" applyProtection="1">
      <alignment horizontal="center" vertical="center" wrapText="1"/>
      <protection locked="0"/>
    </xf>
    <xf numFmtId="0" fontId="14" fillId="7" borderId="41" xfId="0" applyFont="1" applyFill="1" applyBorder="1" applyAlignment="1" applyProtection="1">
      <alignment horizontal="center" vertical="center" wrapText="1"/>
      <protection locked="0"/>
    </xf>
    <xf numFmtId="0" fontId="26" fillId="6" borderId="15" xfId="4" applyFont="1" applyFill="1" applyAlignment="1" applyProtection="1">
      <alignment horizontal="center" vertical="center"/>
      <protection locked="0"/>
    </xf>
    <xf numFmtId="0" fontId="26" fillId="4" borderId="15" xfId="4" applyFont="1" applyAlignment="1" applyProtection="1">
      <alignment horizontal="center" vertical="center"/>
      <protection locked="0"/>
    </xf>
    <xf numFmtId="0" fontId="26" fillId="4" borderId="23" xfId="4" applyFont="1" applyBorder="1" applyAlignment="1" applyProtection="1">
      <alignment horizontal="center" vertical="center"/>
      <protection locked="0"/>
    </xf>
    <xf numFmtId="0" fontId="26" fillId="4" borderId="24" xfId="4" applyFont="1" applyBorder="1" applyAlignment="1" applyProtection="1">
      <alignment horizontal="center" vertical="center"/>
      <protection locked="0"/>
    </xf>
    <xf numFmtId="0" fontId="14" fillId="12" borderId="21" xfId="0" applyFont="1" applyFill="1" applyBorder="1" applyAlignment="1" applyProtection="1">
      <alignment horizontal="center"/>
      <protection locked="0"/>
    </xf>
    <xf numFmtId="0" fontId="14" fillId="12" borderId="22" xfId="0" applyFont="1" applyFill="1" applyBorder="1" applyAlignment="1" applyProtection="1">
      <alignment horizontal="center"/>
      <protection locked="0"/>
    </xf>
    <xf numFmtId="0" fontId="26" fillId="4" borderId="62" xfId="4" applyFont="1" applyBorder="1" applyAlignment="1" applyProtection="1">
      <alignment horizontal="center" vertical="center"/>
      <protection locked="0"/>
    </xf>
    <xf numFmtId="0" fontId="26" fillId="4" borderId="63" xfId="4" applyFont="1" applyBorder="1" applyAlignment="1" applyProtection="1">
      <alignment horizontal="center" vertical="center"/>
      <protection locked="0"/>
    </xf>
    <xf numFmtId="0" fontId="14" fillId="12" borderId="39" xfId="0" applyFont="1" applyFill="1" applyBorder="1" applyAlignment="1" applyProtection="1">
      <alignment horizontal="center" vertical="center" wrapText="1"/>
      <protection locked="0"/>
    </xf>
    <xf numFmtId="0" fontId="14" fillId="12" borderId="40" xfId="0" applyFont="1" applyFill="1" applyBorder="1" applyAlignment="1" applyProtection="1">
      <alignment horizontal="center" vertical="center" wrapText="1"/>
      <protection locked="0"/>
    </xf>
    <xf numFmtId="0" fontId="14" fillId="11" borderId="21" xfId="0" applyFont="1" applyFill="1" applyBorder="1" applyAlignment="1" applyProtection="1">
      <alignment horizontal="center"/>
      <protection locked="0"/>
    </xf>
    <xf numFmtId="0" fontId="14" fillId="11" borderId="22" xfId="0" applyFont="1" applyFill="1" applyBorder="1" applyAlignment="1" applyProtection="1">
      <alignment horizontal="center"/>
      <protection locked="0"/>
    </xf>
    <xf numFmtId="0" fontId="14" fillId="11" borderId="39" xfId="0" applyFont="1" applyFill="1" applyBorder="1" applyAlignment="1" applyProtection="1">
      <alignment horizontal="center" vertical="center" wrapText="1"/>
      <protection locked="0"/>
    </xf>
    <xf numFmtId="0" fontId="14" fillId="11" borderId="40" xfId="0" applyFont="1" applyFill="1" applyBorder="1" applyAlignment="1" applyProtection="1">
      <alignment horizontal="center" vertical="center" wrapText="1"/>
      <protection locked="0"/>
    </xf>
    <xf numFmtId="0" fontId="23" fillId="0" borderId="0" xfId="0" applyFont="1" applyAlignment="1">
      <alignment horizontal="left" vertical="top" wrapText="1"/>
    </xf>
    <xf numFmtId="0" fontId="14" fillId="7" borderId="29" xfId="0" applyFont="1" applyFill="1" applyBorder="1" applyAlignment="1">
      <alignment horizontal="center" vertical="center" wrapText="1"/>
    </xf>
    <xf numFmtId="0" fontId="14" fillId="7" borderId="34" xfId="0" applyFont="1" applyFill="1" applyBorder="1" applyAlignment="1">
      <alignment horizontal="center" vertical="center" wrapText="1"/>
    </xf>
    <xf numFmtId="0" fontId="1" fillId="0" borderId="23" xfId="0" applyFont="1" applyBorder="1" applyAlignment="1">
      <alignment horizontal="center"/>
    </xf>
    <xf numFmtId="0" fontId="1" fillId="0" borderId="24" xfId="0" applyFont="1" applyBorder="1" applyAlignment="1">
      <alignment horizontal="center"/>
    </xf>
    <xf numFmtId="0" fontId="29" fillId="0" borderId="3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0" xfId="0" applyFont="1" applyAlignment="1">
      <alignment horizontal="center" vertical="center" wrapText="1"/>
    </xf>
    <xf numFmtId="0" fontId="29" fillId="0" borderId="36" xfId="0" applyFont="1" applyBorder="1" applyAlignment="1">
      <alignment horizontal="center" vertical="center" wrapText="1"/>
    </xf>
    <xf numFmtId="0" fontId="14" fillId="7" borderId="35" xfId="0" applyFont="1" applyFill="1" applyBorder="1" applyAlignment="1">
      <alignment horizontal="center" vertical="center" wrapText="1"/>
    </xf>
    <xf numFmtId="0" fontId="14" fillId="7" borderId="36" xfId="0" applyFont="1" applyFill="1" applyBorder="1" applyAlignment="1">
      <alignment horizontal="center" vertical="center" wrapText="1"/>
    </xf>
    <xf numFmtId="2" fontId="26" fillId="4" borderId="23" xfId="1" applyNumberFormat="1" applyFont="1" applyFill="1" applyBorder="1" applyAlignment="1" applyProtection="1">
      <alignment horizontal="center" vertical="center"/>
      <protection locked="0"/>
    </xf>
    <xf numFmtId="2" fontId="26" fillId="4" borderId="24" xfId="1" applyNumberFormat="1" applyFont="1" applyFill="1" applyBorder="1" applyAlignment="1" applyProtection="1">
      <alignment horizontal="center" vertical="center"/>
      <protection locked="0"/>
    </xf>
    <xf numFmtId="0" fontId="14" fillId="7" borderId="21" xfId="0" applyFont="1" applyFill="1" applyBorder="1" applyAlignment="1">
      <alignment horizontal="center" vertical="center" wrapText="1"/>
    </xf>
    <xf numFmtId="0" fontId="14" fillId="7" borderId="22" xfId="0" applyFont="1" applyFill="1" applyBorder="1" applyAlignment="1">
      <alignment horizontal="center" vertical="center" wrapText="1"/>
    </xf>
    <xf numFmtId="0" fontId="23" fillId="0" borderId="0" xfId="0" applyFont="1" applyAlignment="1">
      <alignment horizontal="right" vertical="top" wrapText="1"/>
    </xf>
    <xf numFmtId="0" fontId="26" fillId="4" borderId="26" xfId="4" applyFont="1" applyBorder="1" applyAlignment="1" applyProtection="1">
      <alignment horizontal="center" vertical="center"/>
      <protection locked="0"/>
    </xf>
    <xf numFmtId="0" fontId="14" fillId="7" borderId="0" xfId="0" applyFont="1" applyFill="1" applyAlignment="1">
      <alignment horizontal="center" vertical="center" wrapText="1"/>
    </xf>
    <xf numFmtId="0" fontId="14" fillId="7" borderId="32" xfId="0" applyFont="1" applyFill="1" applyBorder="1" applyAlignment="1">
      <alignment horizontal="center" vertical="center" wrapText="1"/>
    </xf>
    <xf numFmtId="0" fontId="14" fillId="7" borderId="27" xfId="0" applyFont="1" applyFill="1" applyBorder="1" applyAlignment="1">
      <alignment horizontal="center" vertical="center" wrapText="1"/>
    </xf>
    <xf numFmtId="0" fontId="1" fillId="0" borderId="15" xfId="0" applyFont="1" applyBorder="1" applyAlignment="1">
      <alignment horizontal="center"/>
    </xf>
    <xf numFmtId="0" fontId="14" fillId="7" borderId="21" xfId="0" applyFont="1" applyFill="1" applyBorder="1" applyAlignment="1" applyProtection="1">
      <alignment horizontal="center" vertical="center" wrapText="1"/>
      <protection locked="0"/>
    </xf>
    <xf numFmtId="0" fontId="14" fillId="7" borderId="22" xfId="0" applyFont="1" applyFill="1" applyBorder="1" applyAlignment="1" applyProtection="1">
      <alignment horizontal="center" vertical="center" wrapText="1"/>
      <protection locked="0"/>
    </xf>
    <xf numFmtId="0" fontId="14" fillId="7" borderId="32" xfId="0" applyFont="1" applyFill="1" applyBorder="1" applyAlignment="1" applyProtection="1">
      <alignment horizontal="center" vertical="center" wrapText="1"/>
      <protection locked="0"/>
    </xf>
    <xf numFmtId="0" fontId="14" fillId="7" borderId="27" xfId="0" applyFont="1" applyFill="1" applyBorder="1" applyAlignment="1" applyProtection="1">
      <alignment horizontal="center" vertical="center" wrapText="1"/>
      <protection locked="0"/>
    </xf>
    <xf numFmtId="0" fontId="14" fillId="7" borderId="33" xfId="0" applyFont="1" applyFill="1" applyBorder="1" applyAlignment="1">
      <alignment horizontal="center" vertical="center"/>
    </xf>
    <xf numFmtId="0" fontId="14" fillId="7" borderId="31" xfId="0" applyFont="1" applyFill="1" applyBorder="1" applyAlignment="1">
      <alignment horizontal="center" vertical="center"/>
    </xf>
    <xf numFmtId="0" fontId="14" fillId="7" borderId="30" xfId="0" applyFont="1" applyFill="1" applyBorder="1" applyAlignment="1">
      <alignment horizontal="center"/>
    </xf>
    <xf numFmtId="0" fontId="14" fillId="7" borderId="31" xfId="0" applyFont="1" applyFill="1" applyBorder="1" applyAlignment="1">
      <alignment horizontal="center"/>
    </xf>
    <xf numFmtId="0" fontId="29" fillId="0" borderId="0" xfId="0" applyFont="1" applyAlignment="1">
      <alignment horizontal="left" vertical="center" wrapText="1"/>
    </xf>
    <xf numFmtId="0" fontId="29" fillId="0" borderId="32" xfId="0" applyFont="1" applyBorder="1" applyAlignment="1">
      <alignment horizontal="left" vertical="center" wrapText="1"/>
    </xf>
    <xf numFmtId="0" fontId="43" fillId="2" borderId="52" xfId="0" applyFont="1" applyFill="1" applyBorder="1" applyAlignment="1">
      <alignment horizontal="left" vertical="top" wrapText="1"/>
    </xf>
    <xf numFmtId="0" fontId="43" fillId="2" borderId="0" xfId="0" applyFont="1" applyFill="1" applyAlignment="1">
      <alignment horizontal="left" vertical="top" wrapText="1"/>
    </xf>
    <xf numFmtId="0" fontId="14" fillId="7" borderId="48" xfId="0" applyFont="1" applyFill="1" applyBorder="1" applyAlignment="1">
      <alignment horizontal="center" vertical="center"/>
    </xf>
    <xf numFmtId="0" fontId="14" fillId="7" borderId="49"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48" xfId="0" applyFont="1" applyFill="1" applyBorder="1" applyAlignment="1">
      <alignment horizontal="center"/>
    </xf>
    <xf numFmtId="0" fontId="14" fillId="7" borderId="49" xfId="0" applyFont="1" applyFill="1" applyBorder="1" applyAlignment="1">
      <alignment horizontal="center"/>
    </xf>
    <xf numFmtId="0" fontId="14" fillId="7" borderId="50" xfId="0" applyFont="1" applyFill="1" applyBorder="1" applyAlignment="1">
      <alignment horizontal="center"/>
    </xf>
    <xf numFmtId="0" fontId="9" fillId="0" borderId="0" xfId="0" applyFont="1" applyAlignment="1">
      <alignment horizontal="center" wrapText="1"/>
    </xf>
    <xf numFmtId="0" fontId="1" fillId="0" borderId="0" xfId="0" applyFont="1" applyAlignment="1">
      <alignment horizontal="center"/>
    </xf>
    <xf numFmtId="0" fontId="14" fillId="7" borderId="0" xfId="0" applyFont="1" applyFill="1" applyAlignment="1">
      <alignment horizontal="right"/>
    </xf>
    <xf numFmtId="0" fontId="14" fillId="7" borderId="29" xfId="0" applyFont="1" applyFill="1" applyBorder="1" applyAlignment="1">
      <alignment horizontal="right"/>
    </xf>
    <xf numFmtId="0" fontId="9" fillId="0" borderId="0" xfId="0" applyFont="1" applyAlignment="1" applyProtection="1">
      <alignment horizontal="center" wrapText="1"/>
      <protection locked="0"/>
    </xf>
    <xf numFmtId="0" fontId="65" fillId="2" borderId="0" xfId="0" applyFont="1" applyFill="1" applyAlignment="1">
      <alignment horizontal="center" vertical="center" wrapText="1"/>
    </xf>
    <xf numFmtId="0" fontId="23" fillId="2" borderId="0" xfId="0" applyFont="1" applyFill="1" applyAlignment="1">
      <alignment horizontal="center"/>
    </xf>
    <xf numFmtId="167" fontId="29" fillId="2" borderId="56" xfId="0" applyNumberFormat="1" applyFont="1" applyFill="1" applyBorder="1" applyAlignment="1">
      <alignment horizontal="center"/>
    </xf>
    <xf numFmtId="0" fontId="29" fillId="2" borderId="56" xfId="0" applyFont="1" applyFill="1" applyBorder="1" applyAlignment="1">
      <alignment horizontal="center"/>
    </xf>
    <xf numFmtId="0" fontId="14" fillId="7" borderId="16" xfId="0" applyFont="1" applyFill="1" applyBorder="1" applyAlignment="1">
      <alignment horizontal="center" vertical="center" wrapText="1"/>
    </xf>
    <xf numFmtId="0" fontId="14" fillId="7" borderId="23" xfId="0" applyFont="1" applyFill="1" applyBorder="1" applyAlignment="1">
      <alignment horizontal="center" vertical="center" wrapText="1"/>
    </xf>
    <xf numFmtId="0" fontId="14" fillId="7" borderId="26" xfId="0" applyFont="1" applyFill="1" applyBorder="1" applyAlignment="1">
      <alignment horizontal="center" vertical="center" wrapText="1"/>
    </xf>
    <xf numFmtId="0" fontId="14" fillId="7" borderId="24" xfId="0" applyFont="1" applyFill="1" applyBorder="1" applyAlignment="1">
      <alignment horizontal="center" vertical="center" wrapText="1"/>
    </xf>
    <xf numFmtId="0" fontId="44" fillId="0" borderId="0" xfId="0" applyFont="1" applyAlignment="1">
      <alignment horizontal="center" vertical="center"/>
    </xf>
    <xf numFmtId="0" fontId="51" fillId="8" borderId="0" xfId="0" applyFont="1" applyFill="1" applyAlignment="1" applyProtection="1">
      <alignment horizontal="center" vertical="center"/>
      <protection locked="0"/>
    </xf>
    <xf numFmtId="0" fontId="14" fillId="5" borderId="2" xfId="0" applyFont="1" applyFill="1" applyBorder="1" applyAlignment="1">
      <alignment horizontal="center" vertical="center"/>
    </xf>
    <xf numFmtId="0" fontId="14" fillId="5" borderId="3" xfId="0" applyFont="1" applyFill="1" applyBorder="1" applyAlignment="1">
      <alignment horizontal="center" vertical="center"/>
    </xf>
    <xf numFmtId="0" fontId="14" fillId="5" borderId="4" xfId="0" applyFont="1" applyFill="1" applyBorder="1" applyAlignment="1">
      <alignment horizontal="center" vertical="center"/>
    </xf>
    <xf numFmtId="3" fontId="14" fillId="5" borderId="2" xfId="0" applyNumberFormat="1" applyFont="1" applyFill="1" applyBorder="1" applyAlignment="1">
      <alignment horizontal="center" vertical="center"/>
    </xf>
    <xf numFmtId="3" fontId="14" fillId="5" borderId="3" xfId="0" applyNumberFormat="1" applyFont="1" applyFill="1" applyBorder="1" applyAlignment="1">
      <alignment horizontal="center" vertical="center"/>
    </xf>
    <xf numFmtId="3" fontId="14" fillId="5" borderId="4" xfId="0" applyNumberFormat="1" applyFont="1" applyFill="1" applyBorder="1" applyAlignment="1">
      <alignment horizontal="center" vertical="center"/>
    </xf>
    <xf numFmtId="3" fontId="25" fillId="0" borderId="7" xfId="0" applyNumberFormat="1" applyFont="1" applyBorder="1" applyAlignment="1">
      <alignment horizontal="center" vertical="center" textRotation="180"/>
    </xf>
    <xf numFmtId="3" fontId="25" fillId="0" borderId="9" xfId="0" applyNumberFormat="1" applyFont="1" applyBorder="1" applyAlignment="1">
      <alignment horizontal="center" vertical="center" textRotation="180"/>
    </xf>
    <xf numFmtId="3" fontId="25" fillId="0" borderId="12" xfId="0" applyNumberFormat="1" applyFont="1" applyBorder="1" applyAlignment="1">
      <alignment horizontal="center" vertical="center" textRotation="180"/>
    </xf>
    <xf numFmtId="0" fontId="14" fillId="8" borderId="0" xfId="0" applyFont="1" applyFill="1" applyAlignment="1">
      <alignment horizontal="center"/>
    </xf>
  </cellXfs>
  <cellStyles count="7">
    <cellStyle name="Cálculo" xfId="3" builtinId="22"/>
    <cellStyle name="Entrada" xfId="4" builtinId="20" customBuiltin="1"/>
    <cellStyle name="Normal" xfId="0" builtinId="0"/>
    <cellStyle name="Normal 5" xfId="5" xr:uid="{46FD9549-BD3B-45D1-9D2E-5A3363463DD1}"/>
    <cellStyle name="Porcentagem" xfId="1" builtinId="5"/>
    <cellStyle name="Vírgula" xfId="2" builtinId="3"/>
    <cellStyle name="Vírgula 4" xfId="6" xr:uid="{2E58E311-254D-4A8A-9ED6-CCD312F23488}"/>
  </cellStyles>
  <dxfs count="102">
    <dxf>
      <font>
        <color theme="0"/>
      </font>
      <fill>
        <patternFill patternType="solid">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fgColor auto="1"/>
          <bgColor theme="5"/>
        </patternFill>
      </fill>
    </dxf>
    <dxf>
      <fill>
        <patternFill>
          <fgColor auto="1"/>
          <bgColor theme="5"/>
        </patternFill>
      </fill>
    </dxf>
    <dxf>
      <fill>
        <patternFill>
          <fgColor auto="1"/>
          <bgColor theme="5"/>
        </patternFill>
      </fill>
    </dxf>
    <dxf>
      <fill>
        <patternFill>
          <fgColor auto="1"/>
          <bgColor theme="5"/>
        </patternFill>
      </fill>
    </dxf>
    <dxf>
      <fill>
        <patternFill>
          <fgColor auto="1"/>
          <bgColor theme="5"/>
        </patternFill>
      </fill>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color theme="0"/>
      </font>
      <fill>
        <patternFill patternType="solid">
          <fgColor theme="0"/>
          <bgColor theme="0"/>
        </patternFill>
      </fill>
      <border>
        <left/>
        <right/>
        <top/>
        <bottom/>
        <vertical/>
        <horizontal/>
      </border>
    </dxf>
    <dxf>
      <font>
        <u val="none"/>
        <color theme="0"/>
      </font>
      <fill>
        <patternFill patternType="solid">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color theme="0"/>
      </font>
      <fill>
        <patternFill>
          <fgColor theme="0"/>
          <bgColor theme="0"/>
        </patternFill>
      </fill>
      <border>
        <left/>
        <right/>
        <top/>
        <bottom/>
        <vertical/>
        <horizontal/>
      </border>
    </dxf>
    <dxf>
      <font>
        <u val="none"/>
        <color theme="0"/>
      </font>
      <fill>
        <patternFill>
          <fgColor theme="0"/>
          <bgColor theme="0"/>
        </patternFill>
      </fill>
      <border>
        <left/>
        <right/>
        <top/>
        <bottom/>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theme="0"/>
      </font>
      <fill>
        <patternFill patternType="solid">
          <fgColor theme="0"/>
          <bgColor theme="0"/>
        </patternFill>
      </fill>
      <border>
        <left/>
        <right/>
        <top/>
        <bottom/>
        <vertical/>
        <horizontal/>
      </border>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0006"/>
      </font>
    </dxf>
    <dxf>
      <font>
        <color rgb="FF9C0006"/>
      </font>
    </dxf>
    <dxf>
      <font>
        <color rgb="FF9C0006"/>
      </font>
    </dxf>
    <dxf>
      <font>
        <color rgb="FF9C0006"/>
      </font>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s>
  <tableStyles count="0" defaultTableStyle="TableStyleMedium2" defaultPivotStyle="PivotStyleLight16"/>
  <colors>
    <mruColors>
      <color rgb="FFF8F1DF"/>
      <color rgb="FF726C5A"/>
      <color rgb="FF0EB1BA"/>
      <color rgb="FFDDCFAD"/>
      <color rgb="FF5D7646"/>
      <color rgb="FF686A1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the Current Scenario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share'!$B$26</c:f>
              <c:strCache>
                <c:ptCount val="1"/>
                <c:pt idx="0">
                  <c:v>Oral contraceptive</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share'!$C$26:$G$26</c:f>
              <c:numCache>
                <c:formatCode>0.00%</c:formatCode>
                <c:ptCount val="5"/>
                <c:pt idx="0">
                  <c:v>1</c:v>
                </c:pt>
                <c:pt idx="1">
                  <c:v>1</c:v>
                </c:pt>
                <c:pt idx="2">
                  <c:v>1</c:v>
                </c:pt>
                <c:pt idx="3">
                  <c:v>1</c:v>
                </c:pt>
                <c:pt idx="4">
                  <c:v>1</c:v>
                </c:pt>
              </c:numCache>
            </c:numRef>
          </c:val>
          <c:extLst>
            <c:ext xmlns:c16="http://schemas.microsoft.com/office/drawing/2014/chart" uri="{C3380CC4-5D6E-409C-BE32-E72D297353CC}">
              <c16:uniqueId val="{00000000-B073-46E8-A659-581580C2DFAC}"/>
            </c:ext>
          </c:extLst>
        </c:ser>
        <c:ser>
          <c:idx val="1"/>
          <c:order val="1"/>
          <c:tx>
            <c:strRef>
              <c:f>'Mkt share'!$B$27</c:f>
              <c:strCache>
                <c:ptCount val="1"/>
                <c:pt idx="0">
                  <c:v>Do not fill this line</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share'!$C$27:$G$27</c:f>
              <c:numCache>
                <c:formatCode>0.00%</c:formatCode>
                <c:ptCount val="5"/>
              </c:numCache>
            </c:numRef>
          </c:val>
          <c:extLst>
            <c:ext xmlns:c16="http://schemas.microsoft.com/office/drawing/2014/chart" uri="{C3380CC4-5D6E-409C-BE32-E72D297353CC}">
              <c16:uniqueId val="{00000001-B073-46E8-A659-581580C2DFAC}"/>
            </c:ext>
          </c:extLst>
        </c:ser>
        <c:ser>
          <c:idx val="2"/>
          <c:order val="2"/>
          <c:tx>
            <c:strRef>
              <c:f>'Mkt share'!$B$28</c:f>
              <c:strCache>
                <c:ptCount val="1"/>
                <c:pt idx="0">
                  <c:v>Do not fill this line</c:v>
                </c:pt>
              </c:strCache>
              <c:extLst xmlns:c15="http://schemas.microsoft.com/office/drawing/2012/chart"/>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share'!$C$28:$G$28</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2-B073-46E8-A659-581580C2DFAC}"/>
            </c:ext>
          </c:extLst>
        </c:ser>
        <c:ser>
          <c:idx val="3"/>
          <c:order val="3"/>
          <c:tx>
            <c:strRef>
              <c:f>'Mkt share'!$B$29</c:f>
              <c:strCache>
                <c:ptCount val="1"/>
                <c:pt idx="0">
                  <c:v>Do not fill this line</c:v>
                </c:pt>
              </c:strCache>
              <c:extLst xmlns:c15="http://schemas.microsoft.com/office/drawing/2012/chart"/>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share'!$C$29:$G$29</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3-B073-46E8-A659-581580C2DFAC}"/>
            </c:ext>
          </c:extLst>
        </c:ser>
        <c:ser>
          <c:idx val="4"/>
          <c:order val="4"/>
          <c:tx>
            <c:strRef>
              <c:f>'Mkt share'!$B$30</c:f>
              <c:strCache>
                <c:ptCount val="1"/>
                <c:pt idx="0">
                  <c:v>Do not fill this line</c:v>
                </c:pt>
              </c:strCache>
              <c:extLst xmlns:c15="http://schemas.microsoft.com/office/drawing/2012/chart"/>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share'!$C$30:$G$30</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4-B073-46E8-A659-581580C2DFAC}"/>
            </c:ext>
          </c:extLst>
        </c:ser>
        <c:ser>
          <c:idx val="5"/>
          <c:order val="5"/>
          <c:tx>
            <c:strRef>
              <c:f>'Mkt share'!$B$31</c:f>
              <c:strCache>
                <c:ptCount val="1"/>
                <c:pt idx="0">
                  <c:v>Do not fill this line</c:v>
                </c:pt>
              </c:strCache>
              <c:extLst xmlns:c15="http://schemas.microsoft.com/office/drawing/2012/chart"/>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share'!$C$31:$G$31</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5-B073-46E8-A659-581580C2DFAC}"/>
            </c:ext>
          </c:extLst>
        </c:ser>
        <c:ser>
          <c:idx val="6"/>
          <c:order val="6"/>
          <c:tx>
            <c:strRef>
              <c:f>'Mkt share'!$B$32</c:f>
              <c:strCache>
                <c:ptCount val="1"/>
                <c:pt idx="0">
                  <c:v>Do not fill this line</c:v>
                </c:pt>
              </c:strCache>
              <c:extLst xmlns:c15="http://schemas.microsoft.com/office/drawing/2012/chart"/>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share'!$C$32:$G$32</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6-B073-46E8-A659-581580C2DFAC}"/>
            </c:ext>
          </c:extLst>
        </c:ser>
        <c:ser>
          <c:idx val="7"/>
          <c:order val="7"/>
          <c:tx>
            <c:strRef>
              <c:f>'Mkt share'!$B$33</c:f>
              <c:strCache>
                <c:ptCount val="1"/>
                <c:pt idx="0">
                  <c:v>Do not fill this line</c:v>
                </c:pt>
              </c:strCache>
              <c:extLst xmlns:c15="http://schemas.microsoft.com/office/drawing/2012/chart"/>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share'!$C$33:$G$33</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7-B073-46E8-A659-581580C2DFAC}"/>
            </c:ext>
          </c:extLst>
        </c:ser>
        <c:ser>
          <c:idx val="8"/>
          <c:order val="8"/>
          <c:tx>
            <c:strRef>
              <c:f>'Mkt share'!$B$34</c:f>
              <c:strCache>
                <c:ptCount val="1"/>
                <c:pt idx="0">
                  <c:v>Do not fill this line</c:v>
                </c:pt>
              </c:strCache>
              <c:extLst xmlns:c15="http://schemas.microsoft.com/office/drawing/2012/chart"/>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share'!$C$34:$G$34</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8-B073-46E8-A659-581580C2DFAC}"/>
            </c:ext>
          </c:extLst>
        </c:ser>
        <c:ser>
          <c:idx val="9"/>
          <c:order val="9"/>
          <c:tx>
            <c:strRef>
              <c:f>'Mkt share'!$B$35</c:f>
              <c:strCache>
                <c:ptCount val="1"/>
                <c:pt idx="0">
                  <c:v>Do not fill this line</c:v>
                </c:pt>
              </c:strCache>
              <c:extLst xmlns:c15="http://schemas.microsoft.com/office/drawing/2012/chart"/>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share'!$C$35:$G$35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9-B073-46E8-A659-581580C2DFAC}"/>
            </c:ext>
          </c:extLst>
        </c:ser>
        <c:ser>
          <c:idx val="10"/>
          <c:order val="10"/>
          <c:tx>
            <c:strRef>
              <c:f>'Mkt share'!$B$22</c:f>
              <c:strCache>
                <c:ptCount val="1"/>
                <c:pt idx="0">
                  <c:v>Intrauterine device levonorgestrel</c:v>
                </c:pt>
              </c:strCache>
              <c:extLst xmlns:c15="http://schemas.microsoft.com/office/drawing/2012/chart"/>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share'!$C$22:$G$22</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A-B073-46E8-A659-581580C2DFAC}"/>
            </c:ext>
          </c:extLst>
        </c:ser>
        <c:ser>
          <c:idx val="11"/>
          <c:order val="11"/>
          <c:tx>
            <c:strRef>
              <c:f>'Mkt share'!$B$23</c:f>
              <c:strCache>
                <c:ptCount val="1"/>
                <c:pt idx="0">
                  <c:v>Do not fill this line</c:v>
                </c:pt>
              </c:strCache>
              <c:extLst xmlns:c15="http://schemas.microsoft.com/office/drawing/2012/chart"/>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share'!$C$23:$G$23</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B-B073-46E8-A659-581580C2DFAC}"/>
            </c:ext>
          </c:extLst>
        </c:ser>
        <c:ser>
          <c:idx val="12"/>
          <c:order val="12"/>
          <c:tx>
            <c:strRef>
              <c:f>'Mkt share'!$B$24</c:f>
              <c:strCache>
                <c:ptCount val="1"/>
                <c:pt idx="0">
                  <c:v>Do not fill this line</c:v>
                </c:pt>
              </c:strCache>
              <c:extLst xmlns:c15="http://schemas.microsoft.com/office/drawing/2012/chart"/>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share'!$C$24:$G$24</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C-B073-46E8-A659-581580C2DFAC}"/>
            </c:ext>
          </c:extLst>
        </c:ser>
        <c:ser>
          <c:idx val="13"/>
          <c:order val="13"/>
          <c:tx>
            <c:strRef>
              <c:f>'Mkt share'!$B$25</c:f>
              <c:strCache>
                <c:ptCount val="1"/>
                <c:pt idx="0">
                  <c:v>Do not fill this line</c:v>
                </c:pt>
              </c:strCache>
              <c:extLst xmlns:c15="http://schemas.microsoft.com/office/drawing/2012/chart"/>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share'!$C$25:$G$25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D-B073-46E8-A659-581580C2DFAC}"/>
            </c:ext>
          </c:extLst>
        </c:ser>
        <c:dLbls>
          <c:showLegendKey val="0"/>
          <c:showVal val="0"/>
          <c:showCatName val="0"/>
          <c:showSerName val="0"/>
          <c:showPercent val="0"/>
          <c:showBubbleSize val="0"/>
        </c:dLbls>
        <c:axId val="1063232895"/>
        <c:axId val="1063233375"/>
        <c:extLst/>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share'!$B$46</c:f>
              <c:strCache>
                <c:ptCount val="1"/>
                <c:pt idx="0">
                  <c:v>Oral contraceptive</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share'!$C$46:$G$46</c:f>
              <c:numCache>
                <c:formatCode>0.00%</c:formatCode>
                <c:ptCount val="5"/>
                <c:pt idx="0">
                  <c:v>0.95</c:v>
                </c:pt>
                <c:pt idx="1">
                  <c:v>0.9</c:v>
                </c:pt>
                <c:pt idx="2">
                  <c:v>0.85</c:v>
                </c:pt>
                <c:pt idx="3">
                  <c:v>0.8</c:v>
                </c:pt>
                <c:pt idx="4">
                  <c:v>0.75</c:v>
                </c:pt>
              </c:numCache>
            </c:numRef>
          </c:val>
          <c:extLst>
            <c:ext xmlns:c16="http://schemas.microsoft.com/office/drawing/2014/chart" uri="{C3380CC4-5D6E-409C-BE32-E72D297353CC}">
              <c16:uniqueId val="{00000000-B2A2-45C5-B30F-59938CBB4F9C}"/>
            </c:ext>
          </c:extLst>
        </c:ser>
        <c:ser>
          <c:idx val="1"/>
          <c:order val="1"/>
          <c:tx>
            <c:strRef>
              <c:f>'Mkt share'!$B$47</c:f>
              <c:strCache>
                <c:ptCount val="1"/>
                <c:pt idx="0">
                  <c:v>Do not fill this line</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share'!$C$47:$G$47</c:f>
              <c:numCache>
                <c:formatCode>0.00%</c:formatCode>
                <c:ptCount val="5"/>
              </c:numCache>
            </c:numRef>
          </c:val>
          <c:extLst>
            <c:ext xmlns:c16="http://schemas.microsoft.com/office/drawing/2014/chart" uri="{C3380CC4-5D6E-409C-BE32-E72D297353CC}">
              <c16:uniqueId val="{00000001-B2A2-45C5-B30F-59938CBB4F9C}"/>
            </c:ext>
          </c:extLst>
        </c:ser>
        <c:ser>
          <c:idx val="2"/>
          <c:order val="2"/>
          <c:tx>
            <c:strRef>
              <c:f>'Mkt share'!$B$48</c:f>
              <c:strCache>
                <c:ptCount val="1"/>
                <c:pt idx="0">
                  <c:v>Do not fill this line</c:v>
                </c:pt>
              </c:strCache>
              <c:extLst xmlns:c15="http://schemas.microsoft.com/office/drawing/2012/chart"/>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share'!$C$48:$G$48</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2-B2A2-45C5-B30F-59938CBB4F9C}"/>
            </c:ext>
          </c:extLst>
        </c:ser>
        <c:ser>
          <c:idx val="3"/>
          <c:order val="3"/>
          <c:tx>
            <c:strRef>
              <c:f>'Mkt share'!$B$49</c:f>
              <c:strCache>
                <c:ptCount val="1"/>
                <c:pt idx="0">
                  <c:v>Do not fill this line</c:v>
                </c:pt>
              </c:strCache>
              <c:extLst xmlns:c15="http://schemas.microsoft.com/office/drawing/2012/chart"/>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share'!$C$49:$G$49</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3-B2A2-45C5-B30F-59938CBB4F9C}"/>
            </c:ext>
          </c:extLst>
        </c:ser>
        <c:ser>
          <c:idx val="4"/>
          <c:order val="4"/>
          <c:tx>
            <c:strRef>
              <c:f>'Mkt share'!$B$50</c:f>
              <c:strCache>
                <c:ptCount val="1"/>
                <c:pt idx="0">
                  <c:v>Do not fill this line</c:v>
                </c:pt>
              </c:strCache>
              <c:extLst xmlns:c15="http://schemas.microsoft.com/office/drawing/2012/chart"/>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share'!$C$50:$G$50</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4-B2A2-45C5-B30F-59938CBB4F9C}"/>
            </c:ext>
          </c:extLst>
        </c:ser>
        <c:ser>
          <c:idx val="5"/>
          <c:order val="5"/>
          <c:tx>
            <c:strRef>
              <c:f>'Mkt share'!$B$51</c:f>
              <c:strCache>
                <c:ptCount val="1"/>
                <c:pt idx="0">
                  <c:v>Do not fill this line</c:v>
                </c:pt>
              </c:strCache>
              <c:extLst xmlns:c15="http://schemas.microsoft.com/office/drawing/2012/chart"/>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share'!$C$51:$G$51</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5-B2A2-45C5-B30F-59938CBB4F9C}"/>
            </c:ext>
          </c:extLst>
        </c:ser>
        <c:ser>
          <c:idx val="6"/>
          <c:order val="6"/>
          <c:tx>
            <c:strRef>
              <c:f>'Mkt share'!$B$52</c:f>
              <c:strCache>
                <c:ptCount val="1"/>
                <c:pt idx="0">
                  <c:v>Do not fill this line</c:v>
                </c:pt>
              </c:strCache>
              <c:extLst xmlns:c15="http://schemas.microsoft.com/office/drawing/2012/chart"/>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share'!$C$52:$G$52</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6-B2A2-45C5-B30F-59938CBB4F9C}"/>
            </c:ext>
          </c:extLst>
        </c:ser>
        <c:ser>
          <c:idx val="7"/>
          <c:order val="7"/>
          <c:tx>
            <c:strRef>
              <c:f>'Mkt share'!$B$53</c:f>
              <c:strCache>
                <c:ptCount val="1"/>
                <c:pt idx="0">
                  <c:v>Do not fill this line</c:v>
                </c:pt>
              </c:strCache>
              <c:extLst xmlns:c15="http://schemas.microsoft.com/office/drawing/2012/chart"/>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share'!$C$53:$G$53</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7-B2A2-45C5-B30F-59938CBB4F9C}"/>
            </c:ext>
          </c:extLst>
        </c:ser>
        <c:ser>
          <c:idx val="8"/>
          <c:order val="8"/>
          <c:tx>
            <c:strRef>
              <c:f>'Mkt share'!$B$54</c:f>
              <c:strCache>
                <c:ptCount val="1"/>
                <c:pt idx="0">
                  <c:v>Do not fill this line</c:v>
                </c:pt>
              </c:strCache>
              <c:extLst xmlns:c15="http://schemas.microsoft.com/office/drawing/2012/chart"/>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share'!$C$54:$G$54</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8-B2A2-45C5-B30F-59938CBB4F9C}"/>
            </c:ext>
          </c:extLst>
        </c:ser>
        <c:ser>
          <c:idx val="9"/>
          <c:order val="9"/>
          <c:tx>
            <c:strRef>
              <c:f>'Mkt share'!$B$55</c:f>
              <c:strCache>
                <c:ptCount val="1"/>
                <c:pt idx="0">
                  <c:v>Do not fill this line</c:v>
                </c:pt>
              </c:strCache>
              <c:extLst xmlns:c15="http://schemas.microsoft.com/office/drawing/2012/chart"/>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share'!$C$55:$G$55</c:f>
              <c:numCache>
                <c:formatCode>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9-B2A2-45C5-B30F-59938CBB4F9C}"/>
            </c:ext>
          </c:extLst>
        </c:ser>
        <c:ser>
          <c:idx val="10"/>
          <c:order val="10"/>
          <c:tx>
            <c:strRef>
              <c:f>'Mkt share'!$B$42</c:f>
              <c:strCache>
                <c:ptCount val="1"/>
                <c:pt idx="0">
                  <c:v>Intrauterine device levonorgestrel</c:v>
                </c:pt>
              </c:strCache>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share'!$C$42:$G$42</c:f>
              <c:numCache>
                <c:formatCode>0.00%</c:formatCode>
                <c:ptCount val="5"/>
                <c:pt idx="0">
                  <c:v>0.05</c:v>
                </c:pt>
                <c:pt idx="1">
                  <c:v>0.1</c:v>
                </c:pt>
                <c:pt idx="2">
                  <c:v>0.15</c:v>
                </c:pt>
                <c:pt idx="3">
                  <c:v>0.2</c:v>
                </c:pt>
                <c:pt idx="4">
                  <c:v>0.25</c:v>
                </c:pt>
              </c:numCache>
            </c:numRef>
          </c:val>
          <c:extLst>
            <c:ext xmlns:c16="http://schemas.microsoft.com/office/drawing/2014/chart" uri="{C3380CC4-5D6E-409C-BE32-E72D297353CC}">
              <c16:uniqueId val="{0000000A-B2A2-45C5-B30F-59938CBB4F9C}"/>
            </c:ext>
          </c:extLst>
        </c:ser>
        <c:ser>
          <c:idx val="11"/>
          <c:order val="11"/>
          <c:tx>
            <c:strRef>
              <c:f>'Mkt share'!$B$43</c:f>
              <c:strCache>
                <c:ptCount val="1"/>
                <c:pt idx="0">
                  <c:v>Do not fill this line</c:v>
                </c:pt>
              </c:strCache>
              <c:extLst xmlns:c15="http://schemas.microsoft.com/office/drawing/2012/chart"/>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share'!$C$43:$G$43</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B-B2A2-45C5-B30F-59938CBB4F9C}"/>
            </c:ext>
          </c:extLst>
        </c:ser>
        <c:ser>
          <c:idx val="12"/>
          <c:order val="12"/>
          <c:tx>
            <c:strRef>
              <c:f>'Mkt share'!$B$44</c:f>
              <c:strCache>
                <c:ptCount val="1"/>
                <c:pt idx="0">
                  <c:v>Do not fill this line</c:v>
                </c:pt>
              </c:strCache>
              <c:extLst xmlns:c15="http://schemas.microsoft.com/office/drawing/2012/chart"/>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share'!$C$44:$G$44</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C-B2A2-45C5-B30F-59938CBB4F9C}"/>
            </c:ext>
          </c:extLst>
        </c:ser>
        <c:ser>
          <c:idx val="13"/>
          <c:order val="13"/>
          <c:tx>
            <c:strRef>
              <c:f>'Mkt share'!$B$45</c:f>
              <c:strCache>
                <c:ptCount val="1"/>
                <c:pt idx="0">
                  <c:v>Do not fill this line</c:v>
                </c:pt>
              </c:strCache>
              <c:extLst xmlns:c15="http://schemas.microsoft.com/office/drawing/2012/chart"/>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extLst xmlns:c15="http://schemas.microsoft.com/office/drawing/2012/chart"/>
            </c:numRef>
          </c:cat>
          <c:val>
            <c:numRef>
              <c:f>'Mkt share'!$C$45:$G$45</c:f>
              <c:numCache>
                <c:formatCode>0.00%</c:formatCode>
                <c:ptCount val="5"/>
              </c:numCache>
              <c:extLst xmlns:c15="http://schemas.microsoft.com/office/drawing/2012/chart"/>
            </c:numRef>
          </c:val>
          <c:extLst xmlns:c15="http://schemas.microsoft.com/office/drawing/2012/chart">
            <c:ext xmlns:c16="http://schemas.microsoft.com/office/drawing/2014/chart" uri="{C3380CC4-5D6E-409C-BE32-E72D297353CC}">
              <c16:uniqueId val="{0000000D-B2A2-45C5-B30F-59938CBB4F9C}"/>
            </c:ext>
          </c:extLst>
        </c:ser>
        <c:dLbls>
          <c:showLegendKey val="0"/>
          <c:showVal val="0"/>
          <c:showCatName val="0"/>
          <c:showSerName val="0"/>
          <c:showPercent val="0"/>
          <c:showBubbleSize val="0"/>
        </c:dLbls>
        <c:axId val="1063232895"/>
        <c:axId val="1063233375"/>
        <c:extLst/>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share'!$B$66</c:f>
              <c:strCache>
                <c:ptCount val="1"/>
                <c:pt idx="0">
                  <c:v>Oral contraceptive</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share'!$C$66:$G$66</c:f>
              <c:numCache>
                <c:formatCode>0.00%</c:formatCode>
                <c:ptCount val="5"/>
                <c:pt idx="0">
                  <c:v>0.9</c:v>
                </c:pt>
                <c:pt idx="1">
                  <c:v>0.8</c:v>
                </c:pt>
                <c:pt idx="2">
                  <c:v>0.7</c:v>
                </c:pt>
                <c:pt idx="3">
                  <c:v>0.6</c:v>
                </c:pt>
                <c:pt idx="4">
                  <c:v>0.5</c:v>
                </c:pt>
              </c:numCache>
            </c:numRef>
          </c:val>
          <c:extLst>
            <c:ext xmlns:c16="http://schemas.microsoft.com/office/drawing/2014/chart" uri="{C3380CC4-5D6E-409C-BE32-E72D297353CC}">
              <c16:uniqueId val="{00000000-63CB-4CAC-9071-3ADDB7F8A0D1}"/>
            </c:ext>
          </c:extLst>
        </c:ser>
        <c:ser>
          <c:idx val="1"/>
          <c:order val="1"/>
          <c:tx>
            <c:strRef>
              <c:f>'Mkt share'!$B$67</c:f>
              <c:strCache>
                <c:ptCount val="1"/>
                <c:pt idx="0">
                  <c:v>Do not fill this line</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share'!$C$67:$G$67</c:f>
              <c:numCache>
                <c:formatCode>0.00%</c:formatCode>
                <c:ptCount val="5"/>
              </c:numCache>
            </c:numRef>
          </c:val>
          <c:extLst>
            <c:ext xmlns:c16="http://schemas.microsoft.com/office/drawing/2014/chart" uri="{C3380CC4-5D6E-409C-BE32-E72D297353CC}">
              <c16:uniqueId val="{00000001-63CB-4CAC-9071-3ADDB7F8A0D1}"/>
            </c:ext>
          </c:extLst>
        </c:ser>
        <c:ser>
          <c:idx val="2"/>
          <c:order val="2"/>
          <c:tx>
            <c:strRef>
              <c:f>'Mkt share'!$B$68</c:f>
              <c:strCache>
                <c:ptCount val="1"/>
                <c:pt idx="0">
                  <c:v>Do not fill this line</c:v>
                </c:pt>
              </c:strCache>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share'!$C$68:$G$68</c:f>
              <c:numCache>
                <c:formatCode>0.00%</c:formatCode>
                <c:ptCount val="5"/>
              </c:numCache>
            </c:numRef>
          </c:val>
          <c:extLst>
            <c:ext xmlns:c16="http://schemas.microsoft.com/office/drawing/2014/chart" uri="{C3380CC4-5D6E-409C-BE32-E72D297353CC}">
              <c16:uniqueId val="{00000002-63CB-4CAC-9071-3ADDB7F8A0D1}"/>
            </c:ext>
          </c:extLst>
        </c:ser>
        <c:ser>
          <c:idx val="3"/>
          <c:order val="3"/>
          <c:tx>
            <c:strRef>
              <c:f>'Mkt share'!$B$69</c:f>
              <c:strCache>
                <c:ptCount val="1"/>
                <c:pt idx="0">
                  <c:v>Do not fill this line</c:v>
                </c:pt>
              </c:strCache>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share'!$C$69:$G$69</c:f>
              <c:numCache>
                <c:formatCode>0.00%</c:formatCode>
                <c:ptCount val="5"/>
              </c:numCache>
            </c:numRef>
          </c:val>
          <c:extLst>
            <c:ext xmlns:c16="http://schemas.microsoft.com/office/drawing/2014/chart" uri="{C3380CC4-5D6E-409C-BE32-E72D297353CC}">
              <c16:uniqueId val="{00000003-63CB-4CAC-9071-3ADDB7F8A0D1}"/>
            </c:ext>
          </c:extLst>
        </c:ser>
        <c:ser>
          <c:idx val="4"/>
          <c:order val="4"/>
          <c:tx>
            <c:strRef>
              <c:f>'Mkt share'!$B$70</c:f>
              <c:strCache>
                <c:ptCount val="1"/>
                <c:pt idx="0">
                  <c:v>Do not fill this line</c:v>
                </c:pt>
              </c:strCache>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share'!$C$70:$G$70</c:f>
              <c:numCache>
                <c:formatCode>0.00%</c:formatCode>
                <c:ptCount val="5"/>
              </c:numCache>
            </c:numRef>
          </c:val>
          <c:extLst>
            <c:ext xmlns:c16="http://schemas.microsoft.com/office/drawing/2014/chart" uri="{C3380CC4-5D6E-409C-BE32-E72D297353CC}">
              <c16:uniqueId val="{00000004-63CB-4CAC-9071-3ADDB7F8A0D1}"/>
            </c:ext>
          </c:extLst>
        </c:ser>
        <c:ser>
          <c:idx val="5"/>
          <c:order val="5"/>
          <c:tx>
            <c:strRef>
              <c:f>'Mkt share'!$B$71</c:f>
              <c:strCache>
                <c:ptCount val="1"/>
                <c:pt idx="0">
                  <c:v>Do not fill this line</c:v>
                </c:pt>
              </c:strCache>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share'!$C$71:$G$71</c:f>
              <c:numCache>
                <c:formatCode>0.00%</c:formatCode>
                <c:ptCount val="5"/>
              </c:numCache>
            </c:numRef>
          </c:val>
          <c:extLst>
            <c:ext xmlns:c16="http://schemas.microsoft.com/office/drawing/2014/chart" uri="{C3380CC4-5D6E-409C-BE32-E72D297353CC}">
              <c16:uniqueId val="{00000005-63CB-4CAC-9071-3ADDB7F8A0D1}"/>
            </c:ext>
          </c:extLst>
        </c:ser>
        <c:ser>
          <c:idx val="6"/>
          <c:order val="6"/>
          <c:tx>
            <c:strRef>
              <c:f>'Mkt share'!$B$72</c:f>
              <c:strCache>
                <c:ptCount val="1"/>
                <c:pt idx="0">
                  <c:v>Do not fill this line</c:v>
                </c:pt>
              </c:strCache>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share'!$C$72:$G$72</c:f>
              <c:numCache>
                <c:formatCode>0.00%</c:formatCode>
                <c:ptCount val="5"/>
              </c:numCache>
            </c:numRef>
          </c:val>
          <c:extLst>
            <c:ext xmlns:c16="http://schemas.microsoft.com/office/drawing/2014/chart" uri="{C3380CC4-5D6E-409C-BE32-E72D297353CC}">
              <c16:uniqueId val="{00000006-63CB-4CAC-9071-3ADDB7F8A0D1}"/>
            </c:ext>
          </c:extLst>
        </c:ser>
        <c:ser>
          <c:idx val="7"/>
          <c:order val="7"/>
          <c:tx>
            <c:strRef>
              <c:f>'Mkt share'!$B$73</c:f>
              <c:strCache>
                <c:ptCount val="1"/>
                <c:pt idx="0">
                  <c:v>Do not fill this line</c:v>
                </c:pt>
              </c:strCache>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share'!$C$73:$G$73</c:f>
              <c:numCache>
                <c:formatCode>0.00%</c:formatCode>
                <c:ptCount val="5"/>
              </c:numCache>
            </c:numRef>
          </c:val>
          <c:extLst>
            <c:ext xmlns:c16="http://schemas.microsoft.com/office/drawing/2014/chart" uri="{C3380CC4-5D6E-409C-BE32-E72D297353CC}">
              <c16:uniqueId val="{00000007-63CB-4CAC-9071-3ADDB7F8A0D1}"/>
            </c:ext>
          </c:extLst>
        </c:ser>
        <c:ser>
          <c:idx val="8"/>
          <c:order val="8"/>
          <c:tx>
            <c:strRef>
              <c:f>'Mkt share'!$B$74</c:f>
              <c:strCache>
                <c:ptCount val="1"/>
                <c:pt idx="0">
                  <c:v>Do not fill this line</c:v>
                </c:pt>
              </c:strCache>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share'!$C$74:$G$74</c:f>
              <c:numCache>
                <c:formatCode>0.00%</c:formatCode>
                <c:ptCount val="5"/>
              </c:numCache>
            </c:numRef>
          </c:val>
          <c:extLst>
            <c:ext xmlns:c16="http://schemas.microsoft.com/office/drawing/2014/chart" uri="{C3380CC4-5D6E-409C-BE32-E72D297353CC}">
              <c16:uniqueId val="{00000008-63CB-4CAC-9071-3ADDB7F8A0D1}"/>
            </c:ext>
          </c:extLst>
        </c:ser>
        <c:ser>
          <c:idx val="9"/>
          <c:order val="9"/>
          <c:tx>
            <c:strRef>
              <c:f>'Mkt share'!$B$75</c:f>
              <c:strCache>
                <c:ptCount val="1"/>
                <c:pt idx="0">
                  <c:v>Do not fill this line</c:v>
                </c:pt>
              </c:strCache>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share'!$C$75:$G$75</c:f>
              <c:numCache>
                <c:formatCode>0%</c:formatCode>
                <c:ptCount val="5"/>
              </c:numCache>
            </c:numRef>
          </c:val>
          <c:extLst>
            <c:ext xmlns:c16="http://schemas.microsoft.com/office/drawing/2014/chart" uri="{C3380CC4-5D6E-409C-BE32-E72D297353CC}">
              <c16:uniqueId val="{00000009-63CB-4CAC-9071-3ADDB7F8A0D1}"/>
            </c:ext>
          </c:extLst>
        </c:ser>
        <c:ser>
          <c:idx val="10"/>
          <c:order val="10"/>
          <c:tx>
            <c:strRef>
              <c:f>'Mkt share'!$B$62</c:f>
              <c:strCache>
                <c:ptCount val="1"/>
                <c:pt idx="0">
                  <c:v>Intrauterine device levonorgestrel</c:v>
                </c:pt>
              </c:strCache>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share'!$C$62:$G$62</c:f>
              <c:numCache>
                <c:formatCode>0.00%</c:formatCode>
                <c:ptCount val="5"/>
                <c:pt idx="0">
                  <c:v>0.1</c:v>
                </c:pt>
                <c:pt idx="1">
                  <c:v>0.2</c:v>
                </c:pt>
                <c:pt idx="2">
                  <c:v>0.3</c:v>
                </c:pt>
                <c:pt idx="3">
                  <c:v>0.4</c:v>
                </c:pt>
                <c:pt idx="4">
                  <c:v>0.5</c:v>
                </c:pt>
              </c:numCache>
            </c:numRef>
          </c:val>
          <c:extLst>
            <c:ext xmlns:c16="http://schemas.microsoft.com/office/drawing/2014/chart" uri="{C3380CC4-5D6E-409C-BE32-E72D297353CC}">
              <c16:uniqueId val="{0000000A-63CB-4CAC-9071-3ADDB7F8A0D1}"/>
            </c:ext>
          </c:extLst>
        </c:ser>
        <c:ser>
          <c:idx val="11"/>
          <c:order val="11"/>
          <c:tx>
            <c:strRef>
              <c:f>'Mkt share'!$B$63</c:f>
              <c:strCache>
                <c:ptCount val="1"/>
                <c:pt idx="0">
                  <c:v>Do not fill this line</c:v>
                </c:pt>
              </c:strCache>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share'!$C$63:$G$63</c:f>
              <c:numCache>
                <c:formatCode>0.00%</c:formatCode>
                <c:ptCount val="5"/>
              </c:numCache>
            </c:numRef>
          </c:val>
          <c:extLst>
            <c:ext xmlns:c16="http://schemas.microsoft.com/office/drawing/2014/chart" uri="{C3380CC4-5D6E-409C-BE32-E72D297353CC}">
              <c16:uniqueId val="{0000000B-63CB-4CAC-9071-3ADDB7F8A0D1}"/>
            </c:ext>
          </c:extLst>
        </c:ser>
        <c:ser>
          <c:idx val="12"/>
          <c:order val="12"/>
          <c:tx>
            <c:strRef>
              <c:f>'Mkt share'!$B$64</c:f>
              <c:strCache>
                <c:ptCount val="1"/>
                <c:pt idx="0">
                  <c:v>Do not fill this line</c:v>
                </c:pt>
              </c:strCache>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share'!$C$64:$G$64</c:f>
              <c:numCache>
                <c:formatCode>0.00%</c:formatCode>
                <c:ptCount val="5"/>
              </c:numCache>
            </c:numRef>
          </c:val>
          <c:extLst>
            <c:ext xmlns:c16="http://schemas.microsoft.com/office/drawing/2014/chart" uri="{C3380CC4-5D6E-409C-BE32-E72D297353CC}">
              <c16:uniqueId val="{0000000C-63CB-4CAC-9071-3ADDB7F8A0D1}"/>
            </c:ext>
          </c:extLst>
        </c:ser>
        <c:ser>
          <c:idx val="13"/>
          <c:order val="13"/>
          <c:tx>
            <c:strRef>
              <c:f>'Mkt share'!$B$65</c:f>
              <c:strCache>
                <c:ptCount val="1"/>
                <c:pt idx="0">
                  <c:v>Do not fill this line</c:v>
                </c:pt>
              </c:strCache>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share'!$C$65:$G$65</c:f>
              <c:numCache>
                <c:formatCode>0.00%</c:formatCode>
                <c:ptCount val="5"/>
              </c:numCache>
            </c:numRef>
          </c:val>
          <c:extLst>
            <c:ext xmlns:c16="http://schemas.microsoft.com/office/drawing/2014/chart" uri="{C3380CC4-5D6E-409C-BE32-E72D297353CC}">
              <c16:uniqueId val="{0000000D-63CB-4CAC-9071-3ADDB7F8A0D1}"/>
            </c:ext>
          </c:extLst>
        </c:ser>
        <c:dLbls>
          <c:showLegendKey val="0"/>
          <c:showVal val="0"/>
          <c:showCatName val="0"/>
          <c:showSerName val="0"/>
          <c:showPercent val="0"/>
          <c:showBubbleSize val="0"/>
        </c:dLbls>
        <c:axId val="1063232895"/>
        <c:axId val="1063233375"/>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sz="1100">
                <a:solidFill>
                  <a:srgbClr val="726C5A"/>
                </a:solidFill>
              </a:rPr>
              <a:t>Market Share of Available Technologies in Alternative Scenario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areaChart>
        <c:grouping val="stacked"/>
        <c:varyColors val="0"/>
        <c:ser>
          <c:idx val="0"/>
          <c:order val="0"/>
          <c:tx>
            <c:strRef>
              <c:f>'Mkt share'!$B$86</c:f>
              <c:strCache>
                <c:ptCount val="1"/>
                <c:pt idx="0">
                  <c:v>Oral contraceptive</c:v>
                </c:pt>
              </c:strCache>
            </c:strRef>
          </c:tx>
          <c:spPr>
            <a:solidFill>
              <a:schemeClr val="accent1"/>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share'!$C$86:$G$86</c:f>
              <c:numCache>
                <c:formatCode>0%</c:formatCode>
                <c:ptCount val="5"/>
              </c:numCache>
            </c:numRef>
          </c:val>
          <c:extLst>
            <c:ext xmlns:c16="http://schemas.microsoft.com/office/drawing/2014/chart" uri="{C3380CC4-5D6E-409C-BE32-E72D297353CC}">
              <c16:uniqueId val="{00000000-E4D7-4BF3-8AB4-FC739D798478}"/>
            </c:ext>
          </c:extLst>
        </c:ser>
        <c:ser>
          <c:idx val="1"/>
          <c:order val="1"/>
          <c:tx>
            <c:strRef>
              <c:f>'Mkt share'!$B$87</c:f>
              <c:strCache>
                <c:ptCount val="1"/>
                <c:pt idx="0">
                  <c:v>Do not fill this line</c:v>
                </c:pt>
              </c:strCache>
            </c:strRef>
          </c:tx>
          <c:spPr>
            <a:solidFill>
              <a:schemeClr val="accent2"/>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share'!$C$87:$G$87</c:f>
              <c:numCache>
                <c:formatCode>0%</c:formatCode>
                <c:ptCount val="5"/>
              </c:numCache>
            </c:numRef>
          </c:val>
          <c:extLst>
            <c:ext xmlns:c16="http://schemas.microsoft.com/office/drawing/2014/chart" uri="{C3380CC4-5D6E-409C-BE32-E72D297353CC}">
              <c16:uniqueId val="{00000001-E4D7-4BF3-8AB4-FC739D798478}"/>
            </c:ext>
          </c:extLst>
        </c:ser>
        <c:ser>
          <c:idx val="2"/>
          <c:order val="2"/>
          <c:tx>
            <c:strRef>
              <c:f>'Mkt share'!$B$88</c:f>
              <c:strCache>
                <c:ptCount val="1"/>
                <c:pt idx="0">
                  <c:v>Do not fill this line</c:v>
                </c:pt>
              </c:strCache>
            </c:strRef>
          </c:tx>
          <c:spPr>
            <a:solidFill>
              <a:schemeClr val="accent3"/>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share'!$C$88:$G$88</c:f>
              <c:numCache>
                <c:formatCode>0%</c:formatCode>
                <c:ptCount val="5"/>
              </c:numCache>
            </c:numRef>
          </c:val>
          <c:extLst>
            <c:ext xmlns:c16="http://schemas.microsoft.com/office/drawing/2014/chart" uri="{C3380CC4-5D6E-409C-BE32-E72D297353CC}">
              <c16:uniqueId val="{00000002-E4D7-4BF3-8AB4-FC739D798478}"/>
            </c:ext>
          </c:extLst>
        </c:ser>
        <c:ser>
          <c:idx val="3"/>
          <c:order val="3"/>
          <c:tx>
            <c:strRef>
              <c:f>'Mkt share'!$B$89</c:f>
              <c:strCache>
                <c:ptCount val="1"/>
                <c:pt idx="0">
                  <c:v>Do not fill this line</c:v>
                </c:pt>
              </c:strCache>
            </c:strRef>
          </c:tx>
          <c:spPr>
            <a:solidFill>
              <a:schemeClr val="accent4"/>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share'!$C$89:$G$89</c:f>
              <c:numCache>
                <c:formatCode>0%</c:formatCode>
                <c:ptCount val="5"/>
              </c:numCache>
            </c:numRef>
          </c:val>
          <c:extLst>
            <c:ext xmlns:c16="http://schemas.microsoft.com/office/drawing/2014/chart" uri="{C3380CC4-5D6E-409C-BE32-E72D297353CC}">
              <c16:uniqueId val="{00000003-E4D7-4BF3-8AB4-FC739D798478}"/>
            </c:ext>
          </c:extLst>
        </c:ser>
        <c:ser>
          <c:idx val="4"/>
          <c:order val="4"/>
          <c:tx>
            <c:strRef>
              <c:f>'Mkt share'!$B$90</c:f>
              <c:strCache>
                <c:ptCount val="1"/>
                <c:pt idx="0">
                  <c:v>Do not fill this line</c:v>
                </c:pt>
              </c:strCache>
            </c:strRef>
          </c:tx>
          <c:spPr>
            <a:solidFill>
              <a:schemeClr val="accent5"/>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share'!$C$90:$G$90</c:f>
              <c:numCache>
                <c:formatCode>0%</c:formatCode>
                <c:ptCount val="5"/>
              </c:numCache>
            </c:numRef>
          </c:val>
          <c:extLst>
            <c:ext xmlns:c16="http://schemas.microsoft.com/office/drawing/2014/chart" uri="{C3380CC4-5D6E-409C-BE32-E72D297353CC}">
              <c16:uniqueId val="{00000004-E4D7-4BF3-8AB4-FC739D798478}"/>
            </c:ext>
          </c:extLst>
        </c:ser>
        <c:ser>
          <c:idx val="5"/>
          <c:order val="5"/>
          <c:tx>
            <c:strRef>
              <c:f>'Mkt share'!$B$91</c:f>
              <c:strCache>
                <c:ptCount val="1"/>
                <c:pt idx="0">
                  <c:v>Do not fill this line</c:v>
                </c:pt>
              </c:strCache>
            </c:strRef>
          </c:tx>
          <c:spPr>
            <a:solidFill>
              <a:schemeClr val="accent6"/>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share'!$C$91:$G$91</c:f>
              <c:numCache>
                <c:formatCode>0%</c:formatCode>
                <c:ptCount val="5"/>
              </c:numCache>
            </c:numRef>
          </c:val>
          <c:extLst>
            <c:ext xmlns:c16="http://schemas.microsoft.com/office/drawing/2014/chart" uri="{C3380CC4-5D6E-409C-BE32-E72D297353CC}">
              <c16:uniqueId val="{00000005-E4D7-4BF3-8AB4-FC739D798478}"/>
            </c:ext>
          </c:extLst>
        </c:ser>
        <c:ser>
          <c:idx val="6"/>
          <c:order val="6"/>
          <c:tx>
            <c:strRef>
              <c:f>'Mkt share'!$B$92</c:f>
              <c:strCache>
                <c:ptCount val="1"/>
                <c:pt idx="0">
                  <c:v>Do not fill this line</c:v>
                </c:pt>
              </c:strCache>
            </c:strRef>
          </c:tx>
          <c:spPr>
            <a:solidFill>
              <a:schemeClr val="accent1">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share'!$C$92:$G$92</c:f>
              <c:numCache>
                <c:formatCode>0%</c:formatCode>
                <c:ptCount val="5"/>
              </c:numCache>
            </c:numRef>
          </c:val>
          <c:extLst>
            <c:ext xmlns:c16="http://schemas.microsoft.com/office/drawing/2014/chart" uri="{C3380CC4-5D6E-409C-BE32-E72D297353CC}">
              <c16:uniqueId val="{00000006-E4D7-4BF3-8AB4-FC739D798478}"/>
            </c:ext>
          </c:extLst>
        </c:ser>
        <c:ser>
          <c:idx val="7"/>
          <c:order val="7"/>
          <c:tx>
            <c:strRef>
              <c:f>'Mkt share'!$B$93</c:f>
              <c:strCache>
                <c:ptCount val="1"/>
                <c:pt idx="0">
                  <c:v>Do not fill this line</c:v>
                </c:pt>
              </c:strCache>
            </c:strRef>
          </c:tx>
          <c:spPr>
            <a:solidFill>
              <a:schemeClr val="accent2">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share'!$C$93:$G$93</c:f>
              <c:numCache>
                <c:formatCode>0%</c:formatCode>
                <c:ptCount val="5"/>
              </c:numCache>
            </c:numRef>
          </c:val>
          <c:extLst>
            <c:ext xmlns:c16="http://schemas.microsoft.com/office/drawing/2014/chart" uri="{C3380CC4-5D6E-409C-BE32-E72D297353CC}">
              <c16:uniqueId val="{00000007-E4D7-4BF3-8AB4-FC739D798478}"/>
            </c:ext>
          </c:extLst>
        </c:ser>
        <c:ser>
          <c:idx val="8"/>
          <c:order val="8"/>
          <c:tx>
            <c:strRef>
              <c:f>'Mkt share'!$B$94</c:f>
              <c:strCache>
                <c:ptCount val="1"/>
                <c:pt idx="0">
                  <c:v>Do not fill this line</c:v>
                </c:pt>
              </c:strCache>
            </c:strRef>
          </c:tx>
          <c:spPr>
            <a:solidFill>
              <a:schemeClr val="accent3">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share'!$C$94:$G$94</c:f>
              <c:numCache>
                <c:formatCode>0%</c:formatCode>
                <c:ptCount val="5"/>
              </c:numCache>
            </c:numRef>
          </c:val>
          <c:extLst>
            <c:ext xmlns:c16="http://schemas.microsoft.com/office/drawing/2014/chart" uri="{C3380CC4-5D6E-409C-BE32-E72D297353CC}">
              <c16:uniqueId val="{00000008-E4D7-4BF3-8AB4-FC739D798478}"/>
            </c:ext>
          </c:extLst>
        </c:ser>
        <c:ser>
          <c:idx val="9"/>
          <c:order val="9"/>
          <c:tx>
            <c:strRef>
              <c:f>'Mkt share'!$B$95</c:f>
              <c:strCache>
                <c:ptCount val="1"/>
                <c:pt idx="0">
                  <c:v>Do not fill this line</c:v>
                </c:pt>
              </c:strCache>
            </c:strRef>
          </c:tx>
          <c:spPr>
            <a:solidFill>
              <a:schemeClr val="accent4">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share'!$C$95:$G$95</c:f>
              <c:numCache>
                <c:formatCode>0%</c:formatCode>
                <c:ptCount val="5"/>
              </c:numCache>
            </c:numRef>
          </c:val>
          <c:extLst>
            <c:ext xmlns:c16="http://schemas.microsoft.com/office/drawing/2014/chart" uri="{C3380CC4-5D6E-409C-BE32-E72D297353CC}">
              <c16:uniqueId val="{00000009-E4D7-4BF3-8AB4-FC739D798478}"/>
            </c:ext>
          </c:extLst>
        </c:ser>
        <c:ser>
          <c:idx val="10"/>
          <c:order val="10"/>
          <c:tx>
            <c:strRef>
              <c:f>'Mkt share'!$B$82</c:f>
              <c:strCache>
                <c:ptCount val="1"/>
                <c:pt idx="0">
                  <c:v>Intrauterine device levonorgestrel</c:v>
                </c:pt>
              </c:strCache>
            </c:strRef>
          </c:tx>
          <c:spPr>
            <a:solidFill>
              <a:schemeClr val="accent5">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share'!$C$82:$G$82</c:f>
              <c:numCache>
                <c:formatCode>0%</c:formatCode>
                <c:ptCount val="5"/>
              </c:numCache>
            </c:numRef>
          </c:val>
          <c:extLst>
            <c:ext xmlns:c16="http://schemas.microsoft.com/office/drawing/2014/chart" uri="{C3380CC4-5D6E-409C-BE32-E72D297353CC}">
              <c16:uniqueId val="{0000000A-E4D7-4BF3-8AB4-FC739D798478}"/>
            </c:ext>
          </c:extLst>
        </c:ser>
        <c:ser>
          <c:idx val="11"/>
          <c:order val="11"/>
          <c:tx>
            <c:strRef>
              <c:f>'Mkt share'!$B$83</c:f>
              <c:strCache>
                <c:ptCount val="1"/>
                <c:pt idx="0">
                  <c:v>Do not fill this line</c:v>
                </c:pt>
              </c:strCache>
            </c:strRef>
          </c:tx>
          <c:spPr>
            <a:solidFill>
              <a:schemeClr val="accent6">
                <a:lumMod val="6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share'!$C$83:$G$83</c:f>
              <c:numCache>
                <c:formatCode>0%</c:formatCode>
                <c:ptCount val="5"/>
              </c:numCache>
            </c:numRef>
          </c:val>
          <c:extLst>
            <c:ext xmlns:c16="http://schemas.microsoft.com/office/drawing/2014/chart" uri="{C3380CC4-5D6E-409C-BE32-E72D297353CC}">
              <c16:uniqueId val="{0000000B-E4D7-4BF3-8AB4-FC739D798478}"/>
            </c:ext>
          </c:extLst>
        </c:ser>
        <c:ser>
          <c:idx val="12"/>
          <c:order val="12"/>
          <c:tx>
            <c:strRef>
              <c:f>'Mkt share'!$B$84</c:f>
              <c:strCache>
                <c:ptCount val="1"/>
                <c:pt idx="0">
                  <c:v>Do not fill this line</c:v>
                </c:pt>
              </c:strCache>
            </c:strRef>
          </c:tx>
          <c:spPr>
            <a:solidFill>
              <a:schemeClr val="accent1">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share'!$C$84:$G$84</c:f>
              <c:numCache>
                <c:formatCode>0%</c:formatCode>
                <c:ptCount val="5"/>
              </c:numCache>
            </c:numRef>
          </c:val>
          <c:extLst>
            <c:ext xmlns:c16="http://schemas.microsoft.com/office/drawing/2014/chart" uri="{C3380CC4-5D6E-409C-BE32-E72D297353CC}">
              <c16:uniqueId val="{0000000C-E4D7-4BF3-8AB4-FC739D798478}"/>
            </c:ext>
          </c:extLst>
        </c:ser>
        <c:ser>
          <c:idx val="13"/>
          <c:order val="13"/>
          <c:tx>
            <c:strRef>
              <c:f>'Mkt share'!$B$85</c:f>
              <c:strCache>
                <c:ptCount val="1"/>
                <c:pt idx="0">
                  <c:v>Do not fill this line</c:v>
                </c:pt>
              </c:strCache>
            </c:strRef>
          </c:tx>
          <c:spPr>
            <a:solidFill>
              <a:schemeClr val="accent2">
                <a:lumMod val="80000"/>
                <a:lumOff val="20000"/>
              </a:schemeClr>
            </a:solidFill>
            <a:ln w="25400">
              <a:noFill/>
            </a:ln>
            <a:effectLst/>
          </c:spPr>
          <c:cat>
            <c:numRef>
              <c:f>'Mkt share'!$C$21:$G$21</c:f>
              <c:numCache>
                <c:formatCode>General</c:formatCode>
                <c:ptCount val="5"/>
                <c:pt idx="0">
                  <c:v>2026</c:v>
                </c:pt>
                <c:pt idx="1">
                  <c:v>2027</c:v>
                </c:pt>
                <c:pt idx="2">
                  <c:v>2028</c:v>
                </c:pt>
                <c:pt idx="3">
                  <c:v>2029</c:v>
                </c:pt>
                <c:pt idx="4">
                  <c:v>2030</c:v>
                </c:pt>
              </c:numCache>
            </c:numRef>
          </c:cat>
          <c:val>
            <c:numRef>
              <c:f>'Mkt share'!$C$85:$G$85</c:f>
              <c:numCache>
                <c:formatCode>0%</c:formatCode>
                <c:ptCount val="5"/>
              </c:numCache>
            </c:numRef>
          </c:val>
          <c:extLst>
            <c:ext xmlns:c16="http://schemas.microsoft.com/office/drawing/2014/chart" uri="{C3380CC4-5D6E-409C-BE32-E72D297353CC}">
              <c16:uniqueId val="{0000000D-E4D7-4BF3-8AB4-FC739D798478}"/>
            </c:ext>
          </c:extLst>
        </c:ser>
        <c:dLbls>
          <c:showLegendKey val="0"/>
          <c:showVal val="0"/>
          <c:showCatName val="0"/>
          <c:showSerName val="0"/>
          <c:showPercent val="0"/>
          <c:showBubbleSize val="0"/>
        </c:dLbls>
        <c:axId val="1063232895"/>
        <c:axId val="1063233375"/>
      </c:areaChart>
      <c:catAx>
        <c:axId val="10632328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3375"/>
        <c:crosses val="autoZero"/>
        <c:auto val="1"/>
        <c:lblAlgn val="ctr"/>
        <c:lblOffset val="100"/>
        <c:noMultiLvlLbl val="0"/>
      </c:catAx>
      <c:valAx>
        <c:axId val="1063233375"/>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632328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Observed demand</c:v>
          </c:tx>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6"/>
                </a:solidFill>
                <a:prstDash val="sysDot"/>
              </a:ln>
              <a:effectLst/>
            </c:spPr>
            <c:trendlineType val="linear"/>
            <c:dispRSqr val="1"/>
            <c:dispEq val="1"/>
            <c:trendlineLbl>
              <c:layout>
                <c:manualLayout>
                  <c:x val="-4.2528298800402674E-2"/>
                  <c:y val="0.32071991226797847"/>
                </c:manualLayout>
              </c:layout>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a:t>y = 69,5x - 139593</a:t>
                    </a:r>
                    <a:br>
                      <a:rPr lang="en-US"/>
                    </a:br>
                    <a:r>
                      <a:rPr lang="en-US"/>
                      <a:t>R² = 0,9022</a:t>
                    </a:r>
                  </a:p>
                </c:rich>
              </c:tx>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rendlineLbl>
          </c:trendline>
          <c:xVal>
            <c:strRef>
              <c:f>Population!$D$45:$H$45</c:f>
              <c:strCache>
                <c:ptCount val="1"/>
                <c:pt idx="0">
                  <c:v>0</c:v>
                </c:pt>
              </c:strCache>
            </c:strRef>
          </c:xVal>
          <c:yVal>
            <c:numRef>
              <c:f>Population!$D$53:$H$53</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6BFE-4C32-983D-C734D2B2B20D}"/>
            </c:ext>
          </c:extLst>
        </c:ser>
        <c:ser>
          <c:idx val="1"/>
          <c:order val="1"/>
          <c:tx>
            <c:v>Linear projection</c:v>
          </c:tx>
          <c:spPr>
            <a:ln w="25400" cap="rnd">
              <a:no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5"/>
                </a:solidFill>
                <a:prstDash val="sysDot"/>
              </a:ln>
              <a:effectLst/>
            </c:spPr>
            <c:trendlineType val="linear"/>
            <c:dispRSqr val="0"/>
            <c:dispEq val="0"/>
          </c:trendline>
          <c:xVal>
            <c:numRef>
              <c:f>Population!$D$59:$H$59</c:f>
              <c:numCache>
                <c:formatCode>General</c:formatCode>
                <c:ptCount val="5"/>
                <c:pt idx="0">
                  <c:v>2026</c:v>
                </c:pt>
                <c:pt idx="1">
                  <c:v>2027</c:v>
                </c:pt>
                <c:pt idx="2">
                  <c:v>2028</c:v>
                </c:pt>
                <c:pt idx="3">
                  <c:v>2029</c:v>
                </c:pt>
                <c:pt idx="4">
                  <c:v>2030</c:v>
                </c:pt>
              </c:numCache>
            </c:numRef>
          </c:xVal>
          <c:yVal>
            <c:numRef>
              <c:f>Population!$D$60:$H$60</c:f>
              <c:numCache>
                <c:formatCode>#,##0</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3-6BFE-4C32-983D-C734D2B2B20D}"/>
            </c:ext>
          </c:extLst>
        </c:ser>
        <c:ser>
          <c:idx val="2"/>
          <c:order val="2"/>
          <c:tx>
            <c:v>Mean projection adjusted</c:v>
          </c:tx>
          <c:spPr>
            <a:ln w="25400" cap="rnd">
              <a:no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Population!$D$62:$H$62</c:f>
              <c:numCache>
                <c:formatCode>General</c:formatCode>
                <c:ptCount val="5"/>
                <c:pt idx="0">
                  <c:v>2026</c:v>
                </c:pt>
                <c:pt idx="1">
                  <c:v>2027</c:v>
                </c:pt>
                <c:pt idx="2">
                  <c:v>2028</c:v>
                </c:pt>
                <c:pt idx="3">
                  <c:v>2029</c:v>
                </c:pt>
                <c:pt idx="4">
                  <c:v>2030</c:v>
                </c:pt>
              </c:numCache>
            </c:numRef>
          </c:xVal>
          <c:yVal>
            <c:numRef>
              <c:f>Population!$D$64:$H$64</c:f>
              <c:numCache>
                <c:formatCode>#,##0</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00D3-49D4-B830-22624C79BDD3}"/>
            </c:ext>
          </c:extLst>
        </c:ser>
        <c:dLbls>
          <c:dLblPos val="t"/>
          <c:showLegendKey val="0"/>
          <c:showVal val="1"/>
          <c:showCatName val="0"/>
          <c:showSerName val="0"/>
          <c:showPercent val="0"/>
          <c:showBubbleSize val="0"/>
        </c:dLbls>
        <c:axId val="1928177360"/>
        <c:axId val="1928179024"/>
      </c:scatterChart>
      <c:valAx>
        <c:axId val="1928177360"/>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pt-BR"/>
                  <a:t>Ano</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crossAx val="1928179024"/>
        <c:crosses val="autoZero"/>
        <c:crossBetween val="midCat"/>
      </c:valAx>
      <c:valAx>
        <c:axId val="19281790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pt-BR"/>
                  <a:t>N pacientes</a:t>
                </a:r>
              </a:p>
            </c:rich>
          </c:tx>
          <c:layout>
            <c:manualLayout>
              <c:xMode val="edge"/>
              <c:yMode val="edge"/>
              <c:x val="1.1855043620959717E-2"/>
              <c:y val="0.3643770049963263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crossAx val="1928177360"/>
        <c:crosses val="autoZero"/>
        <c:crossBetween val="midCat"/>
      </c:valAx>
      <c:spPr>
        <a:noFill/>
        <a:ln>
          <a:noFill/>
        </a:ln>
        <a:effectLst/>
      </c:spPr>
    </c:plotArea>
    <c:legend>
      <c:legendPos val="b"/>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000">
          <a:solidFill>
            <a:sysClr val="windowText" lastClr="000000"/>
          </a:solidFill>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a:t>Scenario 1 -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Results!$C$22</c:f>
              <c:strCache>
                <c:ptCount val="1"/>
                <c:pt idx="0">
                  <c:v>Reference scenario:</c:v>
                </c:pt>
              </c:strCache>
            </c:strRef>
          </c:tx>
          <c:spPr>
            <a:solidFill>
              <a:schemeClr val="accent1"/>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Results!$D$22:$H$22</c:f>
              <c:numCache>
                <c:formatCode>_-[$$-409]* #,##0_ ;_-[$$-409]* \-#,##0\ ;_-[$$-409]* "-"??_ ;_-@_ </c:formatCode>
                <c:ptCount val="5"/>
                <c:pt idx="0">
                  <c:v>5487460.7252860991</c:v>
                </c:pt>
                <c:pt idx="1">
                  <c:v>5467685.6632549856</c:v>
                </c:pt>
                <c:pt idx="2">
                  <c:v>5446299.9031707607</c:v>
                </c:pt>
                <c:pt idx="3">
                  <c:v>5420643.1059906445</c:v>
                </c:pt>
                <c:pt idx="4">
                  <c:v>5388358.501041064</c:v>
                </c:pt>
              </c:numCache>
            </c:numRef>
          </c:val>
          <c:extLst>
            <c:ext xmlns:c16="http://schemas.microsoft.com/office/drawing/2014/chart" uri="{C3380CC4-5D6E-409C-BE32-E72D297353CC}">
              <c16:uniqueId val="{00000000-0FBB-4103-88E2-36586A3E1CEE}"/>
            </c:ext>
          </c:extLst>
        </c:ser>
        <c:ser>
          <c:idx val="1"/>
          <c:order val="1"/>
          <c:tx>
            <c:strRef>
              <c:f>Results!$C$23</c:f>
              <c:strCache>
                <c:ptCount val="1"/>
                <c:pt idx="0">
                  <c:v>Alternative scenario 1:</c:v>
                </c:pt>
              </c:strCache>
            </c:strRef>
          </c:tx>
          <c:spPr>
            <a:solidFill>
              <a:schemeClr val="accent2"/>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Results!$D$23:$H$23</c:f>
              <c:numCache>
                <c:formatCode>_-[$$-409]* #,##0_ ;_-[$$-409]* \-#,##0\ ;_-[$$-409]* "-"??_ ;_-@_ </c:formatCode>
                <c:ptCount val="5"/>
                <c:pt idx="0">
                  <c:v>18482228.121962756</c:v>
                </c:pt>
                <c:pt idx="1">
                  <c:v>18094422.011623606</c:v>
                </c:pt>
                <c:pt idx="2">
                  <c:v>17695539.905051354</c:v>
                </c:pt>
                <c:pt idx="3">
                  <c:v>17257963.443685785</c:v>
                </c:pt>
                <c:pt idx="4">
                  <c:v>16758504.281983137</c:v>
                </c:pt>
              </c:numCache>
            </c:numRef>
          </c:val>
          <c:extLst>
            <c:ext xmlns:c16="http://schemas.microsoft.com/office/drawing/2014/chart" uri="{C3380CC4-5D6E-409C-BE32-E72D297353CC}">
              <c16:uniqueId val="{00000001-0FBB-4103-88E2-36586A3E1CEE}"/>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Results!$C$22</c:f>
              <c:strCache>
                <c:ptCount val="1"/>
                <c:pt idx="0">
                  <c:v>Reference scenario:</c:v>
                </c:pt>
              </c:strCache>
            </c:strRef>
          </c:tx>
          <c:spPr>
            <a:solidFill>
              <a:schemeClr val="accent1"/>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Results!$D$22:$H$22</c:f>
              <c:numCache>
                <c:formatCode>_-[$$-409]* #,##0_ ;_-[$$-409]* \-#,##0\ ;_-[$$-409]* "-"??_ ;_-@_ </c:formatCode>
                <c:ptCount val="5"/>
                <c:pt idx="0">
                  <c:v>5487460.7252860991</c:v>
                </c:pt>
                <c:pt idx="1">
                  <c:v>5467685.6632549856</c:v>
                </c:pt>
                <c:pt idx="2">
                  <c:v>5446299.9031707607</c:v>
                </c:pt>
                <c:pt idx="3">
                  <c:v>5420643.1059906445</c:v>
                </c:pt>
                <c:pt idx="4">
                  <c:v>5388358.501041064</c:v>
                </c:pt>
              </c:numCache>
            </c:numRef>
          </c:val>
          <c:extLst>
            <c:ext xmlns:c16="http://schemas.microsoft.com/office/drawing/2014/chart" uri="{C3380CC4-5D6E-409C-BE32-E72D297353CC}">
              <c16:uniqueId val="{00000000-3A11-4BD6-9635-A8EBE6582FE0}"/>
            </c:ext>
          </c:extLst>
        </c:ser>
        <c:ser>
          <c:idx val="1"/>
          <c:order val="1"/>
          <c:tx>
            <c:strRef>
              <c:f>Results!$C$24</c:f>
              <c:strCache>
                <c:ptCount val="1"/>
                <c:pt idx="0">
                  <c:v>Incremental budget impact</c:v>
                </c:pt>
              </c:strCache>
            </c:strRef>
          </c:tx>
          <c:spPr>
            <a:solidFill>
              <a:schemeClr val="accent2"/>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Results!$D$24:$H$24</c:f>
              <c:numCache>
                <c:formatCode>_-[$$-409]* #,##0_ ;_-[$$-409]* \-#,##0\ ;_-[$$-409]* "-"??_ ;_-@_ </c:formatCode>
                <c:ptCount val="5"/>
                <c:pt idx="0">
                  <c:v>12994767.396676656</c:v>
                </c:pt>
                <c:pt idx="1">
                  <c:v>12626736.34836862</c:v>
                </c:pt>
                <c:pt idx="2">
                  <c:v>12249240.001880594</c:v>
                </c:pt>
                <c:pt idx="3">
                  <c:v>11837320.33769514</c:v>
                </c:pt>
                <c:pt idx="4">
                  <c:v>11370145.780942073</c:v>
                </c:pt>
              </c:numCache>
            </c:numRef>
          </c:val>
          <c:extLst>
            <c:ext xmlns:c16="http://schemas.microsoft.com/office/drawing/2014/chart" uri="{C3380CC4-5D6E-409C-BE32-E72D297353CC}">
              <c16:uniqueId val="{00000001-3A11-4BD6-9635-A8EBE6582FE0}"/>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Results!$C$31</c:f>
              <c:strCache>
                <c:ptCount val="1"/>
                <c:pt idx="0">
                  <c:v>Reference scenario:</c:v>
                </c:pt>
              </c:strCache>
            </c:strRef>
          </c:tx>
          <c:spPr>
            <a:solidFill>
              <a:schemeClr val="accent1"/>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Results!$D$31:$H$31</c:f>
              <c:numCache>
                <c:formatCode>_-[$$-409]* #,##0_ ;_-[$$-409]* \-#,##0\ ;_-[$$-409]* "-"??_ ;_-@_ </c:formatCode>
                <c:ptCount val="5"/>
                <c:pt idx="0">
                  <c:v>457288.39377384161</c:v>
                </c:pt>
                <c:pt idx="1">
                  <c:v>455640.47193791548</c:v>
                </c:pt>
                <c:pt idx="2">
                  <c:v>453858.32526423008</c:v>
                </c:pt>
                <c:pt idx="3">
                  <c:v>451720.25883255369</c:v>
                </c:pt>
                <c:pt idx="4">
                  <c:v>449029.87508675538</c:v>
                </c:pt>
              </c:numCache>
            </c:numRef>
          </c:val>
          <c:extLst>
            <c:ext xmlns:c16="http://schemas.microsoft.com/office/drawing/2014/chart" uri="{C3380CC4-5D6E-409C-BE32-E72D297353CC}">
              <c16:uniqueId val="{00000000-7267-49E6-A717-062DFCB8311C}"/>
            </c:ext>
          </c:extLst>
        </c:ser>
        <c:ser>
          <c:idx val="1"/>
          <c:order val="1"/>
          <c:tx>
            <c:strRef>
              <c:f>Results!$C$32</c:f>
              <c:strCache>
                <c:ptCount val="1"/>
                <c:pt idx="0">
                  <c:v>Alternative scenario 1:</c:v>
                </c:pt>
              </c:strCache>
            </c:strRef>
          </c:tx>
          <c:spPr>
            <a:solidFill>
              <a:schemeClr val="accent2"/>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Results!$D$32:$H$32</c:f>
              <c:numCache>
                <c:formatCode>_-[$$-409]* #,##0_ ;_-[$$-409]* \-#,##0\ ;_-[$$-409]* "-"??_ ;_-@_ </c:formatCode>
                <c:ptCount val="5"/>
                <c:pt idx="0">
                  <c:v>13703564.407026112</c:v>
                </c:pt>
                <c:pt idx="1">
                  <c:v>13583581.339438243</c:v>
                </c:pt>
                <c:pt idx="2">
                  <c:v>13451964.563830804</c:v>
                </c:pt>
                <c:pt idx="3">
                  <c:v>13282825.165959314</c:v>
                </c:pt>
                <c:pt idx="4">
                  <c:v>13054007.812517405</c:v>
                </c:pt>
              </c:numCache>
            </c:numRef>
          </c:val>
          <c:extLst>
            <c:ext xmlns:c16="http://schemas.microsoft.com/office/drawing/2014/chart" uri="{C3380CC4-5D6E-409C-BE32-E72D297353CC}">
              <c16:uniqueId val="{00000001-7267-49E6-A717-062DFCB8311C}"/>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1 -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Results!$C$31</c:f>
              <c:strCache>
                <c:ptCount val="1"/>
                <c:pt idx="0">
                  <c:v>Reference scenario:</c:v>
                </c:pt>
              </c:strCache>
            </c:strRef>
          </c:tx>
          <c:spPr>
            <a:solidFill>
              <a:schemeClr val="accent1"/>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Results!$D$31:$H$31</c:f>
              <c:numCache>
                <c:formatCode>_-[$$-409]* #,##0_ ;_-[$$-409]* \-#,##0\ ;_-[$$-409]* "-"??_ ;_-@_ </c:formatCode>
                <c:ptCount val="5"/>
                <c:pt idx="0">
                  <c:v>457288.39377384161</c:v>
                </c:pt>
                <c:pt idx="1">
                  <c:v>455640.47193791548</c:v>
                </c:pt>
                <c:pt idx="2">
                  <c:v>453858.32526423008</c:v>
                </c:pt>
                <c:pt idx="3">
                  <c:v>451720.25883255369</c:v>
                </c:pt>
                <c:pt idx="4">
                  <c:v>449029.87508675538</c:v>
                </c:pt>
              </c:numCache>
            </c:numRef>
          </c:val>
          <c:extLst>
            <c:ext xmlns:c16="http://schemas.microsoft.com/office/drawing/2014/chart" uri="{C3380CC4-5D6E-409C-BE32-E72D297353CC}">
              <c16:uniqueId val="{00000000-7C8C-486E-BD95-9A48DF038C59}"/>
            </c:ext>
          </c:extLst>
        </c:ser>
        <c:ser>
          <c:idx val="1"/>
          <c:order val="1"/>
          <c:tx>
            <c:strRef>
              <c:f>Results!$C$33</c:f>
              <c:strCache>
                <c:ptCount val="1"/>
                <c:pt idx="0">
                  <c:v>Incremental budget impact</c:v>
                </c:pt>
              </c:strCache>
            </c:strRef>
          </c:tx>
          <c:spPr>
            <a:solidFill>
              <a:schemeClr val="accent2"/>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Results!$D$33:$H$33</c:f>
              <c:numCache>
                <c:formatCode>_-[$$-409]* #,##0_ ;_-[$$-409]* \-#,##0\ ;_-[$$-409]* "-"??_ ;_-@_ </c:formatCode>
                <c:ptCount val="5"/>
                <c:pt idx="0">
                  <c:v>13246276.013252271</c:v>
                </c:pt>
                <c:pt idx="1">
                  <c:v>13127940.867500328</c:v>
                </c:pt>
                <c:pt idx="2">
                  <c:v>12998106.238566574</c:v>
                </c:pt>
                <c:pt idx="3">
                  <c:v>12831104.90712676</c:v>
                </c:pt>
                <c:pt idx="4">
                  <c:v>12604977.93743065</c:v>
                </c:pt>
              </c:numCache>
            </c:numRef>
          </c:val>
          <c:extLst>
            <c:ext xmlns:c16="http://schemas.microsoft.com/office/drawing/2014/chart" uri="{C3380CC4-5D6E-409C-BE32-E72D297353CC}">
              <c16:uniqueId val="{00000001-7C8C-486E-BD95-9A48DF038C59}"/>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Results!$C$48</c:f>
              <c:strCache>
                <c:ptCount val="1"/>
                <c:pt idx="0">
                  <c:v>Do not fill this line</c:v>
                </c:pt>
              </c:strCache>
            </c:strRef>
          </c:tx>
          <c:spPr>
            <a:solidFill>
              <a:schemeClr val="accent1"/>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Results!$D$48:$H$48</c:f>
              <c:numCache>
                <c:formatCode>_-[$$-409]* #,##0_ ;_-[$$-409]* \-#,##0\ ;_-[$$-409]* "-"??_ ;_-@_ </c:formatCode>
                <c:ptCount val="5"/>
                <c:pt idx="0">
                  <c:v>5487460.7252860991</c:v>
                </c:pt>
                <c:pt idx="1">
                  <c:v>5467685.6632549856</c:v>
                </c:pt>
                <c:pt idx="2">
                  <c:v>5446299.9031707607</c:v>
                </c:pt>
                <c:pt idx="3">
                  <c:v>5420643.1059906445</c:v>
                </c:pt>
                <c:pt idx="4">
                  <c:v>5388358.501041064</c:v>
                </c:pt>
              </c:numCache>
            </c:numRef>
          </c:val>
          <c:extLst>
            <c:ext xmlns:c16="http://schemas.microsoft.com/office/drawing/2014/chart" uri="{C3380CC4-5D6E-409C-BE32-E72D297353CC}">
              <c16:uniqueId val="{00000000-72A1-4148-B260-0F923B113940}"/>
            </c:ext>
          </c:extLst>
        </c:ser>
        <c:ser>
          <c:idx val="1"/>
          <c:order val="1"/>
          <c:tx>
            <c:strRef>
              <c:f>Results!$C$49</c:f>
              <c:strCache>
                <c:ptCount val="1"/>
                <c:pt idx="0">
                  <c:v>Alternative scenario 2:</c:v>
                </c:pt>
              </c:strCache>
            </c:strRef>
          </c:tx>
          <c:spPr>
            <a:solidFill>
              <a:schemeClr val="accent2"/>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Results!$D$49:$H$49</c:f>
              <c:numCache>
                <c:formatCode>_-[$$-409]* #,##0_ ;_-[$$-409]* \-#,##0\ ;_-[$$-409]* "-"??_ ;_-@_ </c:formatCode>
                <c:ptCount val="5"/>
                <c:pt idx="0">
                  <c:v>31476995.518639416</c:v>
                </c:pt>
                <c:pt idx="1">
                  <c:v>30721158.359992228</c:v>
                </c:pt>
                <c:pt idx="2">
                  <c:v>29944779.906931952</c:v>
                </c:pt>
                <c:pt idx="3">
                  <c:v>29095283.781380929</c:v>
                </c:pt>
                <c:pt idx="4">
                  <c:v>28128650.062925208</c:v>
                </c:pt>
              </c:numCache>
            </c:numRef>
          </c:val>
          <c:extLst>
            <c:ext xmlns:c16="http://schemas.microsoft.com/office/drawing/2014/chart" uri="{C3380CC4-5D6E-409C-BE32-E72D297353CC}">
              <c16:uniqueId val="{00000001-72A1-4148-B260-0F923B113940}"/>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Results!$C$48</c:f>
              <c:strCache>
                <c:ptCount val="1"/>
                <c:pt idx="0">
                  <c:v>Do not fill this line</c:v>
                </c:pt>
              </c:strCache>
            </c:strRef>
          </c:tx>
          <c:spPr>
            <a:solidFill>
              <a:schemeClr val="accent1"/>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Results!$D$48:$H$48</c:f>
              <c:numCache>
                <c:formatCode>_-[$$-409]* #,##0_ ;_-[$$-409]* \-#,##0\ ;_-[$$-409]* "-"??_ ;_-@_ </c:formatCode>
                <c:ptCount val="5"/>
                <c:pt idx="0">
                  <c:v>5487460.7252860991</c:v>
                </c:pt>
                <c:pt idx="1">
                  <c:v>5467685.6632549856</c:v>
                </c:pt>
                <c:pt idx="2">
                  <c:v>5446299.9031707607</c:v>
                </c:pt>
                <c:pt idx="3">
                  <c:v>5420643.1059906445</c:v>
                </c:pt>
                <c:pt idx="4">
                  <c:v>5388358.501041064</c:v>
                </c:pt>
              </c:numCache>
            </c:numRef>
          </c:val>
          <c:extLst>
            <c:ext xmlns:c16="http://schemas.microsoft.com/office/drawing/2014/chart" uri="{C3380CC4-5D6E-409C-BE32-E72D297353CC}">
              <c16:uniqueId val="{00000000-534A-4A84-8B19-8FCB193368F3}"/>
            </c:ext>
          </c:extLst>
        </c:ser>
        <c:ser>
          <c:idx val="1"/>
          <c:order val="1"/>
          <c:tx>
            <c:strRef>
              <c:f>Results!$C$50</c:f>
              <c:strCache>
                <c:ptCount val="1"/>
                <c:pt idx="0">
                  <c:v>Incremental budget impact</c:v>
                </c:pt>
              </c:strCache>
            </c:strRef>
          </c:tx>
          <c:spPr>
            <a:solidFill>
              <a:schemeClr val="accent2"/>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Results!$D$50:$H$50</c:f>
              <c:numCache>
                <c:formatCode>_-[$$-409]* #,##0_ ;_-[$$-409]* \-#,##0\ ;_-[$$-409]* "-"??_ ;_-@_ </c:formatCode>
                <c:ptCount val="5"/>
                <c:pt idx="0">
                  <c:v>25989534.793353315</c:v>
                </c:pt>
                <c:pt idx="1">
                  <c:v>25253472.696737245</c:v>
                </c:pt>
                <c:pt idx="2">
                  <c:v>24498480.003761191</c:v>
                </c:pt>
                <c:pt idx="3">
                  <c:v>23674640.675390285</c:v>
                </c:pt>
                <c:pt idx="4">
                  <c:v>22740291.561884142</c:v>
                </c:pt>
              </c:numCache>
            </c:numRef>
          </c:val>
          <c:extLst>
            <c:ext xmlns:c16="http://schemas.microsoft.com/office/drawing/2014/chart" uri="{C3380CC4-5D6E-409C-BE32-E72D297353CC}">
              <c16:uniqueId val="{00000001-534A-4A84-8B19-8FCB193368F3}"/>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Results!$C$57</c:f>
              <c:strCache>
                <c:ptCount val="1"/>
                <c:pt idx="0">
                  <c:v>Do not fill this line</c:v>
                </c:pt>
              </c:strCache>
            </c:strRef>
          </c:tx>
          <c:spPr>
            <a:solidFill>
              <a:schemeClr val="accent1"/>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Results!$D$57:$H$57</c:f>
              <c:numCache>
                <c:formatCode>_-[$$-409]* #,##0_ ;_-[$$-409]* \-#,##0\ ;_-[$$-409]* "-"??_ ;_-@_ </c:formatCode>
                <c:ptCount val="5"/>
                <c:pt idx="0">
                  <c:v>457288.39377384161</c:v>
                </c:pt>
                <c:pt idx="1">
                  <c:v>455640.47193791548</c:v>
                </c:pt>
                <c:pt idx="2">
                  <c:v>453858.32526423008</c:v>
                </c:pt>
                <c:pt idx="3">
                  <c:v>451720.25883255369</c:v>
                </c:pt>
                <c:pt idx="4">
                  <c:v>449029.87508675538</c:v>
                </c:pt>
              </c:numCache>
            </c:numRef>
          </c:val>
          <c:extLst>
            <c:ext xmlns:c16="http://schemas.microsoft.com/office/drawing/2014/chart" uri="{C3380CC4-5D6E-409C-BE32-E72D297353CC}">
              <c16:uniqueId val="{00000000-ECB1-4FA9-9A97-05A3659426B6}"/>
            </c:ext>
          </c:extLst>
        </c:ser>
        <c:ser>
          <c:idx val="1"/>
          <c:order val="1"/>
          <c:tx>
            <c:strRef>
              <c:f>Results!$C$58</c:f>
              <c:strCache>
                <c:ptCount val="1"/>
                <c:pt idx="0">
                  <c:v>Alternative scenario 2:</c:v>
                </c:pt>
              </c:strCache>
            </c:strRef>
          </c:tx>
          <c:spPr>
            <a:solidFill>
              <a:schemeClr val="accent2"/>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Results!$D$58:$H$58</c:f>
              <c:numCache>
                <c:formatCode>_-[$$-409]* #,##0_ ;_-[$$-409]* \-#,##0\ ;_-[$$-409]* "-"??_ ;_-@_ </c:formatCode>
                <c:ptCount val="5"/>
                <c:pt idx="0">
                  <c:v>26949840.420278382</c:v>
                </c:pt>
                <c:pt idx="1">
                  <c:v>26711522.206938572</c:v>
                </c:pt>
                <c:pt idx="2">
                  <c:v>26450070.802397378</c:v>
                </c:pt>
                <c:pt idx="3">
                  <c:v>26113930.073086075</c:v>
                </c:pt>
                <c:pt idx="4">
                  <c:v>25658985.749948055</c:v>
                </c:pt>
              </c:numCache>
            </c:numRef>
          </c:val>
          <c:extLst>
            <c:ext xmlns:c16="http://schemas.microsoft.com/office/drawing/2014/chart" uri="{C3380CC4-5D6E-409C-BE32-E72D297353CC}">
              <c16:uniqueId val="{00000001-ECB1-4FA9-9A97-05A3659426B6}"/>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2 -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Results!$C$57</c:f>
              <c:strCache>
                <c:ptCount val="1"/>
                <c:pt idx="0">
                  <c:v>Do not fill this line</c:v>
                </c:pt>
              </c:strCache>
            </c:strRef>
          </c:tx>
          <c:spPr>
            <a:solidFill>
              <a:schemeClr val="accent1"/>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Results!$D$57:$H$57</c:f>
              <c:numCache>
                <c:formatCode>_-[$$-409]* #,##0_ ;_-[$$-409]* \-#,##0\ ;_-[$$-409]* "-"??_ ;_-@_ </c:formatCode>
                <c:ptCount val="5"/>
                <c:pt idx="0">
                  <c:v>457288.39377384161</c:v>
                </c:pt>
                <c:pt idx="1">
                  <c:v>455640.47193791548</c:v>
                </c:pt>
                <c:pt idx="2">
                  <c:v>453858.32526423008</c:v>
                </c:pt>
                <c:pt idx="3">
                  <c:v>451720.25883255369</c:v>
                </c:pt>
                <c:pt idx="4">
                  <c:v>449029.87508675538</c:v>
                </c:pt>
              </c:numCache>
            </c:numRef>
          </c:val>
          <c:extLst>
            <c:ext xmlns:c16="http://schemas.microsoft.com/office/drawing/2014/chart" uri="{C3380CC4-5D6E-409C-BE32-E72D297353CC}">
              <c16:uniqueId val="{00000000-D817-4E2E-A5B1-5E088628247E}"/>
            </c:ext>
          </c:extLst>
        </c:ser>
        <c:ser>
          <c:idx val="1"/>
          <c:order val="1"/>
          <c:tx>
            <c:strRef>
              <c:f>Results!$C$59</c:f>
              <c:strCache>
                <c:ptCount val="1"/>
                <c:pt idx="0">
                  <c:v>Incremental budget impact</c:v>
                </c:pt>
              </c:strCache>
            </c:strRef>
          </c:tx>
          <c:spPr>
            <a:solidFill>
              <a:schemeClr val="accent2"/>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Results!$D$59:$H$59</c:f>
              <c:numCache>
                <c:formatCode>_-[$$-409]* #,##0_ ;_-[$$-409]* \-#,##0\ ;_-[$$-409]* "-"??_ ;_-@_ </c:formatCode>
                <c:ptCount val="5"/>
                <c:pt idx="0">
                  <c:v>26492552.026504539</c:v>
                </c:pt>
                <c:pt idx="1">
                  <c:v>26255881.735000655</c:v>
                </c:pt>
                <c:pt idx="2">
                  <c:v>25996212.477133147</c:v>
                </c:pt>
                <c:pt idx="3">
                  <c:v>25662209.81425352</c:v>
                </c:pt>
                <c:pt idx="4">
                  <c:v>25209955.8748613</c:v>
                </c:pt>
              </c:numCache>
            </c:numRef>
          </c:val>
          <c:extLst>
            <c:ext xmlns:c16="http://schemas.microsoft.com/office/drawing/2014/chart" uri="{C3380CC4-5D6E-409C-BE32-E72D297353CC}">
              <c16:uniqueId val="{00000001-D817-4E2E-A5B1-5E088628247E}"/>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Results!$C$73</c:f>
              <c:strCache>
                <c:ptCount val="1"/>
                <c:pt idx="0">
                  <c:v>Do not fill this line</c:v>
                </c:pt>
              </c:strCache>
            </c:strRef>
          </c:tx>
          <c:spPr>
            <a:solidFill>
              <a:schemeClr val="accent1"/>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Results!$D$73:$H$73</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3DC5-43F7-9D12-A0ACE979D0FF}"/>
            </c:ext>
          </c:extLst>
        </c:ser>
        <c:ser>
          <c:idx val="1"/>
          <c:order val="1"/>
          <c:tx>
            <c:strRef>
              <c:f>Results!$C$74</c:f>
              <c:strCache>
                <c:ptCount val="1"/>
                <c:pt idx="0">
                  <c:v>Alternative scenario 3:</c:v>
                </c:pt>
              </c:strCache>
            </c:strRef>
          </c:tx>
          <c:spPr>
            <a:solidFill>
              <a:schemeClr val="accent2"/>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Results!$D$74:$H$74</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3DC5-43F7-9D12-A0ACE979D0FF}"/>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Full-cost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Results!$C$73</c:f>
              <c:strCache>
                <c:ptCount val="1"/>
                <c:pt idx="0">
                  <c:v>Do not fill this line</c:v>
                </c:pt>
              </c:strCache>
            </c:strRef>
          </c:tx>
          <c:spPr>
            <a:solidFill>
              <a:schemeClr val="accent1"/>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Results!$D$73:$H$73</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66F2-4FDA-893E-6DA2B75AB790}"/>
            </c:ext>
          </c:extLst>
        </c:ser>
        <c:ser>
          <c:idx val="1"/>
          <c:order val="1"/>
          <c:tx>
            <c:strRef>
              <c:f>Results!$C$75</c:f>
              <c:strCache>
                <c:ptCount val="1"/>
                <c:pt idx="0">
                  <c:v>Incremental budget impact</c:v>
                </c:pt>
              </c:strCache>
            </c:strRef>
          </c:tx>
          <c:spPr>
            <a:solidFill>
              <a:schemeClr val="accent2"/>
            </a:solidFill>
            <a:ln>
              <a:noFill/>
            </a:ln>
            <a:effectLst/>
          </c:spPr>
          <c:invertIfNegative val="0"/>
          <c:cat>
            <c:numRef>
              <c:f>Results!$D$21:$H$21</c:f>
              <c:numCache>
                <c:formatCode>General</c:formatCode>
                <c:ptCount val="5"/>
                <c:pt idx="0">
                  <c:v>2026</c:v>
                </c:pt>
                <c:pt idx="1">
                  <c:v>2027</c:v>
                </c:pt>
                <c:pt idx="2">
                  <c:v>2028</c:v>
                </c:pt>
                <c:pt idx="3">
                  <c:v>2029</c:v>
                </c:pt>
                <c:pt idx="4">
                  <c:v>2030</c:v>
                </c:pt>
              </c:numCache>
            </c:numRef>
          </c:cat>
          <c:val>
            <c:numRef>
              <c:f>Results!$D$75:$H$75</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66F2-4FDA-893E-6DA2B75AB790}"/>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Results!$C$82</c:f>
              <c:strCache>
                <c:ptCount val="1"/>
                <c:pt idx="0">
                  <c:v>Do not fill this line</c:v>
                </c:pt>
              </c:strCache>
            </c:strRef>
          </c:tx>
          <c:spPr>
            <a:solidFill>
              <a:schemeClr val="accent1"/>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Results!$D$82:$H$82</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585F-4E35-A576-AE15D18DCB8A}"/>
            </c:ext>
          </c:extLst>
        </c:ser>
        <c:ser>
          <c:idx val="1"/>
          <c:order val="1"/>
          <c:tx>
            <c:strRef>
              <c:f>Results!$C$83</c:f>
              <c:strCache>
                <c:ptCount val="1"/>
                <c:pt idx="0">
                  <c:v>Alternative scenario 3:</c:v>
                </c:pt>
              </c:strCache>
            </c:strRef>
          </c:tx>
          <c:spPr>
            <a:solidFill>
              <a:schemeClr val="accent2"/>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Results!$D$83:$H$83</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585F-4E35-A576-AE15D18DCB8A}"/>
            </c:ext>
          </c:extLst>
        </c:ser>
        <c:dLbls>
          <c:showLegendKey val="0"/>
          <c:showVal val="0"/>
          <c:showCatName val="0"/>
          <c:showSerName val="0"/>
          <c:showPercent val="0"/>
          <c:showBubbleSize val="0"/>
        </c:dLbls>
        <c:gapWidth val="219"/>
        <c:overlap val="-27"/>
        <c:axId val="497646080"/>
        <c:axId val="497650880"/>
      </c:barChart>
      <c:catAx>
        <c:axId val="49764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50880"/>
        <c:crosses val="autoZero"/>
        <c:auto val="1"/>
        <c:lblAlgn val="ctr"/>
        <c:lblOffset val="100"/>
        <c:noMultiLvlLbl val="0"/>
      </c:catAx>
      <c:valAx>
        <c:axId val="497650880"/>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9764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r>
              <a:rPr lang="pt-BR" sz="1080" b="0" i="0" u="none" strike="noStrike" kern="1200" spc="0" baseline="0">
                <a:solidFill>
                  <a:srgbClr val="000000">
                    <a:lumMod val="65000"/>
                    <a:lumOff val="35000"/>
                  </a:srgbClr>
                </a:solidFill>
              </a:rPr>
              <a:t>Scenario 3 - Technology cost–only results</a:t>
            </a:r>
          </a:p>
        </c:rich>
      </c:tx>
      <c:overlay val="0"/>
      <c:spPr>
        <a:noFill/>
        <a:ln>
          <a:noFill/>
        </a:ln>
        <a:effectLst/>
      </c:spPr>
      <c:txPr>
        <a:bodyPr rot="0" spcFirstLastPara="1" vertOverflow="ellipsis" vert="horz" wrap="square" anchor="ctr" anchorCtr="1"/>
        <a:lstStyle/>
        <a:p>
          <a:pPr>
            <a:defRPr sz="108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Results!$C$82</c:f>
              <c:strCache>
                <c:ptCount val="1"/>
                <c:pt idx="0">
                  <c:v>Do not fill this line</c:v>
                </c:pt>
              </c:strCache>
            </c:strRef>
          </c:tx>
          <c:spPr>
            <a:solidFill>
              <a:schemeClr val="accent1"/>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Results!$D$82:$H$82</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0-B373-489F-95B4-A51104BE228F}"/>
            </c:ext>
          </c:extLst>
        </c:ser>
        <c:ser>
          <c:idx val="1"/>
          <c:order val="1"/>
          <c:tx>
            <c:strRef>
              <c:f>Results!$C$84</c:f>
              <c:strCache>
                <c:ptCount val="1"/>
                <c:pt idx="0">
                  <c:v>Incremental budget impact</c:v>
                </c:pt>
              </c:strCache>
            </c:strRef>
          </c:tx>
          <c:spPr>
            <a:solidFill>
              <a:schemeClr val="accent2"/>
            </a:solidFill>
            <a:ln>
              <a:noFill/>
            </a:ln>
            <a:effectLst/>
          </c:spPr>
          <c:invertIfNegative val="0"/>
          <c:cat>
            <c:numRef>
              <c:f>Results!$D$30:$H$30</c:f>
              <c:numCache>
                <c:formatCode>General</c:formatCode>
                <c:ptCount val="5"/>
                <c:pt idx="0">
                  <c:v>2026</c:v>
                </c:pt>
                <c:pt idx="1">
                  <c:v>2027</c:v>
                </c:pt>
                <c:pt idx="2">
                  <c:v>2028</c:v>
                </c:pt>
                <c:pt idx="3">
                  <c:v>2029</c:v>
                </c:pt>
                <c:pt idx="4">
                  <c:v>2030</c:v>
                </c:pt>
              </c:numCache>
            </c:numRef>
          </c:cat>
          <c:val>
            <c:numRef>
              <c:f>Results!$D$84:$H$84</c:f>
              <c:numCache>
                <c:formatCode>_-[$$-409]* #,##0_ ;_-[$$-409]* \-#,##0\ ;_-[$$-409]* "-"??_ ;_-@_ </c:formatCode>
                <c:ptCount val="5"/>
                <c:pt idx="0">
                  <c:v>0</c:v>
                </c:pt>
                <c:pt idx="1">
                  <c:v>0</c:v>
                </c:pt>
                <c:pt idx="2">
                  <c:v>0</c:v>
                </c:pt>
                <c:pt idx="3">
                  <c:v>0</c:v>
                </c:pt>
                <c:pt idx="4">
                  <c:v>0</c:v>
                </c:pt>
              </c:numCache>
            </c:numRef>
          </c:val>
          <c:extLst>
            <c:ext xmlns:c16="http://schemas.microsoft.com/office/drawing/2014/chart" uri="{C3380CC4-5D6E-409C-BE32-E72D297353CC}">
              <c16:uniqueId val="{00000001-B373-489F-95B4-A51104BE228F}"/>
            </c:ext>
          </c:extLst>
        </c:ser>
        <c:dLbls>
          <c:showLegendKey val="0"/>
          <c:showVal val="0"/>
          <c:showCatName val="0"/>
          <c:showSerName val="0"/>
          <c:showPercent val="0"/>
          <c:showBubbleSize val="0"/>
        </c:dLbls>
        <c:gapWidth val="150"/>
        <c:overlap val="100"/>
        <c:axId val="822635999"/>
        <c:axId val="822636479"/>
      </c:barChart>
      <c:catAx>
        <c:axId val="82263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6479"/>
        <c:crosses val="autoZero"/>
        <c:auto val="1"/>
        <c:lblAlgn val="ctr"/>
        <c:lblOffset val="100"/>
        <c:noMultiLvlLbl val="0"/>
      </c:catAx>
      <c:valAx>
        <c:axId val="822636479"/>
        <c:scaling>
          <c:orientation val="minMax"/>
        </c:scaling>
        <c:delete val="0"/>
        <c:axPos val="l"/>
        <c:majorGridlines>
          <c:spPr>
            <a:ln w="9525" cap="flat" cmpd="sng" algn="ctr">
              <a:solidFill>
                <a:schemeClr val="tx1">
                  <a:lumMod val="15000"/>
                  <a:lumOff val="85000"/>
                </a:schemeClr>
              </a:solidFill>
              <a:round/>
            </a:ln>
            <a:effectLst/>
          </c:spPr>
        </c:majorGridlines>
        <c:numFmt formatCode="_-[$$-409]* #,##0_ ;_-[$$-409]* \-#,##0\ ;_-[$$-409]* &quot;-&quot;_ ;_-@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2263599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417896799223299"/>
          <c:y val="0.16741383098037854"/>
          <c:w val="0.75115201500479611"/>
          <c:h val="0.73638766519823784"/>
        </c:manualLayout>
      </c:layout>
      <c:barChart>
        <c:barDir val="bar"/>
        <c:grouping val="clustered"/>
        <c:varyColors val="0"/>
        <c:ser>
          <c:idx val="2"/>
          <c:order val="0"/>
          <c:tx>
            <c:v>Lower limit</c:v>
          </c:tx>
          <c:spPr>
            <a:solidFill>
              <a:schemeClr val="accent1"/>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DSA!$H$113:$H$123</c:f>
              <c:strCache>
                <c:ptCount val="11"/>
                <c:pt idx="0">
                  <c:v>Additional costs </c:v>
                </c:pt>
                <c:pt idx="1">
                  <c:v>Additional costs </c:v>
                </c:pt>
                <c:pt idx="2">
                  <c:v>Additional costs </c:v>
                </c:pt>
                <c:pt idx="3">
                  <c:v>Additional costs </c:v>
                </c:pt>
                <c:pt idx="4">
                  <c:v>Additional costs </c:v>
                </c:pt>
                <c:pt idx="5">
                  <c:v>Additional costs </c:v>
                </c:pt>
                <c:pt idx="6">
                  <c:v>Additional costs </c:v>
                </c:pt>
                <c:pt idx="7">
                  <c:v>Additional costs </c:v>
                </c:pt>
                <c:pt idx="8">
                  <c:v>Initial general costs</c:v>
                </c:pt>
                <c:pt idx="9">
                  <c:v>Monthly costs during treatment</c:v>
                </c:pt>
                <c:pt idx="10">
                  <c:v>Monthly costs after treatment</c:v>
                </c:pt>
              </c:strCache>
            </c:strRef>
          </c:cat>
          <c:val>
            <c:numRef>
              <c:f>DSA!$I$113:$I$123</c:f>
              <c:numCache>
                <c:formatCode>_-[$$-409]* #,##0_ ;_-[$$-409]* \-#,##0\ ;_-[$$-409]* "-"??_ ;_-@_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6F69-4E23-A2D7-088A9738F2A7}"/>
            </c:ext>
          </c:extLst>
        </c:ser>
        <c:ser>
          <c:idx val="0"/>
          <c:order val="1"/>
          <c:tx>
            <c:v>Upper limit</c:v>
          </c:tx>
          <c:spPr>
            <a:solidFill>
              <a:schemeClr val="accent6">
                <a:lumMod val="75000"/>
              </a:schemeClr>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DSA!$H$113:$H$123</c:f>
              <c:strCache>
                <c:ptCount val="11"/>
                <c:pt idx="0">
                  <c:v>Additional costs </c:v>
                </c:pt>
                <c:pt idx="1">
                  <c:v>Additional costs </c:v>
                </c:pt>
                <c:pt idx="2">
                  <c:v>Additional costs </c:v>
                </c:pt>
                <c:pt idx="3">
                  <c:v>Additional costs </c:v>
                </c:pt>
                <c:pt idx="4">
                  <c:v>Additional costs </c:v>
                </c:pt>
                <c:pt idx="5">
                  <c:v>Additional costs </c:v>
                </c:pt>
                <c:pt idx="6">
                  <c:v>Additional costs </c:v>
                </c:pt>
                <c:pt idx="7">
                  <c:v>Additional costs </c:v>
                </c:pt>
                <c:pt idx="8">
                  <c:v>Initial general costs</c:v>
                </c:pt>
                <c:pt idx="9">
                  <c:v>Monthly costs during treatment</c:v>
                </c:pt>
                <c:pt idx="10">
                  <c:v>Monthly costs after treatment</c:v>
                </c:pt>
              </c:strCache>
            </c:strRef>
          </c:cat>
          <c:val>
            <c:numRef>
              <c:f>DSA!$J$113:$J$123</c:f>
              <c:numCache>
                <c:formatCode>_-[$$-409]* #,##0_ ;_-[$$-409]* \-#,##0\ ;_-[$$-409]* "-"??_ ;_-@_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6F69-4E23-A2D7-088A9738F2A7}"/>
            </c:ext>
          </c:extLst>
        </c:ser>
        <c:dLbls>
          <c:dLblPos val="outEnd"/>
          <c:showLegendKey val="0"/>
          <c:showVal val="1"/>
          <c:showCatName val="0"/>
          <c:showSerName val="0"/>
          <c:showPercent val="0"/>
          <c:showBubbleSize val="0"/>
        </c:dLbls>
        <c:gapWidth val="100"/>
        <c:overlap val="100"/>
        <c:axId val="180787712"/>
        <c:axId val="100990272"/>
      </c:barChart>
      <c:catAx>
        <c:axId val="180787712"/>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prstDash val="dash"/>
            <a:round/>
          </a:ln>
          <a:effectLst/>
        </c:spPr>
        <c:txPr>
          <a:bodyPr rot="-60000000" vert="horz"/>
          <a:lstStyle/>
          <a:p>
            <a:pPr>
              <a:defRPr/>
            </a:pPr>
            <a:endParaRPr lang="pt-BR"/>
          </a:p>
        </c:txPr>
        <c:crossAx val="100990272"/>
        <c:crossesAt val="0"/>
        <c:auto val="1"/>
        <c:lblAlgn val="ctr"/>
        <c:lblOffset val="100"/>
        <c:noMultiLvlLbl val="0"/>
      </c:catAx>
      <c:valAx>
        <c:axId val="100990272"/>
        <c:scaling>
          <c:orientation val="minMax"/>
          <c:max val="0"/>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txPr>
          <a:bodyPr rot="-60000000" vert="horz"/>
          <a:lstStyle/>
          <a:p>
            <a:pPr>
              <a:defRPr/>
            </a:pPr>
            <a:endParaRPr lang="pt-BR"/>
          </a:p>
        </c:txPr>
        <c:crossAx val="180787712"/>
        <c:crossesAt val="1"/>
        <c:crossBetween val="between"/>
      </c:valAx>
      <c:spPr>
        <a:noFill/>
        <a:ln>
          <a:noFill/>
        </a:ln>
        <a:effectLst/>
      </c:spPr>
    </c:plotArea>
    <c:legend>
      <c:legendPos val="t"/>
      <c:layout>
        <c:manualLayout>
          <c:xMode val="edge"/>
          <c:yMode val="edge"/>
          <c:x val="0.79185661929588602"/>
          <c:y val="2.8712176195366888E-2"/>
          <c:w val="0.20015875020193227"/>
          <c:h val="8.1661166267260069E-2"/>
        </c:manualLayout>
      </c:layout>
      <c:overlay val="0"/>
      <c:spPr>
        <a:noFill/>
        <a:ln>
          <a:noFill/>
        </a:ln>
        <a:effectLst/>
      </c:spPr>
      <c:txPr>
        <a:bodyPr rot="0" vert="horz"/>
        <a:lstStyle/>
        <a:p>
          <a:pPr>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800">
          <a:solidFill>
            <a:sysClr val="windowText" lastClr="000000"/>
          </a:solidFill>
          <a:latin typeface="Calibri Light" panose="020F0302020204030204" pitchFamily="34" charset="0"/>
          <a:ea typeface="Calibri Light" panose="020F0302020204030204" pitchFamily="34" charset="0"/>
          <a:cs typeface="Calibri Light" panose="020F0302020204030204" pitchFamily="34" charset="0"/>
        </a:defRPr>
      </a:pPr>
      <a:endParaRPr lang="pt-BR"/>
    </a:p>
  </c:txPr>
  <c:printSettings>
    <c:headerFooter/>
    <c:pageMargins b="0.29527559060000003" l="0.27559055119999998" r="0.27559055119999998" t="0.29527559060000003" header="0.1181102362" footer="0.1181102362"/>
    <c:pageSetup/>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21417896799223299"/>
          <c:y val="0.16741383098037854"/>
          <c:w val="0.75115201500479611"/>
          <c:h val="0.73638766519823784"/>
        </c:manualLayout>
      </c:layout>
      <c:barChart>
        <c:barDir val="bar"/>
        <c:grouping val="clustered"/>
        <c:varyColors val="0"/>
        <c:ser>
          <c:idx val="2"/>
          <c:order val="0"/>
          <c:tx>
            <c:v>Lower limit</c:v>
          </c:tx>
          <c:spPr>
            <a:solidFill>
              <a:schemeClr val="accent1"/>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DSA!$B$113:$B$123</c:f>
              <c:strCache>
                <c:ptCount val="11"/>
                <c:pt idx="0">
                  <c:v>Additional costs </c:v>
                </c:pt>
                <c:pt idx="1">
                  <c:v>Additional costs </c:v>
                </c:pt>
                <c:pt idx="2">
                  <c:v>Additional costs </c:v>
                </c:pt>
                <c:pt idx="3">
                  <c:v>Additional costs </c:v>
                </c:pt>
                <c:pt idx="4">
                  <c:v>Additional costs </c:v>
                </c:pt>
                <c:pt idx="5">
                  <c:v>Additional costs </c:v>
                </c:pt>
                <c:pt idx="6">
                  <c:v>Additional costs </c:v>
                </c:pt>
                <c:pt idx="7">
                  <c:v>Additional costs </c:v>
                </c:pt>
                <c:pt idx="8">
                  <c:v>Initial general costs</c:v>
                </c:pt>
                <c:pt idx="9">
                  <c:v>Monthly costs during treatment</c:v>
                </c:pt>
                <c:pt idx="10">
                  <c:v>Monthly costs after treatment</c:v>
                </c:pt>
              </c:strCache>
            </c:strRef>
          </c:cat>
          <c:val>
            <c:numRef>
              <c:f>DSA!$C$113:$C$123</c:f>
              <c:numCache>
                <c:formatCode>_-[$$-409]* #,##0_ ;_-[$$-409]* \-#,##0\ ;_-[$$-409]* "-"??_ ;_-@_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9C8D-4F3F-A7D6-1570694874F6}"/>
            </c:ext>
          </c:extLst>
        </c:ser>
        <c:ser>
          <c:idx val="0"/>
          <c:order val="1"/>
          <c:tx>
            <c:v>Upper limit</c:v>
          </c:tx>
          <c:spPr>
            <a:solidFill>
              <a:schemeClr val="accent6">
                <a:lumMod val="75000"/>
              </a:schemeClr>
            </a:solidFill>
          </c:spPr>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DSA!$B$113:$B$123</c:f>
              <c:strCache>
                <c:ptCount val="11"/>
                <c:pt idx="0">
                  <c:v>Additional costs </c:v>
                </c:pt>
                <c:pt idx="1">
                  <c:v>Additional costs </c:v>
                </c:pt>
                <c:pt idx="2">
                  <c:v>Additional costs </c:v>
                </c:pt>
                <c:pt idx="3">
                  <c:v>Additional costs </c:v>
                </c:pt>
                <c:pt idx="4">
                  <c:v>Additional costs </c:v>
                </c:pt>
                <c:pt idx="5">
                  <c:v>Additional costs </c:v>
                </c:pt>
                <c:pt idx="6">
                  <c:v>Additional costs </c:v>
                </c:pt>
                <c:pt idx="7">
                  <c:v>Additional costs </c:v>
                </c:pt>
                <c:pt idx="8">
                  <c:v>Initial general costs</c:v>
                </c:pt>
                <c:pt idx="9">
                  <c:v>Monthly costs during treatment</c:v>
                </c:pt>
                <c:pt idx="10">
                  <c:v>Monthly costs after treatment</c:v>
                </c:pt>
              </c:strCache>
            </c:strRef>
          </c:cat>
          <c:val>
            <c:numRef>
              <c:f>DSA!$D$113:$D$123</c:f>
              <c:numCache>
                <c:formatCode>_-[$$-409]* #,##0_ ;_-[$$-409]* \-#,##0\ ;_-[$$-409]* "-"??_ ;_-@_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9C8D-4F3F-A7D6-1570694874F6}"/>
            </c:ext>
          </c:extLst>
        </c:ser>
        <c:dLbls>
          <c:dLblPos val="outEnd"/>
          <c:showLegendKey val="0"/>
          <c:showVal val="1"/>
          <c:showCatName val="0"/>
          <c:showSerName val="0"/>
          <c:showPercent val="0"/>
          <c:showBubbleSize val="0"/>
        </c:dLbls>
        <c:gapWidth val="100"/>
        <c:overlap val="100"/>
        <c:axId val="180787712"/>
        <c:axId val="100990272"/>
      </c:barChart>
      <c:catAx>
        <c:axId val="180787712"/>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prstDash val="dash"/>
            <a:round/>
          </a:ln>
          <a:effectLst/>
        </c:spPr>
        <c:txPr>
          <a:bodyPr rot="-60000000" vert="horz"/>
          <a:lstStyle/>
          <a:p>
            <a:pPr>
              <a:defRPr/>
            </a:pPr>
            <a:endParaRPr lang="pt-BR"/>
          </a:p>
        </c:txPr>
        <c:crossAx val="100990272"/>
        <c:crossesAt val="0"/>
        <c:auto val="1"/>
        <c:lblAlgn val="ctr"/>
        <c:lblOffset val="100"/>
        <c:noMultiLvlLbl val="0"/>
      </c:catAx>
      <c:valAx>
        <c:axId val="100990272"/>
        <c:scaling>
          <c:orientation val="minMax"/>
          <c:max val="0"/>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txPr>
          <a:bodyPr rot="-60000000" vert="horz"/>
          <a:lstStyle/>
          <a:p>
            <a:pPr>
              <a:defRPr/>
            </a:pPr>
            <a:endParaRPr lang="pt-BR"/>
          </a:p>
        </c:txPr>
        <c:crossAx val="180787712"/>
        <c:crossesAt val="1"/>
        <c:crossBetween val="between"/>
      </c:valAx>
      <c:spPr>
        <a:noFill/>
        <a:ln>
          <a:noFill/>
        </a:ln>
        <a:effectLst/>
      </c:spPr>
    </c:plotArea>
    <c:legend>
      <c:legendPos val="t"/>
      <c:layout>
        <c:manualLayout>
          <c:xMode val="edge"/>
          <c:yMode val="edge"/>
          <c:x val="0.79185661929588602"/>
          <c:y val="2.8712176195366888E-2"/>
          <c:w val="0.20015875020193227"/>
          <c:h val="8.1661166267260069E-2"/>
        </c:manualLayout>
      </c:layout>
      <c:overlay val="0"/>
      <c:spPr>
        <a:noFill/>
        <a:ln>
          <a:noFill/>
        </a:ln>
        <a:effectLst/>
      </c:spPr>
      <c:txPr>
        <a:bodyPr rot="0" vert="horz"/>
        <a:lstStyle/>
        <a:p>
          <a:pPr>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800">
          <a:solidFill>
            <a:sysClr val="windowText" lastClr="000000"/>
          </a:solidFill>
          <a:latin typeface="Calibri Light" panose="020F0302020204030204" pitchFamily="34" charset="0"/>
          <a:ea typeface="Calibri Light" panose="020F0302020204030204" pitchFamily="34" charset="0"/>
          <a:cs typeface="Calibri Light" panose="020F0302020204030204" pitchFamily="34" charset="0"/>
        </a:defRPr>
      </a:pPr>
      <a:endParaRPr lang="pt-BR"/>
    </a:p>
  </c:txPr>
  <c:printSettings>
    <c:headerFooter/>
    <c:pageMargins b="0.29527559060000003" l="0.27559055119999998" r="0.27559055119999998" t="0.29527559060000003" header="0.1181102362" footer="0.1181102362"/>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Treatment Time Curves - Extrapolation from the median time of 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Data!$AK$8</c:f>
              <c:strCache>
                <c:ptCount val="1"/>
                <c:pt idx="0">
                  <c:v>Intrauterine device levonorgestrel</c:v>
                </c:pt>
              </c:strCache>
            </c:strRef>
          </c:tx>
          <c:spPr>
            <a:ln w="28575" cap="rnd">
              <a:solidFill>
                <a:schemeClr val="accent1"/>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Data!$AK$10:$AK$58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0-2488-4F1D-966E-29BA501416B6}"/>
            </c:ext>
          </c:extLst>
        </c:ser>
        <c:ser>
          <c:idx val="1"/>
          <c:order val="1"/>
          <c:tx>
            <c:strRef>
              <c:f>Data!$AL$8</c:f>
              <c:strCache>
                <c:ptCount val="1"/>
                <c:pt idx="0">
                  <c:v>Do not fill</c:v>
                </c:pt>
              </c:strCache>
            </c:strRef>
          </c:tx>
          <c:spPr>
            <a:ln w="28575" cap="rnd">
              <a:solidFill>
                <a:schemeClr val="accent2"/>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Data!$AL$10:$AL$58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1-2488-4F1D-966E-29BA501416B6}"/>
            </c:ext>
          </c:extLst>
        </c:ser>
        <c:ser>
          <c:idx val="2"/>
          <c:order val="2"/>
          <c:tx>
            <c:strRef>
              <c:f>Data!$AM$8</c:f>
              <c:strCache>
                <c:ptCount val="1"/>
                <c:pt idx="0">
                  <c:v>Do not fill</c:v>
                </c:pt>
              </c:strCache>
            </c:strRef>
          </c:tx>
          <c:spPr>
            <a:ln w="28575" cap="rnd">
              <a:solidFill>
                <a:schemeClr val="accent3"/>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Data!$AM$10:$AM$58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2-2488-4F1D-966E-29BA501416B6}"/>
            </c:ext>
          </c:extLst>
        </c:ser>
        <c:ser>
          <c:idx val="3"/>
          <c:order val="3"/>
          <c:tx>
            <c:strRef>
              <c:f>Data!$AN$8</c:f>
              <c:strCache>
                <c:ptCount val="1"/>
                <c:pt idx="0">
                  <c:v>Do not fill</c:v>
                </c:pt>
              </c:strCache>
            </c:strRef>
          </c:tx>
          <c:spPr>
            <a:ln w="28575" cap="rnd">
              <a:solidFill>
                <a:schemeClr val="accent4"/>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Data!$AN$10:$AN$58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3-2488-4F1D-966E-29BA501416B6}"/>
            </c:ext>
          </c:extLst>
        </c:ser>
        <c:ser>
          <c:idx val="4"/>
          <c:order val="4"/>
          <c:tx>
            <c:strRef>
              <c:f>Data!$AO$8</c:f>
              <c:strCache>
                <c:ptCount val="1"/>
                <c:pt idx="0">
                  <c:v>Oral contraceptive</c:v>
                </c:pt>
              </c:strCache>
            </c:strRef>
          </c:tx>
          <c:spPr>
            <a:ln w="28575" cap="rnd">
              <a:solidFill>
                <a:schemeClr val="accent5"/>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Data!$AO$10:$AO$58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4-2488-4F1D-966E-29BA501416B6}"/>
            </c:ext>
          </c:extLst>
        </c:ser>
        <c:ser>
          <c:idx val="5"/>
          <c:order val="5"/>
          <c:tx>
            <c:strRef>
              <c:f>Data!$AP$8</c:f>
              <c:strCache>
                <c:ptCount val="1"/>
                <c:pt idx="0">
                  <c:v>Do not fill</c:v>
                </c:pt>
              </c:strCache>
            </c:strRef>
          </c:tx>
          <c:spPr>
            <a:ln w="28575" cap="rnd">
              <a:solidFill>
                <a:schemeClr val="accent6"/>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Data!$AP$10:$AP$58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5-2488-4F1D-966E-29BA501416B6}"/>
            </c:ext>
          </c:extLst>
        </c:ser>
        <c:ser>
          <c:idx val="6"/>
          <c:order val="6"/>
          <c:tx>
            <c:strRef>
              <c:f>Data!$AQ$8</c:f>
              <c:strCache>
                <c:ptCount val="1"/>
                <c:pt idx="0">
                  <c:v>Do not fill</c:v>
                </c:pt>
              </c:strCache>
            </c:strRef>
          </c:tx>
          <c:spPr>
            <a:ln w="28575" cap="rnd">
              <a:solidFill>
                <a:schemeClr val="accent1">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Data!$AQ$10:$AQ$58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6-2488-4F1D-966E-29BA501416B6}"/>
            </c:ext>
          </c:extLst>
        </c:ser>
        <c:ser>
          <c:idx val="7"/>
          <c:order val="7"/>
          <c:tx>
            <c:strRef>
              <c:f>Data!$AR$8</c:f>
              <c:strCache>
                <c:ptCount val="1"/>
                <c:pt idx="0">
                  <c:v>Do not fill</c:v>
                </c:pt>
              </c:strCache>
            </c:strRef>
          </c:tx>
          <c:spPr>
            <a:ln w="28575" cap="rnd">
              <a:solidFill>
                <a:schemeClr val="accent2">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Data!$AR$10:$AR$58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7-2488-4F1D-966E-29BA501416B6}"/>
            </c:ext>
          </c:extLst>
        </c:ser>
        <c:ser>
          <c:idx val="8"/>
          <c:order val="8"/>
          <c:tx>
            <c:strRef>
              <c:f>Data!$AS$8</c:f>
              <c:strCache>
                <c:ptCount val="1"/>
                <c:pt idx="0">
                  <c:v>Do not fill</c:v>
                </c:pt>
              </c:strCache>
            </c:strRef>
          </c:tx>
          <c:spPr>
            <a:ln w="28575" cap="rnd">
              <a:solidFill>
                <a:schemeClr val="accent3">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Data!$AS$10:$AS$58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8-2488-4F1D-966E-29BA501416B6}"/>
            </c:ext>
          </c:extLst>
        </c:ser>
        <c:ser>
          <c:idx val="9"/>
          <c:order val="9"/>
          <c:tx>
            <c:strRef>
              <c:f>Data!$AT$8</c:f>
              <c:strCache>
                <c:ptCount val="1"/>
                <c:pt idx="0">
                  <c:v>Do not fill</c:v>
                </c:pt>
              </c:strCache>
            </c:strRef>
          </c:tx>
          <c:spPr>
            <a:ln w="28575" cap="rnd">
              <a:solidFill>
                <a:schemeClr val="accent4">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Data!$AT$10:$AT$58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9-2488-4F1D-966E-29BA501416B6}"/>
            </c:ext>
          </c:extLst>
        </c:ser>
        <c:ser>
          <c:idx val="10"/>
          <c:order val="10"/>
          <c:tx>
            <c:strRef>
              <c:f>Data!$AU$8</c:f>
              <c:strCache>
                <c:ptCount val="1"/>
                <c:pt idx="0">
                  <c:v>Do not fill</c:v>
                </c:pt>
              </c:strCache>
            </c:strRef>
          </c:tx>
          <c:spPr>
            <a:ln w="28575" cap="rnd">
              <a:solidFill>
                <a:schemeClr val="accent5">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Data!$AU$10:$AU$58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A-2488-4F1D-966E-29BA501416B6}"/>
            </c:ext>
          </c:extLst>
        </c:ser>
        <c:ser>
          <c:idx val="11"/>
          <c:order val="11"/>
          <c:tx>
            <c:strRef>
              <c:f>Data!$AV$8</c:f>
              <c:strCache>
                <c:ptCount val="1"/>
                <c:pt idx="0">
                  <c:v>Do not fill</c:v>
                </c:pt>
              </c:strCache>
            </c:strRef>
          </c:tx>
          <c:spPr>
            <a:ln w="28575" cap="rnd">
              <a:solidFill>
                <a:schemeClr val="accent6">
                  <a:lumMod val="6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Data!$AV$10:$AV$58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B-2488-4F1D-966E-29BA501416B6}"/>
            </c:ext>
          </c:extLst>
        </c:ser>
        <c:ser>
          <c:idx val="12"/>
          <c:order val="12"/>
          <c:tx>
            <c:strRef>
              <c:f>Data!$AW$8</c:f>
              <c:strCache>
                <c:ptCount val="1"/>
                <c:pt idx="0">
                  <c:v>Do not fill</c:v>
                </c:pt>
              </c:strCache>
            </c:strRef>
          </c:tx>
          <c:spPr>
            <a:ln w="28575" cap="rnd">
              <a:solidFill>
                <a:schemeClr val="accent1">
                  <a:lumMod val="80000"/>
                  <a:lumOff val="2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Data!$AW$10:$AW$58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C-2488-4F1D-966E-29BA501416B6}"/>
            </c:ext>
          </c:extLst>
        </c:ser>
        <c:ser>
          <c:idx val="13"/>
          <c:order val="13"/>
          <c:tx>
            <c:strRef>
              <c:f>Data!$AX$8</c:f>
              <c:strCache>
                <c:ptCount val="1"/>
                <c:pt idx="0">
                  <c:v>Do not fill</c:v>
                </c:pt>
              </c:strCache>
            </c:strRef>
          </c:tx>
          <c:spPr>
            <a:ln w="28575" cap="rnd">
              <a:solidFill>
                <a:schemeClr val="accent2">
                  <a:lumMod val="80000"/>
                  <a:lumOff val="20000"/>
                </a:schemeClr>
              </a:solidFill>
              <a:round/>
            </a:ln>
            <a:effectLst/>
          </c:spPr>
          <c:marker>
            <c:symbol val="none"/>
          </c:marker>
          <c:cat>
            <c:numRef>
              <c:f>Data!$AJ$10:$AJ$58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Data!$AX$10:$AX$58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D-2488-4F1D-966E-29BA501416B6}"/>
            </c:ext>
          </c:extLst>
        </c:ser>
        <c:dLbls>
          <c:showLegendKey val="0"/>
          <c:showVal val="0"/>
          <c:showCatName val="0"/>
          <c:showSerName val="0"/>
          <c:showPercent val="0"/>
          <c:showBubbleSize val="0"/>
        </c:dLbls>
        <c:smooth val="0"/>
        <c:axId val="916415231"/>
        <c:axId val="916416191"/>
      </c:lineChart>
      <c:catAx>
        <c:axId val="9164152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6191"/>
        <c:crosses val="autoZero"/>
        <c:auto val="1"/>
        <c:lblAlgn val="ctr"/>
        <c:lblOffset val="100"/>
        <c:noMultiLvlLbl val="0"/>
      </c:catAx>
      <c:valAx>
        <c:axId val="916416191"/>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5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Overall Survival Curves - Extrapolation from Median Survival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tx>
            <c:strRef>
              <c:f>Data!$AK$8</c:f>
              <c:strCache>
                <c:ptCount val="1"/>
                <c:pt idx="0">
                  <c:v>Intrauterine device levonorgestrel</c:v>
                </c:pt>
              </c:strCache>
            </c:strRef>
          </c:tx>
          <c:spPr>
            <a:ln w="28575" cap="rnd">
              <a:solidFill>
                <a:schemeClr val="accent1"/>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Data!$AK$110:$AK$158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0-A598-4193-BA3D-4C7BDA1C2625}"/>
            </c:ext>
          </c:extLst>
        </c:ser>
        <c:ser>
          <c:idx val="1"/>
          <c:order val="1"/>
          <c:tx>
            <c:strRef>
              <c:f>Data!$AL$8</c:f>
              <c:strCache>
                <c:ptCount val="1"/>
                <c:pt idx="0">
                  <c:v>Do not fill</c:v>
                </c:pt>
              </c:strCache>
            </c:strRef>
          </c:tx>
          <c:spPr>
            <a:ln w="28575" cap="rnd">
              <a:solidFill>
                <a:schemeClr val="accent2"/>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Data!$AL$110:$AL$158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1-A598-4193-BA3D-4C7BDA1C2625}"/>
            </c:ext>
          </c:extLst>
        </c:ser>
        <c:ser>
          <c:idx val="2"/>
          <c:order val="2"/>
          <c:tx>
            <c:strRef>
              <c:f>Data!$AM$8</c:f>
              <c:strCache>
                <c:ptCount val="1"/>
                <c:pt idx="0">
                  <c:v>Do not fill</c:v>
                </c:pt>
              </c:strCache>
            </c:strRef>
          </c:tx>
          <c:spPr>
            <a:ln w="28575" cap="rnd">
              <a:solidFill>
                <a:schemeClr val="accent3"/>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Data!$AM$110:$AM$158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2-A598-4193-BA3D-4C7BDA1C2625}"/>
            </c:ext>
          </c:extLst>
        </c:ser>
        <c:ser>
          <c:idx val="3"/>
          <c:order val="3"/>
          <c:tx>
            <c:strRef>
              <c:f>Data!$AN$8</c:f>
              <c:strCache>
                <c:ptCount val="1"/>
                <c:pt idx="0">
                  <c:v>Do not fill</c:v>
                </c:pt>
              </c:strCache>
            </c:strRef>
          </c:tx>
          <c:spPr>
            <a:ln w="28575" cap="rnd">
              <a:solidFill>
                <a:schemeClr val="accent4"/>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Data!$AN$110:$AN$158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3-A598-4193-BA3D-4C7BDA1C2625}"/>
            </c:ext>
          </c:extLst>
        </c:ser>
        <c:ser>
          <c:idx val="4"/>
          <c:order val="4"/>
          <c:tx>
            <c:strRef>
              <c:f>Data!$AO$8</c:f>
              <c:strCache>
                <c:ptCount val="1"/>
                <c:pt idx="0">
                  <c:v>Oral contraceptive</c:v>
                </c:pt>
              </c:strCache>
            </c:strRef>
          </c:tx>
          <c:spPr>
            <a:ln w="28575" cap="rnd">
              <a:solidFill>
                <a:schemeClr val="accent5"/>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Data!$AO$110:$AO$158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4-A598-4193-BA3D-4C7BDA1C2625}"/>
            </c:ext>
          </c:extLst>
        </c:ser>
        <c:ser>
          <c:idx val="5"/>
          <c:order val="5"/>
          <c:tx>
            <c:strRef>
              <c:f>Data!$AP$8</c:f>
              <c:strCache>
                <c:ptCount val="1"/>
                <c:pt idx="0">
                  <c:v>Do not fill</c:v>
                </c:pt>
              </c:strCache>
            </c:strRef>
          </c:tx>
          <c:spPr>
            <a:ln w="28575" cap="rnd">
              <a:solidFill>
                <a:schemeClr val="accent6"/>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Data!$AP$110:$AP$158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5-A598-4193-BA3D-4C7BDA1C2625}"/>
            </c:ext>
          </c:extLst>
        </c:ser>
        <c:ser>
          <c:idx val="6"/>
          <c:order val="6"/>
          <c:tx>
            <c:strRef>
              <c:f>Data!$AQ$8</c:f>
              <c:strCache>
                <c:ptCount val="1"/>
                <c:pt idx="0">
                  <c:v>Do not fill</c:v>
                </c:pt>
              </c:strCache>
            </c:strRef>
          </c:tx>
          <c:spPr>
            <a:ln w="28575" cap="rnd">
              <a:solidFill>
                <a:schemeClr val="accent1">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Data!$AQ$110:$AQ$158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6-A598-4193-BA3D-4C7BDA1C2625}"/>
            </c:ext>
          </c:extLst>
        </c:ser>
        <c:ser>
          <c:idx val="7"/>
          <c:order val="7"/>
          <c:tx>
            <c:strRef>
              <c:f>Data!$AR$8</c:f>
              <c:strCache>
                <c:ptCount val="1"/>
                <c:pt idx="0">
                  <c:v>Do not fill</c:v>
                </c:pt>
              </c:strCache>
            </c:strRef>
          </c:tx>
          <c:spPr>
            <a:ln w="28575" cap="rnd">
              <a:solidFill>
                <a:schemeClr val="accent2">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Data!$AR$110:$AR$158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7-A598-4193-BA3D-4C7BDA1C2625}"/>
            </c:ext>
          </c:extLst>
        </c:ser>
        <c:ser>
          <c:idx val="8"/>
          <c:order val="8"/>
          <c:tx>
            <c:strRef>
              <c:f>Data!$AS$8</c:f>
              <c:strCache>
                <c:ptCount val="1"/>
                <c:pt idx="0">
                  <c:v>Do not fill</c:v>
                </c:pt>
              </c:strCache>
            </c:strRef>
          </c:tx>
          <c:spPr>
            <a:ln w="28575" cap="rnd">
              <a:solidFill>
                <a:schemeClr val="accent3">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Data!$AS$110:$AS$158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8-A598-4193-BA3D-4C7BDA1C2625}"/>
            </c:ext>
          </c:extLst>
        </c:ser>
        <c:ser>
          <c:idx val="9"/>
          <c:order val="9"/>
          <c:tx>
            <c:strRef>
              <c:f>Data!$AT$8</c:f>
              <c:strCache>
                <c:ptCount val="1"/>
                <c:pt idx="0">
                  <c:v>Do not fill</c:v>
                </c:pt>
              </c:strCache>
            </c:strRef>
          </c:tx>
          <c:spPr>
            <a:ln w="28575" cap="rnd">
              <a:solidFill>
                <a:schemeClr val="accent4">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Data!$AT$110:$AT$158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9-A598-4193-BA3D-4C7BDA1C2625}"/>
            </c:ext>
          </c:extLst>
        </c:ser>
        <c:ser>
          <c:idx val="10"/>
          <c:order val="10"/>
          <c:tx>
            <c:strRef>
              <c:f>Data!$AU$8</c:f>
              <c:strCache>
                <c:ptCount val="1"/>
                <c:pt idx="0">
                  <c:v>Do not fill</c:v>
                </c:pt>
              </c:strCache>
            </c:strRef>
          </c:tx>
          <c:spPr>
            <a:ln w="28575" cap="rnd">
              <a:solidFill>
                <a:schemeClr val="accent5">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Data!$AU$110:$AU$158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A-A598-4193-BA3D-4C7BDA1C2625}"/>
            </c:ext>
          </c:extLst>
        </c:ser>
        <c:ser>
          <c:idx val="11"/>
          <c:order val="11"/>
          <c:tx>
            <c:strRef>
              <c:f>Data!$AV$8</c:f>
              <c:strCache>
                <c:ptCount val="1"/>
                <c:pt idx="0">
                  <c:v>Do not fill</c:v>
                </c:pt>
              </c:strCache>
            </c:strRef>
          </c:tx>
          <c:spPr>
            <a:ln w="28575" cap="rnd">
              <a:solidFill>
                <a:schemeClr val="accent6">
                  <a:lumMod val="6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Data!$AV$110:$AV$158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B-A598-4193-BA3D-4C7BDA1C2625}"/>
            </c:ext>
          </c:extLst>
        </c:ser>
        <c:ser>
          <c:idx val="12"/>
          <c:order val="12"/>
          <c:tx>
            <c:strRef>
              <c:f>Data!$AW$8</c:f>
              <c:strCache>
                <c:ptCount val="1"/>
                <c:pt idx="0">
                  <c:v>Do not fill</c:v>
                </c:pt>
              </c:strCache>
            </c:strRef>
          </c:tx>
          <c:spPr>
            <a:ln w="28575" cap="rnd">
              <a:solidFill>
                <a:schemeClr val="accent1">
                  <a:lumMod val="80000"/>
                  <a:lumOff val="2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Data!$AW$110:$AW$158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C-A598-4193-BA3D-4C7BDA1C2625}"/>
            </c:ext>
          </c:extLst>
        </c:ser>
        <c:ser>
          <c:idx val="13"/>
          <c:order val="13"/>
          <c:tx>
            <c:strRef>
              <c:f>Data!$AX$8</c:f>
              <c:strCache>
                <c:ptCount val="1"/>
                <c:pt idx="0">
                  <c:v>Do not fill</c:v>
                </c:pt>
              </c:strCache>
            </c:strRef>
          </c:tx>
          <c:spPr>
            <a:ln w="28575" cap="rnd">
              <a:solidFill>
                <a:schemeClr val="accent2">
                  <a:lumMod val="80000"/>
                  <a:lumOff val="20000"/>
                </a:schemeClr>
              </a:solidFill>
              <a:round/>
            </a:ln>
            <a:effectLst/>
          </c:spPr>
          <c:marker>
            <c:symbol val="none"/>
          </c:marker>
          <c:cat>
            <c:numRef>
              <c:f>Data!$AJ$110:$AJ$158</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cat>
          <c:val>
            <c:numRef>
              <c:f>Data!$AX$110:$AX$158</c:f>
              <c:numCache>
                <c:formatCode>0%</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numCache>
            </c:numRef>
          </c:val>
          <c:smooth val="0"/>
          <c:extLst>
            <c:ext xmlns:c16="http://schemas.microsoft.com/office/drawing/2014/chart" uri="{C3380CC4-5D6E-409C-BE32-E72D297353CC}">
              <c16:uniqueId val="{0000000D-A598-4193-BA3D-4C7BDA1C2625}"/>
            </c:ext>
          </c:extLst>
        </c:ser>
        <c:dLbls>
          <c:showLegendKey val="0"/>
          <c:showVal val="0"/>
          <c:showCatName val="0"/>
          <c:showSerName val="0"/>
          <c:showPercent val="0"/>
          <c:showBubbleSize val="0"/>
        </c:dLbls>
        <c:smooth val="0"/>
        <c:axId val="916415231"/>
        <c:axId val="916416191"/>
      </c:lineChart>
      <c:catAx>
        <c:axId val="9164152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Month</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6191"/>
        <c:crosses val="autoZero"/>
        <c:auto val="1"/>
        <c:lblAlgn val="ctr"/>
        <c:lblOffset val="100"/>
        <c:noMultiLvlLbl val="0"/>
      </c:catAx>
      <c:valAx>
        <c:axId val="916416191"/>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pt-BR"/>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pt-B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16415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Epidemiological funnel</cx:v>
        </cx:txData>
      </cx:tx>
      <cx:txPr>
        <a:bodyPr spcFirstLastPara="1" vertOverflow="ellipsis" horzOverflow="overflow" wrap="square" lIns="0" tIns="0" rIns="0" bIns="0" anchor="ctr" anchorCtr="1"/>
        <a:lstStyle/>
        <a:p>
          <a:pPr algn="ctr" rtl="0">
            <a:defRPr sz="1000">
              <a:solidFill>
                <a:schemeClr val="tx1"/>
              </a:solidFill>
              <a:latin typeface="+mn-lt"/>
            </a:defRPr>
          </a:pPr>
          <a:r>
            <a:rPr lang="pt-BR" sz="1000" b="0" i="0" u="none" strike="noStrike" baseline="0">
              <a:solidFill>
                <a:schemeClr val="tx1"/>
              </a:solidFill>
              <a:latin typeface="+mn-lt"/>
            </a:rPr>
            <a:t>Epidemiological funnel</a:t>
          </a:r>
        </a:p>
      </cx:txPr>
    </cx:title>
    <cx:plotArea>
      <cx:plotAreaRegion>
        <cx:series layoutId="funnel" uniqueId="{659EFB29-B691-4FE8-8FD6-A97E546F1953}">
          <cx:tx>
            <cx:txData>
              <cx:f>_xlchart.v2.1</cx:f>
              <cx:v>Total</cx:v>
            </cx:txData>
          </cx:tx>
          <cx:dataLabels>
            <cx:txPr>
              <a:bodyPr vertOverflow="overflow" horzOverflow="overflow" wrap="square" lIns="0" tIns="0" rIns="0" bIns="0"/>
              <a:lstStyle/>
              <a:p>
                <a:pPr algn="ctr" rtl="0">
                  <a:defRPr sz="1000" b="0" i="0">
                    <a:solidFill>
                      <a:schemeClr val="tx1"/>
                    </a:solidFill>
                    <a:latin typeface="+mn-lt"/>
                    <a:ea typeface="Calibri" panose="020F0502020204030204" pitchFamily="34" charset="0"/>
                    <a:cs typeface="Calibri" panose="020F0502020204030204" pitchFamily="34" charset="0"/>
                  </a:defRPr>
                </a:pPr>
                <a:endParaRPr sz="1000">
                  <a:solidFill>
                    <a:schemeClr val="tx1"/>
                  </a:solidFill>
                  <a:latin typeface="+mn-lt"/>
                </a:endParaRPr>
              </a:p>
            </cx:txPr>
            <cx:visibility seriesName="0" categoryName="0" value="1"/>
          </cx:dataLabels>
          <cx:dataId val="0"/>
        </cx:series>
      </cx:plotAreaRegion>
      <cx:axis id="0">
        <cx:catScaling gapWidth="0.0599999987"/>
        <cx:tickLabels/>
        <cx:txPr>
          <a:bodyPr vertOverflow="overflow" horzOverflow="overflow" wrap="square" lIns="0" tIns="0" rIns="0" bIns="0"/>
          <a:lstStyle/>
          <a:p>
            <a:pPr algn="ctr" rtl="0">
              <a:defRPr sz="1000" b="0" i="0">
                <a:solidFill>
                  <a:schemeClr val="tx1"/>
                </a:solidFill>
                <a:latin typeface="+mn-lt"/>
                <a:ea typeface="Calibri" panose="020F0502020204030204" pitchFamily="34" charset="0"/>
                <a:cs typeface="Calibri" panose="020F0502020204030204" pitchFamily="34" charset="0"/>
              </a:defRPr>
            </a:pPr>
            <a:endParaRPr sz="1000">
              <a:solidFill>
                <a:schemeClr val="tx1"/>
              </a:solidFill>
              <a:latin typeface="+mn-lt"/>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56DE26DF-9FF5-4B60-8818-E32C1DEE212F}" type="doc">
      <dgm:prSet loTypeId="urn:microsoft.com/office/officeart/2005/8/layout/lProcess2" loCatId="list" qsTypeId="urn:microsoft.com/office/officeart/2005/8/quickstyle/simple1" qsCatId="simple" csTypeId="urn:microsoft.com/office/officeart/2005/8/colors/accent1_2" csCatId="accent1" phldr="1"/>
      <dgm:spPr/>
      <dgm:t>
        <a:bodyPr/>
        <a:lstStyle/>
        <a:p>
          <a:endParaRPr lang="pt-BR"/>
        </a:p>
      </dgm:t>
    </dgm:pt>
    <dgm:pt modelId="{82A04AFB-F35C-4906-8984-FB9C1388B8BC}">
      <dgm:prSet phldrT="[Texto]" custT="1"/>
      <dgm:spPr>
        <a:solidFill>
          <a:schemeClr val="accent6">
            <a:lumMod val="40000"/>
            <a:lumOff val="60000"/>
          </a:schemeClr>
        </a:solidFill>
      </dgm:spPr>
      <dgm:t>
        <a:bodyPr/>
        <a:lstStyle/>
        <a:p>
          <a:r>
            <a:rPr lang="pt-BR" sz="1200" b="1" dirty="0"/>
            <a:t>Technology-Specific Costs</a:t>
          </a:r>
        </a:p>
      </dgm:t>
    </dgm:pt>
    <dgm:pt modelId="{FAEEE7C9-FD1E-4D0F-B396-293EE9963374}" type="parTrans" cxnId="{16492548-5670-48E6-9FAD-68717A5A2AD3}">
      <dgm:prSet/>
      <dgm:spPr/>
      <dgm:t>
        <a:bodyPr/>
        <a:lstStyle/>
        <a:p>
          <a:endParaRPr lang="pt-BR" sz="1000"/>
        </a:p>
      </dgm:t>
    </dgm:pt>
    <dgm:pt modelId="{B71D6376-CF06-462F-8D41-625D6537621D}" type="sibTrans" cxnId="{16492548-5670-48E6-9FAD-68717A5A2AD3}">
      <dgm:prSet/>
      <dgm:spPr/>
      <dgm:t>
        <a:bodyPr/>
        <a:lstStyle/>
        <a:p>
          <a:endParaRPr lang="pt-BR" sz="1000"/>
        </a:p>
      </dgm:t>
    </dgm:pt>
    <dgm:pt modelId="{D7E91861-5BC4-4537-8ABE-A067DD0003DB}">
      <dgm:prSet phldrT="[Texto]" custT="1"/>
      <dgm:spPr>
        <a:solidFill>
          <a:srgbClr val="686A10"/>
        </a:solidFill>
      </dgm:spPr>
      <dgm:t>
        <a:bodyPr/>
        <a:lstStyle/>
        <a:p>
          <a:r>
            <a:rPr lang="pt-BR" sz="1000" dirty="0"/>
            <a:t>6.1.1. Initial treatment cost (e.g., induction therapy)</a:t>
          </a:r>
        </a:p>
      </dgm:t>
    </dgm:pt>
    <dgm:pt modelId="{FA4B955A-CDA7-4946-B38C-DF78112B19D0}" type="parTrans" cxnId="{C515205B-1CC8-4105-A38B-996309470C35}">
      <dgm:prSet/>
      <dgm:spPr/>
      <dgm:t>
        <a:bodyPr/>
        <a:lstStyle/>
        <a:p>
          <a:endParaRPr lang="pt-BR" sz="1000"/>
        </a:p>
      </dgm:t>
    </dgm:pt>
    <dgm:pt modelId="{EA176569-7390-4D86-A99E-F077F0D35B0B}" type="sibTrans" cxnId="{C515205B-1CC8-4105-A38B-996309470C35}">
      <dgm:prSet/>
      <dgm:spPr/>
      <dgm:t>
        <a:bodyPr/>
        <a:lstStyle/>
        <a:p>
          <a:endParaRPr lang="pt-BR" sz="1000"/>
        </a:p>
      </dgm:t>
    </dgm:pt>
    <dgm:pt modelId="{D3FC16ED-2D62-420F-A894-6543BE6E45A1}">
      <dgm:prSet phldrT="[Texto]" custT="1"/>
      <dgm:spPr>
        <a:solidFill>
          <a:srgbClr val="686A10"/>
        </a:solidFill>
      </dgm:spPr>
      <dgm:t>
        <a:bodyPr/>
        <a:lstStyle/>
        <a:p>
          <a:r>
            <a:rPr lang="pt-BR" sz="1000" dirty="0"/>
            <a:t>6.1.2. Ongoing monthly treatment cost (recurrent/continuous)</a:t>
          </a:r>
        </a:p>
      </dgm:t>
    </dgm:pt>
    <dgm:pt modelId="{2CD6DF31-91B0-43D1-BF1C-B76007ED9628}" type="parTrans" cxnId="{5B70744E-6F97-4BC6-926C-568628F1BC33}">
      <dgm:prSet/>
      <dgm:spPr/>
      <dgm:t>
        <a:bodyPr/>
        <a:lstStyle/>
        <a:p>
          <a:endParaRPr lang="pt-BR" sz="1000"/>
        </a:p>
      </dgm:t>
    </dgm:pt>
    <dgm:pt modelId="{A275EC1F-323C-4468-B50E-2603AE6A250D}" type="sibTrans" cxnId="{5B70744E-6F97-4BC6-926C-568628F1BC33}">
      <dgm:prSet/>
      <dgm:spPr/>
      <dgm:t>
        <a:bodyPr/>
        <a:lstStyle/>
        <a:p>
          <a:endParaRPr lang="pt-BR" sz="1000"/>
        </a:p>
      </dgm:t>
    </dgm:pt>
    <dgm:pt modelId="{0543F66E-5D4E-4EA4-9D0A-14FDE5F25CD3}">
      <dgm:prSet phldrT="[Texto]" custT="1"/>
      <dgm:spPr>
        <a:solidFill>
          <a:schemeClr val="accent3">
            <a:lumMod val="20000"/>
            <a:lumOff val="80000"/>
          </a:schemeClr>
        </a:solidFill>
      </dgm:spPr>
      <dgm:t>
        <a:bodyPr/>
        <a:lstStyle/>
        <a:p>
          <a:r>
            <a:rPr lang="pt-BR" sz="1200" b="1" dirty="0"/>
            <a:t>General Costs for All Technologies</a:t>
          </a:r>
        </a:p>
      </dgm:t>
    </dgm:pt>
    <dgm:pt modelId="{71E71121-63E6-4BA1-8EDF-3B3EDE720CFB}" type="parTrans" cxnId="{756E7E7E-A15A-4F58-8BCB-662DB4523B43}">
      <dgm:prSet/>
      <dgm:spPr/>
      <dgm:t>
        <a:bodyPr/>
        <a:lstStyle/>
        <a:p>
          <a:endParaRPr lang="pt-BR" sz="1000"/>
        </a:p>
      </dgm:t>
    </dgm:pt>
    <dgm:pt modelId="{4445D0FD-F19B-4AA1-9F15-0B6E8A195F02}" type="sibTrans" cxnId="{756E7E7E-A15A-4F58-8BCB-662DB4523B43}">
      <dgm:prSet/>
      <dgm:spPr/>
      <dgm:t>
        <a:bodyPr/>
        <a:lstStyle/>
        <a:p>
          <a:endParaRPr lang="pt-BR" sz="1000"/>
        </a:p>
      </dgm:t>
    </dgm:pt>
    <dgm:pt modelId="{68B04809-A1B8-4504-BE35-1FE060095996}">
      <dgm:prSet phldrT="[Texto]" custT="1"/>
      <dgm:spPr>
        <a:solidFill>
          <a:schemeClr val="tx2">
            <a:lumMod val="75000"/>
          </a:schemeClr>
        </a:solidFill>
      </dgm:spPr>
      <dgm:t>
        <a:bodyPr/>
        <a:lstStyle/>
        <a:p>
          <a:r>
            <a:rPr lang="pt-BR" sz="1000" dirty="0"/>
            <a:t>6.1.4. Initial general costs (e.g., molecular testing)</a:t>
          </a:r>
        </a:p>
      </dgm:t>
    </dgm:pt>
    <dgm:pt modelId="{501C7D79-F2DB-4FD3-9397-10D95D42A59B}" type="parTrans" cxnId="{ED711A15-3F97-42DE-912C-08E7D4E5ED52}">
      <dgm:prSet/>
      <dgm:spPr/>
      <dgm:t>
        <a:bodyPr/>
        <a:lstStyle/>
        <a:p>
          <a:endParaRPr lang="pt-BR" sz="1000"/>
        </a:p>
      </dgm:t>
    </dgm:pt>
    <dgm:pt modelId="{416A5528-3A69-4ED1-8D4F-4497F912BFDB}" type="sibTrans" cxnId="{ED711A15-3F97-42DE-912C-08E7D4E5ED52}">
      <dgm:prSet/>
      <dgm:spPr/>
      <dgm:t>
        <a:bodyPr/>
        <a:lstStyle/>
        <a:p>
          <a:endParaRPr lang="pt-BR" sz="1000"/>
        </a:p>
      </dgm:t>
    </dgm:pt>
    <dgm:pt modelId="{533A196C-CFEC-4AE5-BADC-B0BC21CC25AA}">
      <dgm:prSet phldrT="[Texto]" custT="1"/>
      <dgm:spPr>
        <a:solidFill>
          <a:srgbClr val="686A10"/>
        </a:solidFill>
      </dgm:spPr>
      <dgm:t>
        <a:bodyPr/>
        <a:lstStyle/>
        <a:p>
          <a:r>
            <a:rPr lang="pt-BR" sz="1000" dirty="0"/>
            <a:t>6.1.3. Additional monthly costs (e.g., adverse event monitoring)</a:t>
          </a:r>
        </a:p>
      </dgm:t>
    </dgm:pt>
    <dgm:pt modelId="{6A95C5A3-30D5-4B9E-A976-E3D7749622FD}" type="parTrans" cxnId="{1D7E3122-43C4-4C57-8289-AD2E7C77CC1E}">
      <dgm:prSet/>
      <dgm:spPr/>
      <dgm:t>
        <a:bodyPr/>
        <a:lstStyle/>
        <a:p>
          <a:endParaRPr lang="pt-BR" sz="1000"/>
        </a:p>
      </dgm:t>
    </dgm:pt>
    <dgm:pt modelId="{1CC77DA4-FEFD-4335-8B8D-0DAF8A75136E}" type="sibTrans" cxnId="{1D7E3122-43C4-4C57-8289-AD2E7C77CC1E}">
      <dgm:prSet/>
      <dgm:spPr/>
      <dgm:t>
        <a:bodyPr/>
        <a:lstStyle/>
        <a:p>
          <a:endParaRPr lang="pt-BR" sz="1000"/>
        </a:p>
      </dgm:t>
    </dgm:pt>
    <dgm:pt modelId="{5D901CDD-36D5-4F8F-8783-1CEE002B5771}">
      <dgm:prSet phldrT="[Texto]" custT="1"/>
      <dgm:spPr>
        <a:solidFill>
          <a:schemeClr val="tx2">
            <a:lumMod val="75000"/>
          </a:schemeClr>
        </a:solidFill>
      </dgm:spPr>
      <dgm:t>
        <a:bodyPr/>
        <a:lstStyle/>
        <a:p>
          <a:r>
            <a:rPr lang="pt-BR" sz="1000" dirty="0"/>
            <a:t>6.1.5. Monthly costs DURING treatment (e.g., routine follow-up)</a:t>
          </a:r>
        </a:p>
      </dgm:t>
    </dgm:pt>
    <dgm:pt modelId="{1BBBEA50-3146-495F-B85C-6678D71A8FB0}" type="parTrans" cxnId="{591BF026-5367-49A2-B008-2168E0F601CE}">
      <dgm:prSet/>
      <dgm:spPr/>
      <dgm:t>
        <a:bodyPr/>
        <a:lstStyle/>
        <a:p>
          <a:endParaRPr lang="pt-BR" sz="1000"/>
        </a:p>
      </dgm:t>
    </dgm:pt>
    <dgm:pt modelId="{6020C550-7398-4578-B429-47346C52DD78}" type="sibTrans" cxnId="{591BF026-5367-49A2-B008-2168E0F601CE}">
      <dgm:prSet/>
      <dgm:spPr/>
      <dgm:t>
        <a:bodyPr/>
        <a:lstStyle/>
        <a:p>
          <a:endParaRPr lang="pt-BR" sz="1000"/>
        </a:p>
      </dgm:t>
    </dgm:pt>
    <dgm:pt modelId="{D350B595-2166-47ED-A1C3-F51114F0F56D}">
      <dgm:prSet phldrT="[Texto]" custT="1"/>
      <dgm:spPr>
        <a:solidFill>
          <a:schemeClr val="tx2">
            <a:lumMod val="75000"/>
          </a:schemeClr>
        </a:solidFill>
      </dgm:spPr>
      <dgm:t>
        <a:bodyPr/>
        <a:lstStyle/>
        <a:p>
          <a:r>
            <a:rPr lang="pt-BR" sz="1000" dirty="0"/>
            <a:t>6.1.6. Monthly costs AFTER treatment (e.g., progression-related costs)</a:t>
          </a:r>
        </a:p>
      </dgm:t>
    </dgm:pt>
    <dgm:pt modelId="{336AF82C-E8FB-4395-9756-B3455031E946}" type="parTrans" cxnId="{45C166C6-C974-4177-8643-8A5F78604F39}">
      <dgm:prSet/>
      <dgm:spPr/>
      <dgm:t>
        <a:bodyPr/>
        <a:lstStyle/>
        <a:p>
          <a:endParaRPr lang="pt-BR" sz="1000"/>
        </a:p>
      </dgm:t>
    </dgm:pt>
    <dgm:pt modelId="{8EDC820A-A423-45AD-97A8-5C988C8E5DB7}" type="sibTrans" cxnId="{45C166C6-C974-4177-8643-8A5F78604F39}">
      <dgm:prSet/>
      <dgm:spPr/>
      <dgm:t>
        <a:bodyPr/>
        <a:lstStyle/>
        <a:p>
          <a:endParaRPr lang="pt-BR" sz="1000"/>
        </a:p>
      </dgm:t>
    </dgm:pt>
    <dgm:pt modelId="{5FE7150C-8591-4770-8FE3-9B043C3D576E}" type="pres">
      <dgm:prSet presAssocID="{56DE26DF-9FF5-4B60-8818-E32C1DEE212F}" presName="theList" presStyleCnt="0">
        <dgm:presLayoutVars>
          <dgm:dir/>
          <dgm:animLvl val="lvl"/>
          <dgm:resizeHandles val="exact"/>
        </dgm:presLayoutVars>
      </dgm:prSet>
      <dgm:spPr/>
    </dgm:pt>
    <dgm:pt modelId="{E66F1DB7-78CD-4E2B-9AED-36CD6A19BAF2}" type="pres">
      <dgm:prSet presAssocID="{82A04AFB-F35C-4906-8984-FB9C1388B8BC}" presName="compNode" presStyleCnt="0"/>
      <dgm:spPr/>
    </dgm:pt>
    <dgm:pt modelId="{E57D96B0-5DDE-4861-9BC7-7FF0718B60EA}" type="pres">
      <dgm:prSet presAssocID="{82A04AFB-F35C-4906-8984-FB9C1388B8BC}" presName="aNode" presStyleLbl="bgShp" presStyleIdx="0" presStyleCnt="2" custLinFactNeighborX="-18987" custLinFactNeighborY="-16908"/>
      <dgm:spPr/>
    </dgm:pt>
    <dgm:pt modelId="{A971ABF2-C245-4CDA-B508-24D2CBA68F51}" type="pres">
      <dgm:prSet presAssocID="{82A04AFB-F35C-4906-8984-FB9C1388B8BC}" presName="textNode" presStyleLbl="bgShp" presStyleIdx="0" presStyleCnt="2"/>
      <dgm:spPr/>
    </dgm:pt>
    <dgm:pt modelId="{28FC0A97-92C3-4361-BACE-4D4DCCDAEC5E}" type="pres">
      <dgm:prSet presAssocID="{82A04AFB-F35C-4906-8984-FB9C1388B8BC}" presName="compChildNode" presStyleCnt="0"/>
      <dgm:spPr/>
    </dgm:pt>
    <dgm:pt modelId="{9E0FC7B4-2814-446C-9D72-9FB682175E6C}" type="pres">
      <dgm:prSet presAssocID="{82A04AFB-F35C-4906-8984-FB9C1388B8BC}" presName="theInnerList" presStyleCnt="0"/>
      <dgm:spPr/>
    </dgm:pt>
    <dgm:pt modelId="{88512D4D-0D2B-4960-B981-45FD8E6902FF}" type="pres">
      <dgm:prSet presAssocID="{D7E91861-5BC4-4537-8ABE-A067DD0003DB}" presName="childNode" presStyleLbl="node1" presStyleIdx="0" presStyleCnt="6">
        <dgm:presLayoutVars>
          <dgm:bulletEnabled val="1"/>
        </dgm:presLayoutVars>
      </dgm:prSet>
      <dgm:spPr/>
    </dgm:pt>
    <dgm:pt modelId="{C56120B0-13B3-4A8E-AF17-7D7997F45365}" type="pres">
      <dgm:prSet presAssocID="{D7E91861-5BC4-4537-8ABE-A067DD0003DB}" presName="aSpace2" presStyleCnt="0"/>
      <dgm:spPr/>
    </dgm:pt>
    <dgm:pt modelId="{87937309-444C-47D5-B38C-A1FE2518E68E}" type="pres">
      <dgm:prSet presAssocID="{D3FC16ED-2D62-420F-A894-6543BE6E45A1}" presName="childNode" presStyleLbl="node1" presStyleIdx="1" presStyleCnt="6">
        <dgm:presLayoutVars>
          <dgm:bulletEnabled val="1"/>
        </dgm:presLayoutVars>
      </dgm:prSet>
      <dgm:spPr/>
    </dgm:pt>
    <dgm:pt modelId="{D708E788-7314-49A2-8934-AF8208FC57C1}" type="pres">
      <dgm:prSet presAssocID="{D3FC16ED-2D62-420F-A894-6543BE6E45A1}" presName="aSpace2" presStyleCnt="0"/>
      <dgm:spPr/>
    </dgm:pt>
    <dgm:pt modelId="{E7D0DB12-B9DE-4B49-A14C-AE9BDA250EC1}" type="pres">
      <dgm:prSet presAssocID="{533A196C-CFEC-4AE5-BADC-B0BC21CC25AA}" presName="childNode" presStyleLbl="node1" presStyleIdx="2" presStyleCnt="6">
        <dgm:presLayoutVars>
          <dgm:bulletEnabled val="1"/>
        </dgm:presLayoutVars>
      </dgm:prSet>
      <dgm:spPr/>
    </dgm:pt>
    <dgm:pt modelId="{8D3AF980-2B14-49C3-8811-DC8D88D2AA93}" type="pres">
      <dgm:prSet presAssocID="{82A04AFB-F35C-4906-8984-FB9C1388B8BC}" presName="aSpace" presStyleCnt="0"/>
      <dgm:spPr/>
    </dgm:pt>
    <dgm:pt modelId="{315A2809-B4B7-4EE9-872D-0817C75A0B4C}" type="pres">
      <dgm:prSet presAssocID="{0543F66E-5D4E-4EA4-9D0A-14FDE5F25CD3}" presName="compNode" presStyleCnt="0"/>
      <dgm:spPr/>
    </dgm:pt>
    <dgm:pt modelId="{6D4A1F18-AB19-42D1-B23B-99F41011B617}" type="pres">
      <dgm:prSet presAssocID="{0543F66E-5D4E-4EA4-9D0A-14FDE5F25CD3}" presName="aNode" presStyleLbl="bgShp" presStyleIdx="1" presStyleCnt="2"/>
      <dgm:spPr/>
    </dgm:pt>
    <dgm:pt modelId="{8705E5C2-45AE-4EED-A585-3D0E14BB6FD9}" type="pres">
      <dgm:prSet presAssocID="{0543F66E-5D4E-4EA4-9D0A-14FDE5F25CD3}" presName="textNode" presStyleLbl="bgShp" presStyleIdx="1" presStyleCnt="2"/>
      <dgm:spPr/>
    </dgm:pt>
    <dgm:pt modelId="{CEF54AA1-6690-4D19-80A4-302E4069FCC5}" type="pres">
      <dgm:prSet presAssocID="{0543F66E-5D4E-4EA4-9D0A-14FDE5F25CD3}" presName="compChildNode" presStyleCnt="0"/>
      <dgm:spPr/>
    </dgm:pt>
    <dgm:pt modelId="{EDE3B3DB-48C3-4351-A0BA-F04281BEBD8D}" type="pres">
      <dgm:prSet presAssocID="{0543F66E-5D4E-4EA4-9D0A-14FDE5F25CD3}" presName="theInnerList" presStyleCnt="0"/>
      <dgm:spPr/>
    </dgm:pt>
    <dgm:pt modelId="{B407A87B-58B8-4399-BCAA-8CF8B3915EAF}" type="pres">
      <dgm:prSet presAssocID="{68B04809-A1B8-4504-BE35-1FE060095996}" presName="childNode" presStyleLbl="node1" presStyleIdx="3" presStyleCnt="6">
        <dgm:presLayoutVars>
          <dgm:bulletEnabled val="1"/>
        </dgm:presLayoutVars>
      </dgm:prSet>
      <dgm:spPr/>
    </dgm:pt>
    <dgm:pt modelId="{4904F188-A0ED-4463-8111-60599200E013}" type="pres">
      <dgm:prSet presAssocID="{68B04809-A1B8-4504-BE35-1FE060095996}" presName="aSpace2" presStyleCnt="0"/>
      <dgm:spPr/>
    </dgm:pt>
    <dgm:pt modelId="{CAD01943-AF78-49A9-A5A7-D9253BDC1D38}" type="pres">
      <dgm:prSet presAssocID="{5D901CDD-36D5-4F8F-8783-1CEE002B5771}" presName="childNode" presStyleLbl="node1" presStyleIdx="4" presStyleCnt="6">
        <dgm:presLayoutVars>
          <dgm:bulletEnabled val="1"/>
        </dgm:presLayoutVars>
      </dgm:prSet>
      <dgm:spPr/>
    </dgm:pt>
    <dgm:pt modelId="{B6AD1283-B01D-499C-A12C-342A5B444FEF}" type="pres">
      <dgm:prSet presAssocID="{5D901CDD-36D5-4F8F-8783-1CEE002B5771}" presName="aSpace2" presStyleCnt="0"/>
      <dgm:spPr/>
    </dgm:pt>
    <dgm:pt modelId="{D24F3DF7-D72B-452B-A723-8AFDBB205F7B}" type="pres">
      <dgm:prSet presAssocID="{D350B595-2166-47ED-A1C3-F51114F0F56D}" presName="childNode" presStyleLbl="node1" presStyleIdx="5" presStyleCnt="6">
        <dgm:presLayoutVars>
          <dgm:bulletEnabled val="1"/>
        </dgm:presLayoutVars>
      </dgm:prSet>
      <dgm:spPr/>
    </dgm:pt>
  </dgm:ptLst>
  <dgm:cxnLst>
    <dgm:cxn modelId="{F5FD320B-D84E-4726-B1A6-69941423B930}" type="presOf" srcId="{56DE26DF-9FF5-4B60-8818-E32C1DEE212F}" destId="{5FE7150C-8591-4770-8FE3-9B043C3D576E}" srcOrd="0" destOrd="0" presId="urn:microsoft.com/office/officeart/2005/8/layout/lProcess2"/>
    <dgm:cxn modelId="{ED711A15-3F97-42DE-912C-08E7D4E5ED52}" srcId="{0543F66E-5D4E-4EA4-9D0A-14FDE5F25CD3}" destId="{68B04809-A1B8-4504-BE35-1FE060095996}" srcOrd="0" destOrd="0" parTransId="{501C7D79-F2DB-4FD3-9397-10D95D42A59B}" sibTransId="{416A5528-3A69-4ED1-8D4F-4497F912BFDB}"/>
    <dgm:cxn modelId="{1D7E3122-43C4-4C57-8289-AD2E7C77CC1E}" srcId="{82A04AFB-F35C-4906-8984-FB9C1388B8BC}" destId="{533A196C-CFEC-4AE5-BADC-B0BC21CC25AA}" srcOrd="2" destOrd="0" parTransId="{6A95C5A3-30D5-4B9E-A976-E3D7749622FD}" sibTransId="{1CC77DA4-FEFD-4335-8B8D-0DAF8A75136E}"/>
    <dgm:cxn modelId="{887DA422-CA8A-4C86-A5D1-8F34624B8021}" type="presOf" srcId="{D7E91861-5BC4-4537-8ABE-A067DD0003DB}" destId="{88512D4D-0D2B-4960-B981-45FD8E6902FF}" srcOrd="0" destOrd="0" presId="urn:microsoft.com/office/officeart/2005/8/layout/lProcess2"/>
    <dgm:cxn modelId="{5FC5BF23-B796-4DB7-ACF6-CFCED33F992D}" type="presOf" srcId="{68B04809-A1B8-4504-BE35-1FE060095996}" destId="{B407A87B-58B8-4399-BCAA-8CF8B3915EAF}" srcOrd="0" destOrd="0" presId="urn:microsoft.com/office/officeart/2005/8/layout/lProcess2"/>
    <dgm:cxn modelId="{591BF026-5367-49A2-B008-2168E0F601CE}" srcId="{0543F66E-5D4E-4EA4-9D0A-14FDE5F25CD3}" destId="{5D901CDD-36D5-4F8F-8783-1CEE002B5771}" srcOrd="1" destOrd="0" parTransId="{1BBBEA50-3146-495F-B85C-6678D71A8FB0}" sibTransId="{6020C550-7398-4578-B429-47346C52DD78}"/>
    <dgm:cxn modelId="{C515205B-1CC8-4105-A38B-996309470C35}" srcId="{82A04AFB-F35C-4906-8984-FB9C1388B8BC}" destId="{D7E91861-5BC4-4537-8ABE-A067DD0003DB}" srcOrd="0" destOrd="0" parTransId="{FA4B955A-CDA7-4946-B38C-DF78112B19D0}" sibTransId="{EA176569-7390-4D86-A99E-F077F0D35B0B}"/>
    <dgm:cxn modelId="{16492548-5670-48E6-9FAD-68717A5A2AD3}" srcId="{56DE26DF-9FF5-4B60-8818-E32C1DEE212F}" destId="{82A04AFB-F35C-4906-8984-FB9C1388B8BC}" srcOrd="0" destOrd="0" parTransId="{FAEEE7C9-FD1E-4D0F-B396-293EE9963374}" sibTransId="{B71D6376-CF06-462F-8D41-625D6537621D}"/>
    <dgm:cxn modelId="{30B9926C-B52C-4040-9FD3-EB849ED7CF0E}" type="presOf" srcId="{82A04AFB-F35C-4906-8984-FB9C1388B8BC}" destId="{A971ABF2-C245-4CDA-B508-24D2CBA68F51}" srcOrd="1" destOrd="0" presId="urn:microsoft.com/office/officeart/2005/8/layout/lProcess2"/>
    <dgm:cxn modelId="{5B70744E-6F97-4BC6-926C-568628F1BC33}" srcId="{82A04AFB-F35C-4906-8984-FB9C1388B8BC}" destId="{D3FC16ED-2D62-420F-A894-6543BE6E45A1}" srcOrd="1" destOrd="0" parTransId="{2CD6DF31-91B0-43D1-BF1C-B76007ED9628}" sibTransId="{A275EC1F-323C-4468-B50E-2603AE6A250D}"/>
    <dgm:cxn modelId="{1C6D1854-D229-4D2A-A4A5-B07DA1C33589}" type="presOf" srcId="{0543F66E-5D4E-4EA4-9D0A-14FDE5F25CD3}" destId="{6D4A1F18-AB19-42D1-B23B-99F41011B617}" srcOrd="0" destOrd="0" presId="urn:microsoft.com/office/officeart/2005/8/layout/lProcess2"/>
    <dgm:cxn modelId="{756E7E7E-A15A-4F58-8BCB-662DB4523B43}" srcId="{56DE26DF-9FF5-4B60-8818-E32C1DEE212F}" destId="{0543F66E-5D4E-4EA4-9D0A-14FDE5F25CD3}" srcOrd="1" destOrd="0" parTransId="{71E71121-63E6-4BA1-8EDF-3B3EDE720CFB}" sibTransId="{4445D0FD-F19B-4AA1-9F15-0B6E8A195F02}"/>
    <dgm:cxn modelId="{7F0AAD8A-9D94-4A72-B964-F8773001FE6C}" type="presOf" srcId="{D350B595-2166-47ED-A1C3-F51114F0F56D}" destId="{D24F3DF7-D72B-452B-A723-8AFDBB205F7B}" srcOrd="0" destOrd="0" presId="urn:microsoft.com/office/officeart/2005/8/layout/lProcess2"/>
    <dgm:cxn modelId="{75F73A9D-7B23-45CE-925D-FD8AC2E0C8BF}" type="presOf" srcId="{D3FC16ED-2D62-420F-A894-6543BE6E45A1}" destId="{87937309-444C-47D5-B38C-A1FE2518E68E}" srcOrd="0" destOrd="0" presId="urn:microsoft.com/office/officeart/2005/8/layout/lProcess2"/>
    <dgm:cxn modelId="{A88B9FA9-F5A8-48E1-A206-EB9E7D899742}" type="presOf" srcId="{0543F66E-5D4E-4EA4-9D0A-14FDE5F25CD3}" destId="{8705E5C2-45AE-4EED-A585-3D0E14BB6FD9}" srcOrd="1" destOrd="0" presId="urn:microsoft.com/office/officeart/2005/8/layout/lProcess2"/>
    <dgm:cxn modelId="{2D41DFB2-CA08-46B9-924C-5345C500F60A}" type="presOf" srcId="{533A196C-CFEC-4AE5-BADC-B0BC21CC25AA}" destId="{E7D0DB12-B9DE-4B49-A14C-AE9BDA250EC1}" srcOrd="0" destOrd="0" presId="urn:microsoft.com/office/officeart/2005/8/layout/lProcess2"/>
    <dgm:cxn modelId="{45C166C6-C974-4177-8643-8A5F78604F39}" srcId="{0543F66E-5D4E-4EA4-9D0A-14FDE5F25CD3}" destId="{D350B595-2166-47ED-A1C3-F51114F0F56D}" srcOrd="2" destOrd="0" parTransId="{336AF82C-E8FB-4395-9756-B3455031E946}" sibTransId="{8EDC820A-A423-45AD-97A8-5C988C8E5DB7}"/>
    <dgm:cxn modelId="{26F431DB-0024-4F95-92D9-C8AAFA500EB6}" type="presOf" srcId="{82A04AFB-F35C-4906-8984-FB9C1388B8BC}" destId="{E57D96B0-5DDE-4861-9BC7-7FF0718B60EA}" srcOrd="0" destOrd="0" presId="urn:microsoft.com/office/officeart/2005/8/layout/lProcess2"/>
    <dgm:cxn modelId="{A0F2CEED-B019-4899-9970-8B7A169952D6}" type="presOf" srcId="{5D901CDD-36D5-4F8F-8783-1CEE002B5771}" destId="{CAD01943-AF78-49A9-A5A7-D9253BDC1D38}" srcOrd="0" destOrd="0" presId="urn:microsoft.com/office/officeart/2005/8/layout/lProcess2"/>
    <dgm:cxn modelId="{71566644-0DD2-41DB-8437-573ADBD5C0B2}" type="presParOf" srcId="{5FE7150C-8591-4770-8FE3-9B043C3D576E}" destId="{E66F1DB7-78CD-4E2B-9AED-36CD6A19BAF2}" srcOrd="0" destOrd="0" presId="urn:microsoft.com/office/officeart/2005/8/layout/lProcess2"/>
    <dgm:cxn modelId="{D577F0FB-0723-4371-8084-1FBB8E416A8A}" type="presParOf" srcId="{E66F1DB7-78CD-4E2B-9AED-36CD6A19BAF2}" destId="{E57D96B0-5DDE-4861-9BC7-7FF0718B60EA}" srcOrd="0" destOrd="0" presId="urn:microsoft.com/office/officeart/2005/8/layout/lProcess2"/>
    <dgm:cxn modelId="{711CEEE8-4AE1-4029-B490-45AA75F2658B}" type="presParOf" srcId="{E66F1DB7-78CD-4E2B-9AED-36CD6A19BAF2}" destId="{A971ABF2-C245-4CDA-B508-24D2CBA68F51}" srcOrd="1" destOrd="0" presId="urn:microsoft.com/office/officeart/2005/8/layout/lProcess2"/>
    <dgm:cxn modelId="{5D33B945-54FF-4D27-9E11-1191A6A49825}" type="presParOf" srcId="{E66F1DB7-78CD-4E2B-9AED-36CD6A19BAF2}" destId="{28FC0A97-92C3-4361-BACE-4D4DCCDAEC5E}" srcOrd="2" destOrd="0" presId="urn:microsoft.com/office/officeart/2005/8/layout/lProcess2"/>
    <dgm:cxn modelId="{3B4E09BF-8FEC-4E8E-B2F9-C81B448ABCDC}" type="presParOf" srcId="{28FC0A97-92C3-4361-BACE-4D4DCCDAEC5E}" destId="{9E0FC7B4-2814-446C-9D72-9FB682175E6C}" srcOrd="0" destOrd="0" presId="urn:microsoft.com/office/officeart/2005/8/layout/lProcess2"/>
    <dgm:cxn modelId="{028C5920-3D66-4E91-AD35-9FB48F1F373B}" type="presParOf" srcId="{9E0FC7B4-2814-446C-9D72-9FB682175E6C}" destId="{88512D4D-0D2B-4960-B981-45FD8E6902FF}" srcOrd="0" destOrd="0" presId="urn:microsoft.com/office/officeart/2005/8/layout/lProcess2"/>
    <dgm:cxn modelId="{132FF2F5-96FF-4D27-91B0-F57D175AC20F}" type="presParOf" srcId="{9E0FC7B4-2814-446C-9D72-9FB682175E6C}" destId="{C56120B0-13B3-4A8E-AF17-7D7997F45365}" srcOrd="1" destOrd="0" presId="urn:microsoft.com/office/officeart/2005/8/layout/lProcess2"/>
    <dgm:cxn modelId="{C717E857-EE30-40F6-855A-DCC52D6D0579}" type="presParOf" srcId="{9E0FC7B4-2814-446C-9D72-9FB682175E6C}" destId="{87937309-444C-47D5-B38C-A1FE2518E68E}" srcOrd="2" destOrd="0" presId="urn:microsoft.com/office/officeart/2005/8/layout/lProcess2"/>
    <dgm:cxn modelId="{475D2CBB-E917-4752-9F47-BD04EA6D1796}" type="presParOf" srcId="{9E0FC7B4-2814-446C-9D72-9FB682175E6C}" destId="{D708E788-7314-49A2-8934-AF8208FC57C1}" srcOrd="3" destOrd="0" presId="urn:microsoft.com/office/officeart/2005/8/layout/lProcess2"/>
    <dgm:cxn modelId="{C3D955E7-298A-4756-8BB0-AAC0C86AD578}" type="presParOf" srcId="{9E0FC7B4-2814-446C-9D72-9FB682175E6C}" destId="{E7D0DB12-B9DE-4B49-A14C-AE9BDA250EC1}" srcOrd="4" destOrd="0" presId="urn:microsoft.com/office/officeart/2005/8/layout/lProcess2"/>
    <dgm:cxn modelId="{130DC318-E4CD-4EB8-B100-17B2F4B129FD}" type="presParOf" srcId="{5FE7150C-8591-4770-8FE3-9B043C3D576E}" destId="{8D3AF980-2B14-49C3-8811-DC8D88D2AA93}" srcOrd="1" destOrd="0" presId="urn:microsoft.com/office/officeart/2005/8/layout/lProcess2"/>
    <dgm:cxn modelId="{ADB605DB-A393-4568-80A3-08EEDF13354B}" type="presParOf" srcId="{5FE7150C-8591-4770-8FE3-9B043C3D576E}" destId="{315A2809-B4B7-4EE9-872D-0817C75A0B4C}" srcOrd="2" destOrd="0" presId="urn:microsoft.com/office/officeart/2005/8/layout/lProcess2"/>
    <dgm:cxn modelId="{6E6DB5CB-CEB1-47A9-AD21-1E18432C72E8}" type="presParOf" srcId="{315A2809-B4B7-4EE9-872D-0817C75A0B4C}" destId="{6D4A1F18-AB19-42D1-B23B-99F41011B617}" srcOrd="0" destOrd="0" presId="urn:microsoft.com/office/officeart/2005/8/layout/lProcess2"/>
    <dgm:cxn modelId="{834F9A3F-61AE-4D99-BA68-C71FE2AB69F0}" type="presParOf" srcId="{315A2809-B4B7-4EE9-872D-0817C75A0B4C}" destId="{8705E5C2-45AE-4EED-A585-3D0E14BB6FD9}" srcOrd="1" destOrd="0" presId="urn:microsoft.com/office/officeart/2005/8/layout/lProcess2"/>
    <dgm:cxn modelId="{51DA4CF5-DADC-40CA-A9FF-AAD5A9C77D5C}" type="presParOf" srcId="{315A2809-B4B7-4EE9-872D-0817C75A0B4C}" destId="{CEF54AA1-6690-4D19-80A4-302E4069FCC5}" srcOrd="2" destOrd="0" presId="urn:microsoft.com/office/officeart/2005/8/layout/lProcess2"/>
    <dgm:cxn modelId="{E2C9C481-7BF1-48AE-A067-65706D033D8A}" type="presParOf" srcId="{CEF54AA1-6690-4D19-80A4-302E4069FCC5}" destId="{EDE3B3DB-48C3-4351-A0BA-F04281BEBD8D}" srcOrd="0" destOrd="0" presId="urn:microsoft.com/office/officeart/2005/8/layout/lProcess2"/>
    <dgm:cxn modelId="{B35BAC54-EC03-4233-A6A6-629AD1C62698}" type="presParOf" srcId="{EDE3B3DB-48C3-4351-A0BA-F04281BEBD8D}" destId="{B407A87B-58B8-4399-BCAA-8CF8B3915EAF}" srcOrd="0" destOrd="0" presId="urn:microsoft.com/office/officeart/2005/8/layout/lProcess2"/>
    <dgm:cxn modelId="{28E3AB79-9C60-41F7-9402-EECA2C19DF38}" type="presParOf" srcId="{EDE3B3DB-48C3-4351-A0BA-F04281BEBD8D}" destId="{4904F188-A0ED-4463-8111-60599200E013}" srcOrd="1" destOrd="0" presId="urn:microsoft.com/office/officeart/2005/8/layout/lProcess2"/>
    <dgm:cxn modelId="{7CEE80C6-A610-4322-A56E-601CD991742B}" type="presParOf" srcId="{EDE3B3DB-48C3-4351-A0BA-F04281BEBD8D}" destId="{CAD01943-AF78-49A9-A5A7-D9253BDC1D38}" srcOrd="2" destOrd="0" presId="urn:microsoft.com/office/officeart/2005/8/layout/lProcess2"/>
    <dgm:cxn modelId="{57F1961A-03A3-4C18-B1A5-D14F55F890C0}" type="presParOf" srcId="{EDE3B3DB-48C3-4351-A0BA-F04281BEBD8D}" destId="{B6AD1283-B01D-499C-A12C-342A5B444FEF}" srcOrd="3" destOrd="0" presId="urn:microsoft.com/office/officeart/2005/8/layout/lProcess2"/>
    <dgm:cxn modelId="{598DAB1C-8FAD-422A-A222-A99020F75D05}" type="presParOf" srcId="{EDE3B3DB-48C3-4351-A0BA-F04281BEBD8D}" destId="{D24F3DF7-D72B-452B-A723-8AFDBB205F7B}" srcOrd="4" destOrd="0" presId="urn:microsoft.com/office/officeart/2005/8/layout/lProcess2"/>
  </dgm:cxnLst>
  <dgm:bg/>
  <dgm:whole/>
  <dgm:extLst>
    <a:ext uri="http://schemas.microsoft.com/office/drawing/2008/diagram">
      <dsp:dataModelExt xmlns:dsp="http://schemas.microsoft.com/office/drawing/2008/diagram" relId="rId7"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E57D96B0-5DDE-4861-9BC7-7FF0718B60EA}">
      <dsp:nvSpPr>
        <dsp:cNvPr id="0" name=""/>
        <dsp:cNvSpPr/>
      </dsp:nvSpPr>
      <dsp:spPr>
        <a:xfrm>
          <a:off x="0" y="0"/>
          <a:ext cx="3981056" cy="1743074"/>
        </a:xfrm>
        <a:prstGeom prst="roundRect">
          <a:avLst>
            <a:gd name="adj" fmla="val 10000"/>
          </a:avLst>
        </a:prstGeom>
        <a:solidFill>
          <a:schemeClr val="accent6">
            <a:lumMod val="40000"/>
            <a:lumOff val="60000"/>
          </a:schemeClr>
        </a:solidFill>
        <a:ln>
          <a:noFill/>
        </a:ln>
        <a:effectLst/>
      </dsp:spPr>
      <dsp:style>
        <a:lnRef idx="0">
          <a:scrgbClr r="0" g="0" b="0"/>
        </a:lnRef>
        <a:fillRef idx="1">
          <a:scrgbClr r="0" g="0" b="0"/>
        </a:fillRef>
        <a:effectRef idx="0">
          <a:scrgbClr r="0" g="0" b="0"/>
        </a:effectRef>
        <a:fontRef idx="minor"/>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pt-BR" sz="1200" b="1" kern="1200" dirty="0"/>
            <a:t>Technology-Specific Costs</a:t>
          </a:r>
        </a:p>
      </dsp:txBody>
      <dsp:txXfrm>
        <a:off x="0" y="0"/>
        <a:ext cx="3981056" cy="522922"/>
      </dsp:txXfrm>
    </dsp:sp>
    <dsp:sp modelId="{88512D4D-0D2B-4960-B981-45FD8E6902FF}">
      <dsp:nvSpPr>
        <dsp:cNvPr id="0" name=""/>
        <dsp:cNvSpPr/>
      </dsp:nvSpPr>
      <dsp:spPr>
        <a:xfrm>
          <a:off x="402244" y="523071"/>
          <a:ext cx="3184845" cy="342444"/>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6.1.1. Initial treatment cost (e.g., induction therapy)</a:t>
          </a:r>
        </a:p>
      </dsp:txBody>
      <dsp:txXfrm>
        <a:off x="412274" y="533101"/>
        <a:ext cx="3164785" cy="322384"/>
      </dsp:txXfrm>
    </dsp:sp>
    <dsp:sp modelId="{87937309-444C-47D5-B38C-A1FE2518E68E}">
      <dsp:nvSpPr>
        <dsp:cNvPr id="0" name=""/>
        <dsp:cNvSpPr/>
      </dsp:nvSpPr>
      <dsp:spPr>
        <a:xfrm>
          <a:off x="402244" y="918199"/>
          <a:ext cx="3184845" cy="342444"/>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6.1.2. Ongoing monthly treatment cost (recurrent/continuous)</a:t>
          </a:r>
        </a:p>
      </dsp:txBody>
      <dsp:txXfrm>
        <a:off x="412274" y="928229"/>
        <a:ext cx="3164785" cy="322384"/>
      </dsp:txXfrm>
    </dsp:sp>
    <dsp:sp modelId="{E7D0DB12-B9DE-4B49-A14C-AE9BDA250EC1}">
      <dsp:nvSpPr>
        <dsp:cNvPr id="0" name=""/>
        <dsp:cNvSpPr/>
      </dsp:nvSpPr>
      <dsp:spPr>
        <a:xfrm>
          <a:off x="402244" y="1313327"/>
          <a:ext cx="3184845" cy="342444"/>
        </a:xfrm>
        <a:prstGeom prst="roundRect">
          <a:avLst>
            <a:gd name="adj" fmla="val 10000"/>
          </a:avLst>
        </a:prstGeom>
        <a:solidFill>
          <a:srgbClr val="686A10"/>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6.1.3. Additional monthly costs (e.g., adverse event monitoring)</a:t>
          </a:r>
        </a:p>
      </dsp:txBody>
      <dsp:txXfrm>
        <a:off x="412274" y="1323357"/>
        <a:ext cx="3164785" cy="322384"/>
      </dsp:txXfrm>
    </dsp:sp>
    <dsp:sp modelId="{6D4A1F18-AB19-42D1-B23B-99F41011B617}">
      <dsp:nvSpPr>
        <dsp:cNvPr id="0" name=""/>
        <dsp:cNvSpPr/>
      </dsp:nvSpPr>
      <dsp:spPr>
        <a:xfrm>
          <a:off x="4283774" y="0"/>
          <a:ext cx="3981056" cy="1743074"/>
        </a:xfrm>
        <a:prstGeom prst="roundRect">
          <a:avLst>
            <a:gd name="adj" fmla="val 10000"/>
          </a:avLst>
        </a:prstGeom>
        <a:solidFill>
          <a:schemeClr val="accent3">
            <a:lumMod val="20000"/>
            <a:lumOff val="80000"/>
          </a:schemeClr>
        </a:solidFill>
        <a:ln>
          <a:noFill/>
        </a:ln>
        <a:effectLst/>
      </dsp:spPr>
      <dsp:style>
        <a:lnRef idx="0">
          <a:scrgbClr r="0" g="0" b="0"/>
        </a:lnRef>
        <a:fillRef idx="1">
          <a:scrgbClr r="0" g="0" b="0"/>
        </a:fillRef>
        <a:effectRef idx="0">
          <a:scrgbClr r="0" g="0" b="0"/>
        </a:effectRef>
        <a:fontRef idx="minor"/>
      </dsp:style>
      <dsp:txBody>
        <a:bodyPr spcFirstLastPara="0" vert="horz" wrap="square" lIns="45720" tIns="45720" rIns="45720" bIns="45720" numCol="1" spcCol="1270" anchor="ctr" anchorCtr="0">
          <a:noAutofit/>
        </a:bodyPr>
        <a:lstStyle/>
        <a:p>
          <a:pPr marL="0" lvl="0" indent="0" algn="ctr" defTabSz="533400">
            <a:lnSpc>
              <a:spcPct val="90000"/>
            </a:lnSpc>
            <a:spcBef>
              <a:spcPct val="0"/>
            </a:spcBef>
            <a:spcAft>
              <a:spcPct val="35000"/>
            </a:spcAft>
            <a:buNone/>
          </a:pPr>
          <a:r>
            <a:rPr lang="pt-BR" sz="1200" b="1" kern="1200" dirty="0"/>
            <a:t>General Costs for All Technologies</a:t>
          </a:r>
        </a:p>
      </dsp:txBody>
      <dsp:txXfrm>
        <a:off x="4283774" y="0"/>
        <a:ext cx="3981056" cy="522922"/>
      </dsp:txXfrm>
    </dsp:sp>
    <dsp:sp modelId="{B407A87B-58B8-4399-BCAA-8CF8B3915EAF}">
      <dsp:nvSpPr>
        <dsp:cNvPr id="0" name=""/>
        <dsp:cNvSpPr/>
      </dsp:nvSpPr>
      <dsp:spPr>
        <a:xfrm>
          <a:off x="4681880" y="523071"/>
          <a:ext cx="3184845" cy="342444"/>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6.1.4. Initial general costs (e.g., molecular testing)</a:t>
          </a:r>
        </a:p>
      </dsp:txBody>
      <dsp:txXfrm>
        <a:off x="4691910" y="533101"/>
        <a:ext cx="3164785" cy="322384"/>
      </dsp:txXfrm>
    </dsp:sp>
    <dsp:sp modelId="{CAD01943-AF78-49A9-A5A7-D9253BDC1D38}">
      <dsp:nvSpPr>
        <dsp:cNvPr id="0" name=""/>
        <dsp:cNvSpPr/>
      </dsp:nvSpPr>
      <dsp:spPr>
        <a:xfrm>
          <a:off x="4681880" y="918199"/>
          <a:ext cx="3184845" cy="342444"/>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6.1.5. Monthly costs DURING treatment (e.g., routine follow-up)</a:t>
          </a:r>
        </a:p>
      </dsp:txBody>
      <dsp:txXfrm>
        <a:off x="4691910" y="928229"/>
        <a:ext cx="3164785" cy="322384"/>
      </dsp:txXfrm>
    </dsp:sp>
    <dsp:sp modelId="{D24F3DF7-D72B-452B-A723-8AFDBB205F7B}">
      <dsp:nvSpPr>
        <dsp:cNvPr id="0" name=""/>
        <dsp:cNvSpPr/>
      </dsp:nvSpPr>
      <dsp:spPr>
        <a:xfrm>
          <a:off x="4681880" y="1313327"/>
          <a:ext cx="3184845" cy="342444"/>
        </a:xfrm>
        <a:prstGeom prst="roundRect">
          <a:avLst>
            <a:gd name="adj" fmla="val 10000"/>
          </a:avLst>
        </a:prstGeom>
        <a:solidFill>
          <a:schemeClr val="tx2">
            <a:lumMod val="75000"/>
          </a:schemeClr>
        </a:solidFill>
        <a:ln w="1905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25400" tIns="19050" rIns="25400" bIns="19050" numCol="1" spcCol="1270" anchor="ctr" anchorCtr="0">
          <a:noAutofit/>
        </a:bodyPr>
        <a:lstStyle/>
        <a:p>
          <a:pPr marL="0" lvl="0" indent="0" algn="ctr" defTabSz="444500">
            <a:lnSpc>
              <a:spcPct val="90000"/>
            </a:lnSpc>
            <a:spcBef>
              <a:spcPct val="0"/>
            </a:spcBef>
            <a:spcAft>
              <a:spcPct val="35000"/>
            </a:spcAft>
            <a:buNone/>
          </a:pPr>
          <a:r>
            <a:rPr lang="pt-BR" sz="1000" kern="1200" dirty="0"/>
            <a:t>6.1.6. Monthly costs AFTER treatment (e.g., progression-related costs)</a:t>
          </a:r>
        </a:p>
      </dsp:txBody>
      <dsp:txXfrm>
        <a:off x="4691910" y="1323357"/>
        <a:ext cx="3164785" cy="322384"/>
      </dsp:txXfrm>
    </dsp:sp>
  </dsp:spTree>
</dsp:drawing>
</file>

<file path=xl/diagrams/layout1.xml><?xml version="1.0" encoding="utf-8"?>
<dgm:layoutDef xmlns:dgm="http://schemas.openxmlformats.org/drawingml/2006/diagram" xmlns:a="http://schemas.openxmlformats.org/drawingml/2006/main" uniqueId="urn:microsoft.com/office/officeart/2005/8/layout/lProcess2">
  <dgm:title val=""/>
  <dgm:desc val=""/>
  <dgm:catLst>
    <dgm:cat type="list" pri="10000"/>
    <dgm:cat type="relationship" pri="13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13" srcId="1" destId="11" srcOrd="0" destOrd="0"/>
        <dgm:cxn modelId="14" srcId="1" destId="12" srcOrd="0" destOrd="0"/>
        <dgm:cxn modelId="23" srcId="2" destId="21" srcOrd="0" destOrd="0"/>
        <dgm:cxn modelId="24" srcId="2" destId="22" srcOrd="0" destOrd="0"/>
        <dgm:cxn modelId="33" srcId="3" destId="31" srcOrd="0" destOrd="0"/>
        <dgm:cxn modelId="34" srcId="3" destId="32" srcOrd="0" destOrd="0"/>
      </dgm:cxnLst>
      <dgm:bg/>
      <dgm:whole/>
    </dgm:dataModel>
  </dgm:sampData>
  <dgm:styleData useDef="1">
    <dgm:dataModel>
      <dgm:ptLst/>
      <dgm:bg/>
      <dgm:whole/>
    </dgm:dataModel>
  </dgm:styleData>
  <dgm:clrData useDef="1">
    <dgm:dataModel>
      <dgm:ptLst/>
      <dgm:bg/>
      <dgm:whole/>
    </dgm:dataModel>
  </dgm:clrData>
  <dgm:layoutNode name="theList">
    <dgm:varLst>
      <dgm:dir/>
      <dgm:animLvl val="lvl"/>
      <dgm:resizeHandles val="exact"/>
    </dgm:varLst>
    <dgm:choose name="Name0">
      <dgm:if name="Name1" func="var" arg="dir" op="equ" val="norm">
        <dgm:alg type="lin"/>
      </dgm:if>
      <dgm:else name="Name2">
        <dgm:alg type="lin">
          <dgm:param type="linDir" val="fromR"/>
        </dgm:alg>
      </dgm:else>
    </dgm:choose>
    <dgm:shape xmlns:r="http://schemas.openxmlformats.org/officeDocument/2006/relationships" r:blip="">
      <dgm:adjLst/>
    </dgm:shape>
    <dgm:presOf/>
    <dgm:constrLst>
      <dgm:constr type="w" for="ch" forName="compNode" refType="w"/>
      <dgm:constr type="h" for="ch" forName="compNode" refType="h"/>
      <dgm:constr type="w" for="ch" forName="aSpace" refType="w" fact="0.075"/>
      <dgm:constr type="h" for="des" forName="aSpace2" refType="h" fact="0.1"/>
      <dgm:constr type="primFontSz" for="des" forName="textNode" op="equ"/>
      <dgm:constr type="primFontSz" for="des" forName="childNode" op="equ"/>
    </dgm:constrLst>
    <dgm:ruleLst/>
    <dgm:forEach name="aNodeForEach" axis="ch" ptType="node">
      <dgm:layoutNode name="compNode">
        <dgm:alg type="composite"/>
        <dgm:shape xmlns:r="http://schemas.openxmlformats.org/officeDocument/2006/relationships" r:blip="">
          <dgm:adjLst/>
        </dgm:shape>
        <dgm:presOf/>
        <dgm:constrLst>
          <dgm:constr type="w" for="ch" forName="aNode" refType="w"/>
          <dgm:constr type="h" for="ch" forName="aNode" refType="h"/>
          <dgm:constr type="w" for="ch" forName="textNode" refType="w"/>
          <dgm:constr type="h" for="ch" forName="textNode" refType="h" fact="0.3"/>
          <dgm:constr type="ctrX" for="ch" forName="textNode" refType="w" fact="0.5"/>
          <dgm:constr type="w" for="ch" forName="compChildNode" refType="w" fact="0.8"/>
          <dgm:constr type="h" for="ch" forName="compChildNode" refType="h" fact="0.65"/>
          <dgm:constr type="t" for="ch" forName="compChildNode" refType="h" fact="0.3"/>
          <dgm:constr type="ctrX" for="ch" forName="compChildNode" refType="w" fact="0.5"/>
        </dgm:constrLst>
        <dgm:ruleLst/>
        <dgm:layoutNode name="aNode" styleLbl="bgShp">
          <dgm:alg type="sp"/>
          <dgm:shape xmlns:r="http://schemas.openxmlformats.org/officeDocument/2006/relationships" type="roundRect" r:blip="">
            <dgm:adjLst>
              <dgm:adj idx="1" val="0.1"/>
            </dgm:adjLst>
          </dgm:shape>
          <dgm:presOf axis="self"/>
          <dgm:constrLst/>
          <dgm:ruleLst/>
        </dgm:layoutNode>
        <dgm:layoutNode name="textNode" styleLbl="bgShp">
          <dgm:alg type="tx"/>
          <dgm:shape xmlns:r="http://schemas.openxmlformats.org/officeDocument/2006/relationships" type="rect" r:blip="" hideGeom="1">
            <dgm:adjLst>
              <dgm:adj idx="1" val="0.1"/>
            </dgm:adjLst>
          </dgm:shape>
          <dgm:presOf axis="self"/>
          <dgm:constrLst>
            <dgm:constr type="primFontSz" val="65"/>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compChildNode">
          <dgm:alg type="composite"/>
          <dgm:shape xmlns:r="http://schemas.openxmlformats.org/officeDocument/2006/relationships" r:blip="">
            <dgm:adjLst/>
          </dgm:shape>
          <dgm:presOf/>
          <dgm:constrLst>
            <dgm:constr type="w" for="des" forName="childNode" refType="w"/>
            <dgm:constr type="h" for="des" forName="childNode" refType="h"/>
          </dgm:constrLst>
          <dgm:ruleLst/>
          <dgm:layoutNode name="theInnerList">
            <dgm:alg type="lin">
              <dgm:param type="linDir" val="fromT"/>
            </dgm:alg>
            <dgm:shape xmlns:r="http://schemas.openxmlformats.org/officeDocument/2006/relationships" r:blip="">
              <dgm:adjLst/>
            </dgm:shape>
            <dgm:presOf/>
            <dgm:constrLst/>
            <dgm:ruleLst/>
            <dgm:forEach name="childNodeForEach" axis="ch" ptType="node">
              <dgm:layoutNode name="childNode" styleLbl="node1">
                <dgm:varLst>
                  <dgm:bulletEnabled val="1"/>
                </dgm:varLst>
                <dgm:alg type="tx"/>
                <dgm:shape xmlns:r="http://schemas.openxmlformats.org/officeDocument/2006/relationships" type="roundRect" r:blip="">
                  <dgm:adjLst>
                    <dgm:adj idx="1" val="0.1"/>
                  </dgm:adjLst>
                </dgm:shape>
                <dgm:presOf axis="desOrSelf" ptType="node"/>
                <dgm:constrLst>
                  <dgm:constr type="primFontSz" val="65"/>
                  <dgm:constr type="tMarg" refType="primFontSz" fact="0.15"/>
                  <dgm:constr type="bMarg" refType="primFontSz" fact="0.15"/>
                  <dgm:constr type="lMarg" refType="primFontSz" fact="0.2"/>
                  <dgm:constr type="rMarg" refType="primFontSz" fact="0.2"/>
                </dgm:constrLst>
                <dgm:ruleLst>
                  <dgm:rule type="primFontSz" val="5" fact="NaN" max="NaN"/>
                </dgm:ruleLst>
              </dgm:layoutNode>
              <dgm:choose name="Name3">
                <dgm:if name="Name4" axis="self" ptType="node" func="revPos" op="equ" val="1"/>
                <dgm:else name="Name5">
                  <dgm:layoutNode name="aSpace2">
                    <dgm:alg type="sp"/>
                    <dgm:shape xmlns:r="http://schemas.openxmlformats.org/officeDocument/2006/relationships" r:blip="">
                      <dgm:adjLst/>
                    </dgm:shape>
                    <dgm:presOf/>
                    <dgm:constrLst/>
                    <dgm:ruleLst/>
                  </dgm:layoutNode>
                </dgm:else>
              </dgm:choose>
            </dgm:forEach>
          </dgm:layoutNode>
        </dgm:layoutNode>
      </dgm:layoutNode>
      <dgm:choose name="Name6">
        <dgm:if name="Name7" axis="self" ptType="node" func="revPos" op="equ" val="1"/>
        <dgm:else name="Name8">
          <dgm:layoutNode name="aSpace">
            <dgm:alg type="sp"/>
            <dgm:shape xmlns:r="http://schemas.openxmlformats.org/officeDocument/2006/relationships" r:blip="">
              <dgm:adjLst/>
            </dgm:shape>
            <dgm:presOf/>
            <dgm:constrLst/>
            <dgm:ruleLst/>
          </dgm:layoutNode>
        </dgm:else>
      </dgm:choos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Definitions!A1"/></Relationships>
</file>

<file path=xl/drawings/_rels/drawing2.xml.rels><?xml version="1.0" encoding="UTF-8" standalone="yes"?>
<Relationships xmlns="http://schemas.openxmlformats.org/package/2006/relationships"><Relationship Id="rId2" Type="http://schemas.openxmlformats.org/officeDocument/2006/relationships/hyperlink" Target="#Introduction!A1"/><Relationship Id="rId1" Type="http://schemas.openxmlformats.org/officeDocument/2006/relationships/hyperlink" Target="#'Mkt share'!A1"/></Relationships>
</file>

<file path=xl/drawings/_rels/drawing3.xml.rels><?xml version="1.0" encoding="UTF-8" standalone="yes"?>
<Relationships xmlns="http://schemas.openxmlformats.org/package/2006/relationships"><Relationship Id="rId8" Type="http://schemas.openxmlformats.org/officeDocument/2006/relationships/image" Target="../media/image3.svg"/><Relationship Id="rId3" Type="http://schemas.openxmlformats.org/officeDocument/2006/relationships/chart" Target="../charts/chart1.xml"/><Relationship Id="rId7" Type="http://schemas.openxmlformats.org/officeDocument/2006/relationships/image" Target="../media/image2.png"/><Relationship Id="rId2" Type="http://schemas.openxmlformats.org/officeDocument/2006/relationships/hyperlink" Target="#Definitions!A1"/><Relationship Id="rId1" Type="http://schemas.openxmlformats.org/officeDocument/2006/relationships/hyperlink" Target="#Population!A1"/><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hyperlink" Target="#'Mkt share'!A1"/><Relationship Id="rId1" Type="http://schemas.openxmlformats.org/officeDocument/2006/relationships/hyperlink" Target="#Costs!A1"/><Relationship Id="rId6" Type="http://schemas.openxmlformats.org/officeDocument/2006/relationships/image" Target="../media/image3.svg"/><Relationship Id="rId5" Type="http://schemas.openxmlformats.org/officeDocument/2006/relationships/image" Target="../media/image2.png"/><Relationship Id="rId4" Type="http://schemas.microsoft.com/office/2014/relationships/chartEx" Target="../charts/chartEx1.xml"/></Relationships>
</file>

<file path=xl/drawings/_rels/drawing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diagramData" Target="../diagrams/data1.xml"/><Relationship Id="rId7" Type="http://schemas.microsoft.com/office/2007/relationships/diagramDrawing" Target="../diagrams/drawing1.xml"/><Relationship Id="rId2" Type="http://schemas.openxmlformats.org/officeDocument/2006/relationships/hyperlink" Target="#Population!A1"/><Relationship Id="rId1" Type="http://schemas.openxmlformats.org/officeDocument/2006/relationships/hyperlink" Target="#'Time on treatment'!A1"/><Relationship Id="rId6" Type="http://schemas.openxmlformats.org/officeDocument/2006/relationships/diagramColors" Target="../diagrams/colors1.xml"/><Relationship Id="rId5" Type="http://schemas.openxmlformats.org/officeDocument/2006/relationships/diagramQuickStyle" Target="../diagrams/quickStyle1.xml"/><Relationship Id="rId4" Type="http://schemas.openxmlformats.org/officeDocument/2006/relationships/diagramLayout" Target="../diagrams/layout1.xml"/><Relationship Id="rId9" Type="http://schemas.openxmlformats.org/officeDocument/2006/relationships/image" Target="../media/image3.svg"/></Relationships>
</file>

<file path=xl/drawings/_rels/drawing6.xml.rels><?xml version="1.0" encoding="UTF-8" standalone="yes"?>
<Relationships xmlns="http://schemas.openxmlformats.org/package/2006/relationships"><Relationship Id="rId3" Type="http://schemas.openxmlformats.org/officeDocument/2006/relationships/hyperlink" Target="#Data!A1"/><Relationship Id="rId2" Type="http://schemas.openxmlformats.org/officeDocument/2006/relationships/hyperlink" Target="#Costs!A1"/><Relationship Id="rId1" Type="http://schemas.openxmlformats.org/officeDocument/2006/relationships/hyperlink" Target="#Results!A1"/><Relationship Id="rId5" Type="http://schemas.openxmlformats.org/officeDocument/2006/relationships/image" Target="../media/image3.sv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13" Type="http://schemas.openxmlformats.org/officeDocument/2006/relationships/chart" Target="../charts/chart16.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hyperlink" Target="#'Time on treatment'!A1"/><Relationship Id="rId1" Type="http://schemas.openxmlformats.org/officeDocument/2006/relationships/hyperlink" Target="#SensibilityAn!A1"/><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 Id="rId14" Type="http://schemas.openxmlformats.org/officeDocument/2006/relationships/chart" Target="../charts/chart17.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hyperlink" Target="#Results!A1"/><Relationship Id="rId1" Type="http://schemas.openxmlformats.org/officeDocument/2006/relationships/hyperlink" Target="#PSA!A1"/><Relationship Id="rId4"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Calculations!A1"/><Relationship Id="rId1" Type="http://schemas.openxmlformats.org/officeDocument/2006/relationships/hyperlink" Target="#Results!A1"/><Relationship Id="rId4" Type="http://schemas.openxmlformats.org/officeDocument/2006/relationships/image" Target="../media/image3.svg"/></Relationships>
</file>

<file path=xl/drawings/_rels/drawing12.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hyperlink" Target="#'Time on treatment'!A1"/></Relationships>
</file>

<file path=xl/drawings/_rels/drawing13.xml.rels><?xml version="1.0" encoding="UTF-8" standalone="yes"?>
<Relationships xmlns="http://schemas.openxmlformats.org/package/2006/relationships"><Relationship Id="rId1" Type="http://schemas.openxmlformats.org/officeDocument/2006/relationships/hyperlink" Target="#Results!A1"/></Relationships>
</file>

<file path=xl/drawings/_rels/drawing14.xml.rels><?xml version="1.0" encoding="UTF-8" standalone="yes"?>
<Relationships xmlns="http://schemas.openxmlformats.org/package/2006/relationships"><Relationship Id="rId1" Type="http://schemas.openxmlformats.org/officeDocument/2006/relationships/hyperlink" Target="#Results!A1"/></Relationships>
</file>

<file path=xl/drawings/_rels/drawing15.xml.rels><?xml version="1.0" encoding="UTF-8" standalone="yes"?>
<Relationships xmlns="http://schemas.openxmlformats.org/package/2006/relationships"><Relationship Id="rId1" Type="http://schemas.openxmlformats.org/officeDocument/2006/relationships/hyperlink" Target="#Results!A1"/></Relationships>
</file>

<file path=xl/drawings/_rels/drawing16.xml.rels><?xml version="1.0" encoding="UTF-8" standalone="yes"?>
<Relationships xmlns="http://schemas.openxmlformats.org/package/2006/relationships"><Relationship Id="rId1" Type="http://schemas.openxmlformats.org/officeDocument/2006/relationships/hyperlink" Target="#Results!A1"/></Relationships>
</file>

<file path=xl/drawings/_rels/drawing17.xml.rels><?xml version="1.0" encoding="UTF-8" standalone="yes"?>
<Relationships xmlns="http://schemas.openxmlformats.org/package/2006/relationships"><Relationship Id="rId1" Type="http://schemas.openxmlformats.org/officeDocument/2006/relationships/hyperlink" Target="#SensibilityAn!A1"/></Relationships>
</file>

<file path=xl/drawings/drawing1.xml><?xml version="1.0" encoding="utf-8"?>
<xdr:wsDr xmlns:xdr="http://schemas.openxmlformats.org/drawingml/2006/spreadsheetDrawing" xmlns:a="http://schemas.openxmlformats.org/drawingml/2006/main">
  <xdr:twoCellAnchor editAs="absolute">
    <xdr:from>
      <xdr:col>1</xdr:col>
      <xdr:colOff>190502</xdr:colOff>
      <xdr:row>4</xdr:row>
      <xdr:rowOff>8660</xdr:rowOff>
    </xdr:from>
    <xdr:to>
      <xdr:col>5</xdr:col>
      <xdr:colOff>910167</xdr:colOff>
      <xdr:row>12</xdr:row>
      <xdr:rowOff>25978</xdr:rowOff>
    </xdr:to>
    <xdr:sp macro="" textlink="">
      <xdr:nvSpPr>
        <xdr:cNvPr id="12" name="CaixaDeTexto 11">
          <a:extLst>
            <a:ext uri="{FF2B5EF4-FFF2-40B4-BE49-F238E27FC236}">
              <a16:creationId xmlns:a16="http://schemas.microsoft.com/office/drawing/2014/main" id="{A3A583F4-1F6F-C830-F0C7-AD1A82B1CE77}"/>
            </a:ext>
          </a:extLst>
        </xdr:cNvPr>
        <xdr:cNvSpPr txBox="1"/>
      </xdr:nvSpPr>
      <xdr:spPr>
        <a:xfrm>
          <a:off x="635002" y="897660"/>
          <a:ext cx="7164915" cy="15413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i="0" u="none" strike="noStrike">
              <a:solidFill>
                <a:srgbClr val="0EB1BA"/>
              </a:solidFill>
              <a:effectLst/>
              <a:latin typeface="Calibri" panose="020F0502020204030204" pitchFamily="34" charset="0"/>
            </a:rPr>
            <a:t>General Information</a:t>
          </a:r>
        </a:p>
        <a:p>
          <a:r>
            <a:rPr lang="pt-BR" sz="1100" b="0" i="0" u="none" strike="noStrike">
              <a:solidFill>
                <a:srgbClr val="000000"/>
              </a:solidFill>
              <a:effectLst/>
              <a:latin typeface="Calibri" panose="020F0502020204030204" pitchFamily="34" charset="0"/>
            </a:rPr>
            <a:t>This document was developed by the Unit of Health Technology Assessment (UATS) of the Hospital Alemão Oswaldo Cruz, through a Proadi-SUS partnership.</a:t>
          </a:r>
        </a:p>
        <a:p>
          <a:r>
            <a:rPr lang="pt-BR" b="1">
              <a:solidFill>
                <a:srgbClr val="C00000"/>
              </a:solidFill>
            </a:rPr>
            <a:t>This spreadsheet is intended solely for educational and non-commercial purposes. Reproduction, distribution, or use for commercial gain without prior written permission is strictly prohibited.</a:t>
          </a:r>
          <a:endParaRPr lang="pt-BR" sz="1100" b="0" i="0" u="none" strike="noStrike">
            <a:solidFill>
              <a:srgbClr val="000000"/>
            </a:solidFill>
            <a:effectLst/>
            <a:latin typeface="Calibri" panose="020F0502020204030204" pitchFamily="34" charset="0"/>
          </a:endParaRPr>
        </a:p>
        <a:p>
          <a:r>
            <a:rPr lang="pt-BR" sz="1100" b="1" i="0" u="none" strike="noStrike">
              <a:solidFill>
                <a:srgbClr val="0EB1BA"/>
              </a:solidFill>
              <a:effectLst/>
              <a:latin typeface="Calibri" panose="020F0502020204030204" pitchFamily="34" charset="0"/>
            </a:rPr>
            <a:t>Instructions for Use</a:t>
          </a:r>
          <a:endParaRPr lang="pt-BR" sz="1100" b="0" i="0" u="none" strike="noStrike">
            <a:solidFill>
              <a:schemeClr val="dk1"/>
            </a:solidFill>
            <a:effectLst/>
            <a:latin typeface="+mn-lt"/>
          </a:endParaRPr>
        </a:p>
        <a:p>
          <a:r>
            <a:rPr lang="pt-BR" sz="1100" b="0" i="0" u="none" strike="noStrike">
              <a:solidFill>
                <a:srgbClr val="000000"/>
              </a:solidFill>
              <a:effectLst/>
              <a:latin typeface="Calibri" panose="020F0502020204030204" pitchFamily="34" charset="0"/>
            </a:rPr>
            <a:t>Build the model by defining the number of scenarios, alternatives, and time horizon in the following tabs.</a:t>
          </a:r>
        </a:p>
        <a:p>
          <a:r>
            <a:rPr lang="pt-BR" sz="1100" b="0" i="0" u="none" strike="noStrike">
              <a:solidFill>
                <a:srgbClr val="000000"/>
              </a:solidFill>
              <a:effectLst/>
              <a:latin typeface="Calibri" panose="020F0502020204030204" pitchFamily="34" charset="0"/>
            </a:rPr>
            <a:t>For further guidance, see the instruction manual.</a:t>
          </a:r>
          <a:endParaRPr lang="pt-BR" sz="1100" b="0" i="0" u="none" strike="noStrike">
            <a:solidFill>
              <a:schemeClr val="dk1"/>
            </a:solidFill>
            <a:effectLst/>
            <a:latin typeface="+mn-lt"/>
          </a:endParaRPr>
        </a:p>
      </xdr:txBody>
    </xdr:sp>
    <xdr:clientData/>
  </xdr:twoCellAnchor>
  <xdr:twoCellAnchor editAs="absolute">
    <xdr:from>
      <xdr:col>1</xdr:col>
      <xdr:colOff>181839</xdr:colOff>
      <xdr:row>22</xdr:row>
      <xdr:rowOff>69273</xdr:rowOff>
    </xdr:from>
    <xdr:to>
      <xdr:col>8</xdr:col>
      <xdr:colOff>232834</xdr:colOff>
      <xdr:row>27</xdr:row>
      <xdr:rowOff>86590</xdr:rowOff>
    </xdr:to>
    <xdr:sp macro="" textlink="">
      <xdr:nvSpPr>
        <xdr:cNvPr id="33" name="CaixaDeTexto 32">
          <a:extLst>
            <a:ext uri="{FF2B5EF4-FFF2-40B4-BE49-F238E27FC236}">
              <a16:creationId xmlns:a16="http://schemas.microsoft.com/office/drawing/2014/main" id="{EF077DCC-36E2-499E-BA46-A7EEA0E7A32B}"/>
            </a:ext>
          </a:extLst>
        </xdr:cNvPr>
        <xdr:cNvSpPr txBox="1"/>
      </xdr:nvSpPr>
      <xdr:spPr>
        <a:xfrm>
          <a:off x="571498" y="4390159"/>
          <a:ext cx="10235047" cy="9698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kumimoji="0" lang="pt-BR" sz="1100" b="1" i="0" u="none" strike="noStrike" kern="0" cap="none" spc="0" normalizeH="0" baseline="0" noProof="0">
              <a:ln>
                <a:noFill/>
              </a:ln>
              <a:solidFill>
                <a:srgbClr val="0EB1BA"/>
              </a:solidFill>
              <a:effectLst/>
              <a:uLnTx/>
              <a:uFillTx/>
              <a:latin typeface="Calibri" panose="020F0502020204030204" pitchFamily="34" charset="0"/>
              <a:ea typeface="+mn-ea"/>
              <a:cs typeface="+mn-cs"/>
            </a:rPr>
            <a:t>Date of last update of the template spreadsheet:</a:t>
          </a:r>
          <a:r>
            <a:rPr kumimoji="0" lang="pt-BR" sz="1100" b="1" i="0" u="none" strike="noStrike" kern="0" cap="none" spc="0" normalizeH="0" baseline="0" noProof="0">
              <a:ln>
                <a:noFill/>
              </a:ln>
              <a:solidFill>
                <a:sysClr val="windowText" lastClr="000000"/>
              </a:solidFill>
              <a:effectLst/>
              <a:uLnTx/>
              <a:uFillTx/>
              <a:latin typeface="Calibri" panose="020F0502020204030204" pitchFamily="34" charset="0"/>
              <a:ea typeface="+mn-ea"/>
              <a:cs typeface="+mn-cs"/>
            </a:rPr>
            <a:t> September, 2026</a:t>
          </a:r>
          <a:endParaRPr lang="pt-BR" sz="1100" b="1" i="0" u="none" strike="noStrike">
            <a:solidFill>
              <a:srgbClr val="0EB1BA"/>
            </a:solidFill>
            <a:effectLst/>
            <a:latin typeface="Calibri" panose="020F0502020204030204" pitchFamily="34" charset="0"/>
          </a:endParaRPr>
        </a:p>
        <a:p>
          <a:r>
            <a:rPr lang="pt-BR" sz="1100" b="1" i="0" u="none" strike="noStrike">
              <a:solidFill>
                <a:srgbClr val="0EB1BA"/>
              </a:solidFill>
              <a:effectLst/>
              <a:latin typeface="Calibri" panose="020F0502020204030204" pitchFamily="34" charset="0"/>
            </a:rPr>
            <a:t>Prepared by:</a:t>
          </a:r>
          <a:r>
            <a:rPr lang="pt-BR"/>
            <a:t> </a:t>
          </a:r>
          <a:r>
            <a:rPr lang="pt-BR" sz="1000" b="0" i="0" u="none" strike="noStrike">
              <a:solidFill>
                <a:srgbClr val="000000"/>
              </a:solidFill>
              <a:effectLst/>
              <a:latin typeface="Calibri" panose="020F0502020204030204" pitchFamily="34" charset="0"/>
            </a:rPr>
            <a:t>Layssa Andrade Oliveira </a:t>
          </a:r>
          <a:r>
            <a:rPr lang="pt-BR" sz="1000" b="0" i="0" u="none" strike="noStrike">
              <a:solidFill>
                <a:srgbClr val="000000"/>
              </a:solidFill>
              <a:effectLst/>
              <a:latin typeface="Calibri" panose="020F0502020204030204" pitchFamily="34" charset="0"/>
              <a:ea typeface="+mn-ea"/>
              <a:cs typeface="+mn-cs"/>
            </a:rPr>
            <a:t>and Ludmila Peres Gargano</a:t>
          </a:r>
        </a:p>
        <a:p>
          <a:r>
            <a:rPr lang="pt-BR" sz="1100" b="1" i="0" u="none" strike="noStrike">
              <a:solidFill>
                <a:srgbClr val="0EB1BA"/>
              </a:solidFill>
              <a:effectLst/>
              <a:latin typeface="Calibri" panose="020F0502020204030204" pitchFamily="34" charset="0"/>
            </a:rPr>
            <a:t>Coordinated/Reviewed by</a:t>
          </a:r>
          <a:r>
            <a:rPr lang="pt-BR"/>
            <a:t>: </a:t>
          </a:r>
          <a:r>
            <a:rPr lang="pt-BR" sz="1000" b="0" i="0" u="none" strike="noStrike">
              <a:solidFill>
                <a:srgbClr val="000000"/>
              </a:solidFill>
              <a:effectLst/>
              <a:latin typeface="Calibri" panose="020F0502020204030204" pitchFamily="34" charset="0"/>
            </a:rPr>
            <a:t>Rosa Camila Lucchetta</a:t>
          </a:r>
          <a:endParaRPr lang="pt-BR" sz="1100" b="0" i="0" u="none" strike="noStrike">
            <a:solidFill>
              <a:schemeClr val="dk1"/>
            </a:solidFill>
            <a:effectLst/>
            <a:latin typeface="+mn-lt"/>
          </a:endParaRPr>
        </a:p>
        <a:p>
          <a:r>
            <a:rPr lang="pt-BR" sz="1100" b="1" i="0" u="none" strike="noStrike">
              <a:solidFill>
                <a:srgbClr val="0EB1BA"/>
              </a:solidFill>
              <a:effectLst/>
              <a:latin typeface="Calibri" panose="020F0502020204030204" pitchFamily="34" charset="0"/>
            </a:rPr>
            <a:t>Validated by:</a:t>
          </a:r>
          <a:r>
            <a:rPr lang="pt-BR"/>
            <a:t> </a:t>
          </a:r>
          <a:r>
            <a:rPr lang="pt-BR" sz="1000" b="0" i="0" u="none" strike="noStrike">
              <a:solidFill>
                <a:srgbClr val="000000"/>
              </a:solidFill>
              <a:effectLst/>
              <a:latin typeface="Calibri" panose="020F0502020204030204" pitchFamily="34" charset="0"/>
            </a:rPr>
            <a:t>Cecília Menezes; Francino Azevedo; Juliana Viscondi; Mariana Fachi; Tassiane de Paula; Vinicius Ferreira</a:t>
          </a:r>
          <a:r>
            <a:rPr lang="pt-BR"/>
            <a:t> </a:t>
          </a:r>
          <a:endParaRPr lang="pt-BR" sz="1100" kern="1200"/>
        </a:p>
      </xdr:txBody>
    </xdr:sp>
    <xdr:clientData/>
  </xdr:twoCellAnchor>
  <xdr:twoCellAnchor editAs="absolute">
    <xdr:from>
      <xdr:col>1</xdr:col>
      <xdr:colOff>173529</xdr:colOff>
      <xdr:row>12</xdr:row>
      <xdr:rowOff>129540</xdr:rowOff>
    </xdr:from>
    <xdr:to>
      <xdr:col>8</xdr:col>
      <xdr:colOff>220345</xdr:colOff>
      <xdr:row>21</xdr:row>
      <xdr:rowOff>152399</xdr:rowOff>
    </xdr:to>
    <xdr:sp macro="" textlink="">
      <xdr:nvSpPr>
        <xdr:cNvPr id="34" name="CaixaDeTexto 33">
          <a:extLst>
            <a:ext uri="{FF2B5EF4-FFF2-40B4-BE49-F238E27FC236}">
              <a16:creationId xmlns:a16="http://schemas.microsoft.com/office/drawing/2014/main" id="{1027B31E-A77E-4B44-9F63-682C6CD9F14B}"/>
            </a:ext>
          </a:extLst>
        </xdr:cNvPr>
        <xdr:cNvSpPr txBox="1"/>
      </xdr:nvSpPr>
      <xdr:spPr>
        <a:xfrm>
          <a:off x="573579" y="2434590"/>
          <a:ext cx="10524316" cy="16516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i="0" u="none" strike="noStrike" baseline="0">
              <a:solidFill>
                <a:srgbClr val="0EB1BA"/>
              </a:solidFill>
              <a:effectLst/>
              <a:latin typeface="Calibri" panose="020F0502020204030204" pitchFamily="34" charset="0"/>
            </a:rPr>
            <a:t>Rationale for using the spreadsheet</a:t>
          </a:r>
          <a:endParaRPr lang="pt-BR" sz="1100" b="1" i="0" u="none" strike="noStrike">
            <a:solidFill>
              <a:srgbClr val="0EB1BA"/>
            </a:solidFill>
            <a:effectLst/>
            <a:latin typeface="Calibri" panose="020F0502020204030204" pitchFamily="34" charset="0"/>
          </a:endParaRPr>
        </a:p>
        <a:p>
          <a:r>
            <a:rPr lang="pt-BR" sz="1100" b="0" i="0" u="none" strike="noStrike">
              <a:solidFill>
                <a:srgbClr val="000000"/>
              </a:solidFill>
              <a:effectLst/>
              <a:latin typeface="Calibri" panose="020F0502020204030204" pitchFamily="34" charset="0"/>
            </a:rPr>
            <a:t>1. Save a copy of the spreadsheet to start a new analysis;</a:t>
          </a:r>
        </a:p>
        <a:p>
          <a:r>
            <a:rPr lang="pt-BR" sz="1100" b="0" i="0" u="none" strike="noStrike">
              <a:solidFill>
                <a:srgbClr val="000000"/>
              </a:solidFill>
              <a:effectLst/>
              <a:latin typeface="Calibri" panose="020F0502020204030204" pitchFamily="34" charset="0"/>
            </a:rPr>
            <a:t>2. Under </a:t>
          </a:r>
          <a:r>
            <a:rPr lang="pt-BR" sz="1100" b="1" i="0" u="none" strike="noStrike">
              <a:solidFill>
                <a:srgbClr val="000000"/>
              </a:solidFill>
              <a:effectLst/>
              <a:latin typeface="Calibri" panose="020F0502020204030204" pitchFamily="34" charset="0"/>
            </a:rPr>
            <a:t>'Definitions</a:t>
          </a:r>
          <a:r>
            <a:rPr lang="pt-BR" sz="1100" b="0" i="0" u="none" strike="noStrike">
              <a:solidFill>
                <a:srgbClr val="000000"/>
              </a:solidFill>
              <a:effectLst/>
              <a:latin typeface="Calibri" panose="020F0502020204030204" pitchFamily="34" charset="0"/>
            </a:rPr>
            <a:t>', describe the components of the research question: population (clinical condition), intervention(s), and comparators (alternatives);</a:t>
          </a:r>
        </a:p>
        <a:p>
          <a:r>
            <a:rPr lang="pt-BR" sz="1100" b="0" i="0" u="none" strike="noStrike">
              <a:solidFill>
                <a:srgbClr val="000000"/>
              </a:solidFill>
              <a:effectLst/>
              <a:latin typeface="Calibri" panose="020F0502020204030204" pitchFamily="34" charset="0"/>
            </a:rPr>
            <a:t>3. and 4. Under </a:t>
          </a:r>
          <a:r>
            <a:rPr lang="pt-BR" sz="1100" b="1" i="0" u="none" strike="noStrike">
              <a:solidFill>
                <a:srgbClr val="000000"/>
              </a:solidFill>
              <a:effectLst/>
              <a:latin typeface="Calibri" panose="020F0502020204030204" pitchFamily="34" charset="0"/>
            </a:rPr>
            <a:t>'Market Share</a:t>
          </a:r>
          <a:r>
            <a:rPr lang="pt-BR" sz="1100" b="0" i="0" u="none" strike="noStrike">
              <a:solidFill>
                <a:srgbClr val="000000"/>
              </a:solidFill>
              <a:effectLst/>
              <a:latin typeface="Calibri" panose="020F0502020204030204" pitchFamily="34" charset="0"/>
            </a:rPr>
            <a:t>' enter the year the analysis began and the expected market share percentages for each scenario (current and proposed scenarios);</a:t>
          </a:r>
        </a:p>
        <a:p>
          <a:r>
            <a:rPr lang="pt-BR" sz="1100" b="0" i="0" u="none" strike="noStrike">
              <a:solidFill>
                <a:srgbClr val="000000"/>
              </a:solidFill>
              <a:effectLst/>
              <a:latin typeface="Calibri" panose="020F0502020204030204" pitchFamily="34" charset="0"/>
            </a:rPr>
            <a:t>5. Under </a:t>
          </a:r>
          <a:r>
            <a:rPr lang="pt-BR" sz="1100" b="1" i="0" u="none" strike="noStrike">
              <a:solidFill>
                <a:srgbClr val="000000"/>
              </a:solidFill>
              <a:effectLst/>
              <a:latin typeface="Calibri" panose="020F0502020204030204" pitchFamily="34" charset="0"/>
            </a:rPr>
            <a:t>'Population'</a:t>
          </a:r>
          <a:r>
            <a:rPr lang="pt-BR" sz="1100" b="0" i="0" u="none" strike="noStrike">
              <a:solidFill>
                <a:srgbClr val="000000"/>
              </a:solidFill>
              <a:effectLst/>
              <a:latin typeface="Calibri" panose="020F0502020204030204" pitchFamily="34" charset="0"/>
            </a:rPr>
            <a:t>, enter the method for calculating the eligible population and the parameters required for the estimates;</a:t>
          </a:r>
        </a:p>
        <a:p>
          <a:r>
            <a:rPr lang="pt-BR" sz="1100" b="0" i="0" u="none" strike="noStrike">
              <a:solidFill>
                <a:srgbClr val="000000"/>
              </a:solidFill>
              <a:effectLst/>
              <a:latin typeface="Calibri" panose="020F0502020204030204" pitchFamily="34" charset="0"/>
            </a:rPr>
            <a:t>6. Under </a:t>
          </a:r>
          <a:r>
            <a:rPr lang="pt-BR" sz="1100" b="1" i="0" u="none" strike="noStrike">
              <a:solidFill>
                <a:srgbClr val="000000"/>
              </a:solidFill>
              <a:effectLst/>
              <a:latin typeface="Calibri" panose="020F0502020204030204" pitchFamily="34" charset="0"/>
            </a:rPr>
            <a:t>'Costs</a:t>
          </a:r>
          <a:r>
            <a:rPr lang="pt-BR" sz="1100" b="0" i="0" u="none" strike="noStrike">
              <a:solidFill>
                <a:srgbClr val="000000"/>
              </a:solidFill>
              <a:effectLst/>
              <a:latin typeface="Calibri" panose="020F0502020204030204" pitchFamily="34" charset="0"/>
            </a:rPr>
            <a:t>,' enter the resources and costs involved according to the type of technology;</a:t>
          </a:r>
        </a:p>
        <a:p>
          <a:r>
            <a:rPr lang="pt-BR" sz="1100" b="0" i="0" u="none" strike="noStrike">
              <a:solidFill>
                <a:srgbClr val="000000"/>
              </a:solidFill>
              <a:effectLst/>
              <a:latin typeface="Calibri" panose="020F0502020204030204" pitchFamily="34" charset="0"/>
            </a:rPr>
            <a:t>7. Under </a:t>
          </a:r>
          <a:r>
            <a:rPr lang="pt-BR" sz="1100" b="1" i="0" u="none" strike="noStrike">
              <a:solidFill>
                <a:srgbClr val="000000"/>
              </a:solidFill>
              <a:effectLst/>
              <a:latin typeface="Calibri" panose="020F0502020204030204" pitchFamily="34" charset="0"/>
            </a:rPr>
            <a:t>'Time of Use'</a:t>
          </a:r>
          <a:r>
            <a:rPr lang="pt-BR" sz="1100" b="0" i="0" u="none" strike="noStrike">
              <a:solidFill>
                <a:srgbClr val="000000"/>
              </a:solidFill>
              <a:effectLst/>
              <a:latin typeface="Calibri" panose="020F0502020204030204" pitchFamily="34" charset="0"/>
            </a:rPr>
            <a:t>, indicate which strategy will be used to report the time of use of the technologies over the years;</a:t>
          </a:r>
        </a:p>
        <a:p>
          <a:r>
            <a:rPr lang="pt-BR" sz="1100" b="0" i="0" u="none" strike="noStrike">
              <a:solidFill>
                <a:srgbClr val="000000"/>
              </a:solidFill>
              <a:effectLst/>
              <a:latin typeface="Calibri" panose="020F0502020204030204" pitchFamily="34" charset="0"/>
            </a:rPr>
            <a:t>8 and 9. Evaluate the results and sensitivity analyses in the </a:t>
          </a:r>
          <a:r>
            <a:rPr lang="pt-BR" sz="1100" b="1" i="0" u="none" strike="noStrike">
              <a:solidFill>
                <a:srgbClr val="000000"/>
              </a:solidFill>
              <a:effectLst/>
              <a:latin typeface="Calibri" panose="020F0502020204030204" pitchFamily="34" charset="0"/>
            </a:rPr>
            <a:t>'Results</a:t>
          </a:r>
          <a:r>
            <a:rPr lang="pt-BR" sz="1100" b="0" i="0" u="none" strike="noStrike">
              <a:solidFill>
                <a:srgbClr val="000000"/>
              </a:solidFill>
              <a:effectLst/>
              <a:latin typeface="Calibri" panose="020F0502020204030204" pitchFamily="34" charset="0"/>
            </a:rPr>
            <a:t>' and</a:t>
          </a:r>
          <a:r>
            <a:rPr lang="pt-BR" sz="1100" b="0" i="0" u="none" strike="noStrike" baseline="0">
              <a:solidFill>
                <a:srgbClr val="000000"/>
              </a:solidFill>
              <a:effectLst/>
              <a:latin typeface="Calibri" panose="020F0502020204030204" pitchFamily="34" charset="0"/>
            </a:rPr>
            <a:t> '</a:t>
          </a:r>
          <a:r>
            <a:rPr lang="pt-BR" sz="1100" b="1" i="0" u="none" strike="noStrike" baseline="0">
              <a:solidFill>
                <a:srgbClr val="000000"/>
              </a:solidFill>
              <a:effectLst/>
              <a:latin typeface="Calibri" panose="020F0502020204030204" pitchFamily="34" charset="0"/>
            </a:rPr>
            <a:t>SensibilityAn</a:t>
          </a:r>
          <a:r>
            <a:rPr lang="pt-BR" sz="1100" b="0" i="0" u="none" strike="noStrike" baseline="0">
              <a:solidFill>
                <a:srgbClr val="000000"/>
              </a:solidFill>
              <a:effectLst/>
              <a:latin typeface="Calibri" panose="020F0502020204030204" pitchFamily="34" charset="0"/>
            </a:rPr>
            <a:t>' </a:t>
          </a:r>
          <a:r>
            <a:rPr lang="pt-BR" sz="1100" b="0" i="0" u="none" strike="noStrike">
              <a:solidFill>
                <a:srgbClr val="000000"/>
              </a:solidFill>
              <a:effectLst/>
              <a:latin typeface="Calibri" panose="020F0502020204030204" pitchFamily="34" charset="0"/>
            </a:rPr>
            <a:t>tabs.</a:t>
          </a:r>
          <a:endParaRPr lang="pt-BR" sz="1100" b="0" i="0" u="none" strike="noStrike" baseline="0">
            <a:solidFill>
              <a:schemeClr val="dk1"/>
            </a:solidFill>
            <a:effectLst/>
            <a:latin typeface="+mn-lt"/>
          </a:endParaRPr>
        </a:p>
      </xdr:txBody>
    </xdr:sp>
    <xdr:clientData/>
  </xdr:twoCellAnchor>
  <xdr:twoCellAnchor>
    <xdr:from>
      <xdr:col>1</xdr:col>
      <xdr:colOff>0</xdr:colOff>
      <xdr:row>1</xdr:row>
      <xdr:rowOff>8659</xdr:rowOff>
    </xdr:from>
    <xdr:to>
      <xdr:col>3</xdr:col>
      <xdr:colOff>2343150</xdr:colOff>
      <xdr:row>2</xdr:row>
      <xdr:rowOff>3463</xdr:rowOff>
    </xdr:to>
    <xdr:grpSp>
      <xdr:nvGrpSpPr>
        <xdr:cNvPr id="36" name="Agrupar 35">
          <a:extLst>
            <a:ext uri="{FF2B5EF4-FFF2-40B4-BE49-F238E27FC236}">
              <a16:creationId xmlns:a16="http://schemas.microsoft.com/office/drawing/2014/main" id="{34818E2A-7D45-B4B0-238A-7B50EF9F8229}"/>
            </a:ext>
          </a:extLst>
        </xdr:cNvPr>
        <xdr:cNvGrpSpPr/>
      </xdr:nvGrpSpPr>
      <xdr:grpSpPr>
        <a:xfrm>
          <a:off x="400050" y="439189"/>
          <a:ext cx="3996690" cy="221499"/>
          <a:chOff x="390525" y="437284"/>
          <a:chExt cx="3952875" cy="232929"/>
        </a:xfrm>
      </xdr:grpSpPr>
      <xdr:grpSp>
        <xdr:nvGrpSpPr>
          <xdr:cNvPr id="16" name="Agrupar 15">
            <a:extLst>
              <a:ext uri="{FF2B5EF4-FFF2-40B4-BE49-F238E27FC236}">
                <a16:creationId xmlns:a16="http://schemas.microsoft.com/office/drawing/2014/main" id="{0723B1FD-0116-4D4C-AB7F-0F69B377CE5E}"/>
              </a:ext>
            </a:extLst>
          </xdr:cNvPr>
          <xdr:cNvGrpSpPr/>
        </xdr:nvGrpSpPr>
        <xdr:grpSpPr>
          <a:xfrm>
            <a:off x="390525" y="437284"/>
            <a:ext cx="2409824" cy="232929"/>
            <a:chOff x="386197" y="438151"/>
            <a:chExt cx="2410690" cy="237258"/>
          </a:xfrm>
        </xdr:grpSpPr>
        <xdr:sp macro="" textlink="">
          <xdr:nvSpPr>
            <xdr:cNvPr id="17" name="Retângulo: Cantos Superiores Arredondados 16">
              <a:hlinkClick xmlns:r="http://schemas.openxmlformats.org/officeDocument/2006/relationships" r:id="rId1"/>
              <a:extLst>
                <a:ext uri="{FF2B5EF4-FFF2-40B4-BE49-F238E27FC236}">
                  <a16:creationId xmlns:a16="http://schemas.microsoft.com/office/drawing/2014/main" id="{FA74F0C4-FA78-937D-6BE4-019D677A2425}"/>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8" name="Retângulo: Cantos Superiores Arredondados 17">
              <a:extLst>
                <a:ext uri="{FF2B5EF4-FFF2-40B4-BE49-F238E27FC236}">
                  <a16:creationId xmlns:a16="http://schemas.microsoft.com/office/drawing/2014/main" id="{EF133857-CE50-90B5-6DF3-3960CE00267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Introduction</a:t>
              </a:r>
            </a:p>
          </xdr:txBody>
        </xdr:sp>
        <xdr:sp macro="" textlink="">
          <xdr:nvSpPr>
            <xdr:cNvPr id="19" name="Retângulo: Cantos Superiores Arredondados 18">
              <a:extLst>
                <a:ext uri="{FF2B5EF4-FFF2-40B4-BE49-F238E27FC236}">
                  <a16:creationId xmlns:a16="http://schemas.microsoft.com/office/drawing/2014/main" id="{D38C2F26-91B9-3817-2227-8040804C1A81}"/>
                </a:ext>
              </a:extLst>
            </xdr:cNvPr>
            <xdr:cNvSpPr/>
          </xdr:nvSpPr>
          <xdr:spPr>
            <a:xfrm>
              <a:off x="386197" y="438151"/>
              <a:ext cx="355022" cy="233795"/>
            </a:xfrm>
            <a:prstGeom prst="round2Same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35" name="CaixaDeTexto 34">
            <a:extLst>
              <a:ext uri="{FF2B5EF4-FFF2-40B4-BE49-F238E27FC236}">
                <a16:creationId xmlns:a16="http://schemas.microsoft.com/office/drawing/2014/main" id="{7166D3D3-3F31-178F-BDCA-BC5B4EB53F23}"/>
              </a:ext>
            </a:extLst>
          </xdr:cNvPr>
          <xdr:cNvSpPr txBox="1"/>
        </xdr:nvSpPr>
        <xdr:spPr>
          <a:xfrm>
            <a:off x="2819400" y="438150"/>
            <a:ext cx="15240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Netx: Definitions</a:t>
            </a:r>
            <a:endParaRPr lang="pt-BR" sz="1100" i="1" kern="1200">
              <a:solidFill>
                <a:schemeClr val="accent5"/>
              </a:solidFill>
            </a:endParaRPr>
          </a:p>
        </xdr:txBody>
      </xdr:sp>
    </xdr:grpSp>
    <xdr:clientData/>
  </xdr:twoCellAnchor>
  <xdr:twoCellAnchor editAs="absolute">
    <xdr:from>
      <xdr:col>5</xdr:col>
      <xdr:colOff>1014941</xdr:colOff>
      <xdr:row>4</xdr:row>
      <xdr:rowOff>12508</xdr:rowOff>
    </xdr:from>
    <xdr:to>
      <xdr:col>8</xdr:col>
      <xdr:colOff>226484</xdr:colOff>
      <xdr:row>12</xdr:row>
      <xdr:rowOff>21167</xdr:rowOff>
    </xdr:to>
    <xdr:grpSp>
      <xdr:nvGrpSpPr>
        <xdr:cNvPr id="5" name="Agrupar 4">
          <a:extLst>
            <a:ext uri="{FF2B5EF4-FFF2-40B4-BE49-F238E27FC236}">
              <a16:creationId xmlns:a16="http://schemas.microsoft.com/office/drawing/2014/main" id="{A5E2C498-C8C0-4C25-D86E-3746F533A11A}"/>
            </a:ext>
          </a:extLst>
        </xdr:cNvPr>
        <xdr:cNvGrpSpPr/>
      </xdr:nvGrpSpPr>
      <xdr:grpSpPr>
        <a:xfrm>
          <a:off x="7211906" y="873568"/>
          <a:ext cx="3892128" cy="1448839"/>
          <a:chOff x="6343650" y="877167"/>
          <a:chExt cx="4429126" cy="1532659"/>
        </a:xfrm>
      </xdr:grpSpPr>
      <xdr:grpSp>
        <xdr:nvGrpSpPr>
          <xdr:cNvPr id="32" name="Agrupar 31">
            <a:extLst>
              <a:ext uri="{FF2B5EF4-FFF2-40B4-BE49-F238E27FC236}">
                <a16:creationId xmlns:a16="http://schemas.microsoft.com/office/drawing/2014/main" id="{25FFC4B2-BA73-9BB2-21D9-B2D7F69CCB7C}"/>
              </a:ext>
            </a:extLst>
          </xdr:cNvPr>
          <xdr:cNvGrpSpPr/>
        </xdr:nvGrpSpPr>
        <xdr:grpSpPr>
          <a:xfrm>
            <a:off x="6343650" y="877167"/>
            <a:ext cx="4429126" cy="1532659"/>
            <a:chOff x="7244198" y="8122227"/>
            <a:chExt cx="2427639" cy="1532659"/>
          </a:xfrm>
        </xdr:grpSpPr>
        <xdr:sp macro="" textlink="">
          <xdr:nvSpPr>
            <xdr:cNvPr id="24" name="CaixaDeTexto 23">
              <a:extLst>
                <a:ext uri="{FF2B5EF4-FFF2-40B4-BE49-F238E27FC236}">
                  <a16:creationId xmlns:a16="http://schemas.microsoft.com/office/drawing/2014/main" id="{46E2DC91-FC7B-4127-9352-0A01A3F038FE}"/>
                </a:ext>
              </a:extLst>
            </xdr:cNvPr>
            <xdr:cNvSpPr txBox="1"/>
          </xdr:nvSpPr>
          <xdr:spPr>
            <a:xfrm>
              <a:off x="7244198" y="8122227"/>
              <a:ext cx="2427639" cy="153265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Retângulo 24">
              <a:extLst>
                <a:ext uri="{FF2B5EF4-FFF2-40B4-BE49-F238E27FC236}">
                  <a16:creationId xmlns:a16="http://schemas.microsoft.com/office/drawing/2014/main" id="{63403D06-0AC1-4D7F-B56F-2D016F9D6979}"/>
                </a:ext>
              </a:extLst>
            </xdr:cNvPr>
            <xdr:cNvSpPr/>
          </xdr:nvSpPr>
          <xdr:spPr>
            <a:xfrm>
              <a:off x="7342910" y="82053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6" name="Retângulo 25">
              <a:extLst>
                <a:ext uri="{FF2B5EF4-FFF2-40B4-BE49-F238E27FC236}">
                  <a16:creationId xmlns:a16="http://schemas.microsoft.com/office/drawing/2014/main" id="{CDD8C7EA-A8DA-497F-816B-B51775AF970D}"/>
                </a:ext>
              </a:extLst>
            </xdr:cNvPr>
            <xdr:cNvSpPr/>
          </xdr:nvSpPr>
          <xdr:spPr>
            <a:xfrm>
              <a:off x="7345914" y="85984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7" name="Retângulo: Cantos Superiores Arredondados 26">
              <a:extLst>
                <a:ext uri="{FF2B5EF4-FFF2-40B4-BE49-F238E27FC236}">
                  <a16:creationId xmlns:a16="http://schemas.microsoft.com/office/drawing/2014/main" id="{1422B774-2662-40B9-8729-3C9AEB263493}"/>
                </a:ext>
              </a:extLst>
            </xdr:cNvPr>
            <xdr:cNvSpPr/>
          </xdr:nvSpPr>
          <xdr:spPr>
            <a:xfrm>
              <a:off x="7769903" y="9339697"/>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28" name="Retângulo: Cantos Superiores Arredondados 27">
              <a:extLst>
                <a:ext uri="{FF2B5EF4-FFF2-40B4-BE49-F238E27FC236}">
                  <a16:creationId xmlns:a16="http://schemas.microsoft.com/office/drawing/2014/main" id="{7BBD1A73-D272-49A5-BFE0-26F9ECA1C443}"/>
                </a:ext>
              </a:extLst>
            </xdr:cNvPr>
            <xdr:cNvSpPr/>
          </xdr:nvSpPr>
          <xdr:spPr>
            <a:xfrm>
              <a:off x="7354266" y="9339697"/>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p>
          </xdr:txBody>
        </xdr:sp>
        <xdr:sp macro="" textlink="">
          <xdr:nvSpPr>
            <xdr:cNvPr id="29" name="CaixaDeTexto 28">
              <a:extLst>
                <a:ext uri="{FF2B5EF4-FFF2-40B4-BE49-F238E27FC236}">
                  <a16:creationId xmlns:a16="http://schemas.microsoft.com/office/drawing/2014/main" id="{5962256A-52F4-4881-A353-2C23965A98D0}"/>
                </a:ext>
              </a:extLst>
            </xdr:cNvPr>
            <xdr:cNvSpPr txBox="1"/>
          </xdr:nvSpPr>
          <xdr:spPr>
            <a:xfrm>
              <a:off x="7748869" y="8174184"/>
              <a:ext cx="1829786"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0" name="CaixaDeTexto 29">
              <a:extLst>
                <a:ext uri="{FF2B5EF4-FFF2-40B4-BE49-F238E27FC236}">
                  <a16:creationId xmlns:a16="http://schemas.microsoft.com/office/drawing/2014/main" id="{DAC9C9F5-FE2F-4267-8592-3C3F7C3D413A}"/>
                </a:ext>
              </a:extLst>
            </xdr:cNvPr>
            <xdr:cNvSpPr txBox="1"/>
          </xdr:nvSpPr>
          <xdr:spPr>
            <a:xfrm>
              <a:off x="7761051" y="8626186"/>
              <a:ext cx="1868299"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1" name="CaixaDeTexto 30">
              <a:extLst>
                <a:ext uri="{FF2B5EF4-FFF2-40B4-BE49-F238E27FC236}">
                  <a16:creationId xmlns:a16="http://schemas.microsoft.com/office/drawing/2014/main" id="{0344FB66-FE82-48F5-AC4A-ABB77A879756}"/>
                </a:ext>
              </a:extLst>
            </xdr:cNvPr>
            <xdr:cNvSpPr txBox="1"/>
          </xdr:nvSpPr>
          <xdr:spPr>
            <a:xfrm>
              <a:off x="8181309" y="9337385"/>
              <a:ext cx="1394114" cy="308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Buttons for navigating between tabs.</a:t>
              </a:r>
            </a:p>
          </xdr:txBody>
        </xdr:sp>
      </xdr:grpSp>
      <xdr:pic>
        <xdr:nvPicPr>
          <xdr:cNvPr id="37" name="InfoBox1" descr="Information with solid fill">
            <a:extLst>
              <a:ext uri="{FF2B5EF4-FFF2-40B4-BE49-F238E27FC236}">
                <a16:creationId xmlns:a16="http://schemas.microsoft.com/office/drawing/2014/main" id="{1EE674BE-7C1F-4E73-904E-4E85C787E7B9}"/>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638926" y="1686793"/>
            <a:ext cx="371474" cy="351558"/>
          </a:xfrm>
          <a:prstGeom prst="rect">
            <a:avLst/>
          </a:prstGeom>
        </xdr:spPr>
      </xdr:pic>
      <xdr:sp macro="" textlink="">
        <xdr:nvSpPr>
          <xdr:cNvPr id="3" name="CaixaDeTexto 2">
            <a:extLst>
              <a:ext uri="{FF2B5EF4-FFF2-40B4-BE49-F238E27FC236}">
                <a16:creationId xmlns:a16="http://schemas.microsoft.com/office/drawing/2014/main" id="{FC3BFF13-8B13-478D-8280-9C7ED6C0377B}"/>
              </a:ext>
            </a:extLst>
          </xdr:cNvPr>
          <xdr:cNvSpPr txBox="1"/>
        </xdr:nvSpPr>
        <xdr:spPr>
          <a:xfrm>
            <a:off x="7267575" y="1724025"/>
            <a:ext cx="3408633" cy="328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Instructions.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9525</xdr:rowOff>
    </xdr:from>
    <xdr:to>
      <xdr:col>4</xdr:col>
      <xdr:colOff>1933575</xdr:colOff>
      <xdr:row>2</xdr:row>
      <xdr:rowOff>19050</xdr:rowOff>
    </xdr:to>
    <xdr:grpSp>
      <xdr:nvGrpSpPr>
        <xdr:cNvPr id="42" name="Agrupar 41">
          <a:extLst>
            <a:ext uri="{FF2B5EF4-FFF2-40B4-BE49-F238E27FC236}">
              <a16:creationId xmlns:a16="http://schemas.microsoft.com/office/drawing/2014/main" id="{7B0220C0-3296-4297-A640-E2EF9C1C80CE}"/>
            </a:ext>
          </a:extLst>
        </xdr:cNvPr>
        <xdr:cNvGrpSpPr/>
      </xdr:nvGrpSpPr>
      <xdr:grpSpPr>
        <a:xfrm>
          <a:off x="400050" y="440055"/>
          <a:ext cx="5170170" cy="232410"/>
          <a:chOff x="390525" y="437284"/>
          <a:chExt cx="5095875" cy="247650"/>
        </a:xfrm>
      </xdr:grpSpPr>
      <xdr:grpSp>
        <xdr:nvGrpSpPr>
          <xdr:cNvPr id="43" name="Agrupar 42">
            <a:extLst>
              <a:ext uri="{FF2B5EF4-FFF2-40B4-BE49-F238E27FC236}">
                <a16:creationId xmlns:a16="http://schemas.microsoft.com/office/drawing/2014/main" id="{4642E48A-3D1D-389D-5850-865C19D30E2C}"/>
              </a:ext>
            </a:extLst>
          </xdr:cNvPr>
          <xdr:cNvGrpSpPr/>
        </xdr:nvGrpSpPr>
        <xdr:grpSpPr>
          <a:xfrm>
            <a:off x="390525" y="437284"/>
            <a:ext cx="2409824" cy="232929"/>
            <a:chOff x="386197" y="438151"/>
            <a:chExt cx="2410690" cy="237258"/>
          </a:xfrm>
        </xdr:grpSpPr>
        <xdr:sp macro="" textlink="">
          <xdr:nvSpPr>
            <xdr:cNvPr id="45" name="Retângulo: Cantos Superiores Arredondados 44">
              <a:hlinkClick xmlns:r="http://schemas.openxmlformats.org/officeDocument/2006/relationships" r:id="rId1"/>
              <a:extLst>
                <a:ext uri="{FF2B5EF4-FFF2-40B4-BE49-F238E27FC236}">
                  <a16:creationId xmlns:a16="http://schemas.microsoft.com/office/drawing/2014/main" id="{E6E498D1-66FD-DDC9-49DE-25760490CA0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46" name="Retângulo: Cantos Superiores Arredondados 45">
              <a:extLst>
                <a:ext uri="{FF2B5EF4-FFF2-40B4-BE49-F238E27FC236}">
                  <a16:creationId xmlns:a16="http://schemas.microsoft.com/office/drawing/2014/main" id="{7435BDD1-95C1-1142-21B3-FA644BF5BA50}"/>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Definitions</a:t>
              </a:r>
            </a:p>
          </xdr:txBody>
        </xdr:sp>
        <xdr:sp macro="" textlink="">
          <xdr:nvSpPr>
            <xdr:cNvPr id="47" name="Retângulo: Cantos Superiores Arredondados 46">
              <a:hlinkClick xmlns:r="http://schemas.openxmlformats.org/officeDocument/2006/relationships" r:id="rId2"/>
              <a:extLst>
                <a:ext uri="{FF2B5EF4-FFF2-40B4-BE49-F238E27FC236}">
                  <a16:creationId xmlns:a16="http://schemas.microsoft.com/office/drawing/2014/main" id="{B3D72210-6D99-0BC9-FBA2-74A63C1C0B79}"/>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44" name="CaixaDeTexto 43">
            <a:extLst>
              <a:ext uri="{FF2B5EF4-FFF2-40B4-BE49-F238E27FC236}">
                <a16:creationId xmlns:a16="http://schemas.microsoft.com/office/drawing/2014/main" id="{C89807E1-91E3-FE82-D49D-6C44A286DF13}"/>
              </a:ext>
            </a:extLst>
          </xdr:cNvPr>
          <xdr:cNvSpPr txBox="1"/>
        </xdr:nvSpPr>
        <xdr:spPr>
          <a:xfrm>
            <a:off x="2819400" y="438150"/>
            <a:ext cx="2667000" cy="2467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Market share and time horizon</a:t>
            </a:r>
            <a:endParaRPr lang="pt-BR" sz="1100" i="1" kern="1200">
              <a:solidFill>
                <a:schemeClr val="accent5"/>
              </a:solidFill>
            </a:endParaRPr>
          </a:p>
        </xdr:txBody>
      </xdr:sp>
    </xdr:grpSp>
    <xdr:clientData/>
  </xdr:twoCellAnchor>
  <xdr:twoCellAnchor editAs="absolute">
    <xdr:from>
      <xdr:col>10</xdr:col>
      <xdr:colOff>515417</xdr:colOff>
      <xdr:row>11</xdr:row>
      <xdr:rowOff>2859</xdr:rowOff>
    </xdr:from>
    <xdr:to>
      <xdr:col>20</xdr:col>
      <xdr:colOff>116417</xdr:colOff>
      <xdr:row>14</xdr:row>
      <xdr:rowOff>92049</xdr:rowOff>
    </xdr:to>
    <xdr:grpSp>
      <xdr:nvGrpSpPr>
        <xdr:cNvPr id="2" name="Agrupar 1">
          <a:extLst>
            <a:ext uri="{FF2B5EF4-FFF2-40B4-BE49-F238E27FC236}">
              <a16:creationId xmlns:a16="http://schemas.microsoft.com/office/drawing/2014/main" id="{D5353490-52EA-4B64-BECA-3F9ACBD82985}"/>
            </a:ext>
          </a:extLst>
        </xdr:cNvPr>
        <xdr:cNvGrpSpPr/>
      </xdr:nvGrpSpPr>
      <xdr:grpSpPr>
        <a:xfrm>
          <a:off x="9646082" y="2717484"/>
          <a:ext cx="3510060" cy="635925"/>
          <a:chOff x="7333755" y="8620379"/>
          <a:chExt cx="1403654" cy="663031"/>
        </a:xfrm>
      </xdr:grpSpPr>
      <xdr:sp macro="" textlink="">
        <xdr:nvSpPr>
          <xdr:cNvPr id="3" name="CaixaDeTexto 2">
            <a:extLst>
              <a:ext uri="{FF2B5EF4-FFF2-40B4-BE49-F238E27FC236}">
                <a16:creationId xmlns:a16="http://schemas.microsoft.com/office/drawing/2014/main" id="{D0DEB439-B008-131C-52D1-CDB893023BD0}"/>
              </a:ext>
            </a:extLst>
          </xdr:cNvPr>
          <xdr:cNvSpPr txBox="1"/>
        </xdr:nvSpPr>
        <xdr:spPr>
          <a:xfrm>
            <a:off x="7333755" y="8643784"/>
            <a:ext cx="1377780" cy="5952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6" name="CaixaDeTexto 5">
            <a:extLst>
              <a:ext uri="{FF2B5EF4-FFF2-40B4-BE49-F238E27FC236}">
                <a16:creationId xmlns:a16="http://schemas.microsoft.com/office/drawing/2014/main" id="{645BBF26-CA5E-B7F7-C649-0943866E5087}"/>
              </a:ext>
            </a:extLst>
          </xdr:cNvPr>
          <xdr:cNvSpPr txBox="1"/>
        </xdr:nvSpPr>
        <xdr:spPr>
          <a:xfrm>
            <a:off x="7338732" y="8821884"/>
            <a:ext cx="1361713"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kern="1200"/>
              <a:t>Do not erase </a:t>
            </a:r>
            <a:r>
              <a:rPr lang="pt-BR" sz="1000" b="0" kern="1200"/>
              <a:t>any text, numbers or formulas written on the white background.</a:t>
            </a:r>
          </a:p>
        </xdr:txBody>
      </xdr:sp>
      <xdr:sp macro="" textlink="">
        <xdr:nvSpPr>
          <xdr:cNvPr id="8" name="CaixaDeTexto 7">
            <a:extLst>
              <a:ext uri="{FF2B5EF4-FFF2-40B4-BE49-F238E27FC236}">
                <a16:creationId xmlns:a16="http://schemas.microsoft.com/office/drawing/2014/main" id="{19F74E82-3B86-EA12-85FD-76B959D3C3EE}"/>
              </a:ext>
            </a:extLst>
          </xdr:cNvPr>
          <xdr:cNvSpPr txBox="1"/>
        </xdr:nvSpPr>
        <xdr:spPr>
          <a:xfrm>
            <a:off x="7343295" y="8620379"/>
            <a:ext cx="1394114" cy="197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absolute">
    <xdr:from>
      <xdr:col>10</xdr:col>
      <xdr:colOff>498378</xdr:colOff>
      <xdr:row>4</xdr:row>
      <xdr:rowOff>58574</xdr:rowOff>
    </xdr:from>
    <xdr:to>
      <xdr:col>20</xdr:col>
      <xdr:colOff>39691</xdr:colOff>
      <xdr:row>10</xdr:row>
      <xdr:rowOff>55880</xdr:rowOff>
    </xdr:to>
    <xdr:grpSp>
      <xdr:nvGrpSpPr>
        <xdr:cNvPr id="4" name="Agrupar 3">
          <a:extLst>
            <a:ext uri="{FF2B5EF4-FFF2-40B4-BE49-F238E27FC236}">
              <a16:creationId xmlns:a16="http://schemas.microsoft.com/office/drawing/2014/main" id="{BC89FCFD-DEF4-274E-AA7E-54177C722FCB}"/>
            </a:ext>
          </a:extLst>
        </xdr:cNvPr>
        <xdr:cNvGrpSpPr/>
      </xdr:nvGrpSpPr>
      <xdr:grpSpPr>
        <a:xfrm>
          <a:off x="9632853" y="912014"/>
          <a:ext cx="3446563" cy="1681326"/>
          <a:chOff x="7244198" y="8503227"/>
          <a:chExt cx="1845115" cy="1168977"/>
        </a:xfrm>
      </xdr:grpSpPr>
      <xdr:sp macro="" textlink="">
        <xdr:nvSpPr>
          <xdr:cNvPr id="5" name="CaixaDeTexto 4">
            <a:extLst>
              <a:ext uri="{FF2B5EF4-FFF2-40B4-BE49-F238E27FC236}">
                <a16:creationId xmlns:a16="http://schemas.microsoft.com/office/drawing/2014/main" id="{88DFDCA8-02D1-27CD-19FC-94C6AB10CF52}"/>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7" name="Retângulo 6">
            <a:extLst>
              <a:ext uri="{FF2B5EF4-FFF2-40B4-BE49-F238E27FC236}">
                <a16:creationId xmlns:a16="http://schemas.microsoft.com/office/drawing/2014/main" id="{6540253D-C96C-9CCB-81E7-520653A65BF6}"/>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9" name="Retângulo 8">
            <a:extLst>
              <a:ext uri="{FF2B5EF4-FFF2-40B4-BE49-F238E27FC236}">
                <a16:creationId xmlns:a16="http://schemas.microsoft.com/office/drawing/2014/main" id="{5D0ECCA8-9899-9889-93DA-77A3F5562DB7}"/>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0" name="CaixaDeTexto 9">
            <a:extLst>
              <a:ext uri="{FF2B5EF4-FFF2-40B4-BE49-F238E27FC236}">
                <a16:creationId xmlns:a16="http://schemas.microsoft.com/office/drawing/2014/main" id="{BEE25AF6-FBDD-4799-2E99-4AE0F390BAA1}"/>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11" name="CaixaDeTexto 10">
            <a:extLst>
              <a:ext uri="{FF2B5EF4-FFF2-40B4-BE49-F238E27FC236}">
                <a16:creationId xmlns:a16="http://schemas.microsoft.com/office/drawing/2014/main" id="{196804BA-436F-419F-944E-5FE25CC9D60A}"/>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12" name="CaixaDeTexto 11">
            <a:extLst>
              <a:ext uri="{FF2B5EF4-FFF2-40B4-BE49-F238E27FC236}">
                <a16:creationId xmlns:a16="http://schemas.microsoft.com/office/drawing/2014/main" id="{4BD3DFB7-5982-08FE-BC48-41E3AD2EDA08}"/>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9525</xdr:rowOff>
    </xdr:from>
    <xdr:to>
      <xdr:col>5</xdr:col>
      <xdr:colOff>390524</xdr:colOff>
      <xdr:row>3</xdr:row>
      <xdr:rowOff>66675</xdr:rowOff>
    </xdr:to>
    <xdr:grpSp>
      <xdr:nvGrpSpPr>
        <xdr:cNvPr id="7" name="Agrupar 6">
          <a:extLst>
            <a:ext uri="{FF2B5EF4-FFF2-40B4-BE49-F238E27FC236}">
              <a16:creationId xmlns:a16="http://schemas.microsoft.com/office/drawing/2014/main" id="{9D843D11-BF4D-420E-9EDE-8CF32BDD0174}"/>
            </a:ext>
          </a:extLst>
        </xdr:cNvPr>
        <xdr:cNvGrpSpPr/>
      </xdr:nvGrpSpPr>
      <xdr:grpSpPr>
        <a:xfrm>
          <a:off x="466725" y="440055"/>
          <a:ext cx="4650104" cy="300990"/>
          <a:chOff x="390525" y="437284"/>
          <a:chExt cx="4552949" cy="304800"/>
        </a:xfrm>
      </xdr:grpSpPr>
      <xdr:grpSp>
        <xdr:nvGrpSpPr>
          <xdr:cNvPr id="8" name="Agrupar 7">
            <a:extLst>
              <a:ext uri="{FF2B5EF4-FFF2-40B4-BE49-F238E27FC236}">
                <a16:creationId xmlns:a16="http://schemas.microsoft.com/office/drawing/2014/main" id="{CE8E346B-7D1E-B2B4-28E5-831CC4E2ABD6}"/>
              </a:ext>
            </a:extLst>
          </xdr:cNvPr>
          <xdr:cNvGrpSpPr/>
        </xdr:nvGrpSpPr>
        <xdr:grpSpPr>
          <a:xfrm>
            <a:off x="390525" y="437284"/>
            <a:ext cx="2409824" cy="232929"/>
            <a:chOff x="386197" y="438151"/>
            <a:chExt cx="2410690" cy="237258"/>
          </a:xfrm>
        </xdr:grpSpPr>
        <xdr:sp macro="[0]!ocultar_marketshare" textlink="">
          <xdr:nvSpPr>
            <xdr:cNvPr id="10" name="Retângulo: Cantos Superiores Arredondados 9">
              <a:hlinkClick xmlns:r="http://schemas.openxmlformats.org/officeDocument/2006/relationships" r:id="rId1"/>
              <a:extLst>
                <a:ext uri="{FF2B5EF4-FFF2-40B4-BE49-F238E27FC236}">
                  <a16:creationId xmlns:a16="http://schemas.microsoft.com/office/drawing/2014/main" id="{AE16B8CB-1DE0-6EB8-9369-27E26388BBFE}"/>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1" name="Retângulo: Cantos Superiores Arredondados 10">
              <a:extLst>
                <a:ext uri="{FF2B5EF4-FFF2-40B4-BE49-F238E27FC236}">
                  <a16:creationId xmlns:a16="http://schemas.microsoft.com/office/drawing/2014/main" id="{3AADAECE-16ED-9784-ED13-4773CBB5A188}"/>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Mkt Share &amp;</a:t>
              </a:r>
              <a:r>
                <a:rPr lang="pt-BR" sz="1100" b="1" i="1" kern="1200" baseline="0"/>
                <a:t> time horizon</a:t>
              </a:r>
              <a:endParaRPr lang="pt-BR" sz="1100" b="1" i="1" kern="1200"/>
            </a:p>
          </xdr:txBody>
        </xdr:sp>
        <xdr:sp macro="" textlink="">
          <xdr:nvSpPr>
            <xdr:cNvPr id="12" name="Retângulo: Cantos Superiores Arredondados 11">
              <a:hlinkClick xmlns:r="http://schemas.openxmlformats.org/officeDocument/2006/relationships" r:id="rId2"/>
              <a:extLst>
                <a:ext uri="{FF2B5EF4-FFF2-40B4-BE49-F238E27FC236}">
                  <a16:creationId xmlns:a16="http://schemas.microsoft.com/office/drawing/2014/main" id="{C16AC558-2249-0B58-C748-B7EB77830703}"/>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9" name="CaixaDeTexto 8">
            <a:extLst>
              <a:ext uri="{FF2B5EF4-FFF2-40B4-BE49-F238E27FC236}">
                <a16:creationId xmlns:a16="http://schemas.microsoft.com/office/drawing/2014/main" id="{E1E98ADD-42A6-F99E-86FE-BEB7CF2993BA}"/>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 Population</a:t>
            </a:r>
          </a:p>
        </xdr:txBody>
      </xdr:sp>
    </xdr:grpSp>
    <xdr:clientData/>
  </xdr:twoCellAnchor>
  <xdr:twoCellAnchor>
    <xdr:from>
      <xdr:col>18</xdr:col>
      <xdr:colOff>211667</xdr:colOff>
      <xdr:row>20</xdr:row>
      <xdr:rowOff>21167</xdr:rowOff>
    </xdr:from>
    <xdr:to>
      <xdr:col>27</xdr:col>
      <xdr:colOff>0</xdr:colOff>
      <xdr:row>36</xdr:row>
      <xdr:rowOff>49742</xdr:rowOff>
    </xdr:to>
    <xdr:graphicFrame macro="">
      <xdr:nvGraphicFramePr>
        <xdr:cNvPr id="17" name="Gráfico 16">
          <a:extLst>
            <a:ext uri="{FF2B5EF4-FFF2-40B4-BE49-F238E27FC236}">
              <a16:creationId xmlns:a16="http://schemas.microsoft.com/office/drawing/2014/main" id="{870DBE6F-BD95-A1FD-308B-D5EC36D6D1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212725</xdr:colOff>
      <xdr:row>39</xdr:row>
      <xdr:rowOff>171450</xdr:rowOff>
    </xdr:from>
    <xdr:to>
      <xdr:col>27</xdr:col>
      <xdr:colOff>52917</xdr:colOff>
      <xdr:row>56</xdr:row>
      <xdr:rowOff>9525</xdr:rowOff>
    </xdr:to>
    <xdr:graphicFrame macro="">
      <xdr:nvGraphicFramePr>
        <xdr:cNvPr id="18" name="Gráfico 17">
          <a:extLst>
            <a:ext uri="{FF2B5EF4-FFF2-40B4-BE49-F238E27FC236}">
              <a16:creationId xmlns:a16="http://schemas.microsoft.com/office/drawing/2014/main" id="{8F4A3506-863E-4F93-859D-F8893B46E8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232833</xdr:colOff>
      <xdr:row>60</xdr:row>
      <xdr:rowOff>10583</xdr:rowOff>
    </xdr:from>
    <xdr:to>
      <xdr:col>27</xdr:col>
      <xdr:colOff>116417</xdr:colOff>
      <xdr:row>77</xdr:row>
      <xdr:rowOff>39158</xdr:rowOff>
    </xdr:to>
    <xdr:graphicFrame macro="">
      <xdr:nvGraphicFramePr>
        <xdr:cNvPr id="19" name="Gráfico 18">
          <a:extLst>
            <a:ext uri="{FF2B5EF4-FFF2-40B4-BE49-F238E27FC236}">
              <a16:creationId xmlns:a16="http://schemas.microsoft.com/office/drawing/2014/main" id="{029E8FA9-50C4-4CB9-A52E-CD5FF969EA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223308</xdr:colOff>
      <xdr:row>80</xdr:row>
      <xdr:rowOff>28575</xdr:rowOff>
    </xdr:from>
    <xdr:to>
      <xdr:col>27</xdr:col>
      <xdr:colOff>137584</xdr:colOff>
      <xdr:row>96</xdr:row>
      <xdr:rowOff>57150</xdr:rowOff>
    </xdr:to>
    <xdr:graphicFrame macro="">
      <xdr:nvGraphicFramePr>
        <xdr:cNvPr id="20" name="Gráfico 19">
          <a:extLst>
            <a:ext uri="{FF2B5EF4-FFF2-40B4-BE49-F238E27FC236}">
              <a16:creationId xmlns:a16="http://schemas.microsoft.com/office/drawing/2014/main" id="{32CA7664-CB65-4289-927C-FC4699ACE6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19</xdr:col>
      <xdr:colOff>59691</xdr:colOff>
      <xdr:row>13</xdr:row>
      <xdr:rowOff>111125</xdr:rowOff>
    </xdr:from>
    <xdr:to>
      <xdr:col>24</xdr:col>
      <xdr:colOff>568329</xdr:colOff>
      <xdr:row>19</xdr:row>
      <xdr:rowOff>57784</xdr:rowOff>
    </xdr:to>
    <xdr:grpSp>
      <xdr:nvGrpSpPr>
        <xdr:cNvPr id="27" name="Agrupar 26">
          <a:extLst>
            <a:ext uri="{FF2B5EF4-FFF2-40B4-BE49-F238E27FC236}">
              <a16:creationId xmlns:a16="http://schemas.microsoft.com/office/drawing/2014/main" id="{A63B9AD3-EEDF-8AB7-42B1-F27C016D1514}"/>
            </a:ext>
          </a:extLst>
        </xdr:cNvPr>
        <xdr:cNvGrpSpPr/>
      </xdr:nvGrpSpPr>
      <xdr:grpSpPr>
        <a:xfrm>
          <a:off x="10142856" y="2644775"/>
          <a:ext cx="3512823" cy="1142999"/>
          <a:chOff x="10067925" y="2743200"/>
          <a:chExt cx="3457579" cy="1181099"/>
        </a:xfrm>
      </xdr:grpSpPr>
      <xdr:grpSp>
        <xdr:nvGrpSpPr>
          <xdr:cNvPr id="6" name="Agrupar 5">
            <a:extLst>
              <a:ext uri="{FF2B5EF4-FFF2-40B4-BE49-F238E27FC236}">
                <a16:creationId xmlns:a16="http://schemas.microsoft.com/office/drawing/2014/main" id="{B9E57213-8A7C-43A5-B82A-196F0029986A}"/>
              </a:ext>
            </a:extLst>
          </xdr:cNvPr>
          <xdr:cNvGrpSpPr/>
        </xdr:nvGrpSpPr>
        <xdr:grpSpPr>
          <a:xfrm>
            <a:off x="10067925" y="2743200"/>
            <a:ext cx="3457579" cy="1181099"/>
            <a:chOff x="7244198" y="8503227"/>
            <a:chExt cx="1870884" cy="1181099"/>
          </a:xfrm>
        </xdr:grpSpPr>
        <xdr:sp macro="" textlink="">
          <xdr:nvSpPr>
            <xdr:cNvPr id="13" name="CaixaDeTexto 12">
              <a:extLst>
                <a:ext uri="{FF2B5EF4-FFF2-40B4-BE49-F238E27FC236}">
                  <a16:creationId xmlns:a16="http://schemas.microsoft.com/office/drawing/2014/main" id="{B344E2BB-C526-5C8F-A4DF-589A1F1E7F76}"/>
                </a:ext>
              </a:extLst>
            </xdr:cNvPr>
            <xdr:cNvSpPr txBox="1"/>
          </xdr:nvSpPr>
          <xdr:spPr>
            <a:xfrm>
              <a:off x="7244198" y="8503227"/>
              <a:ext cx="1870884"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3" name="CaixaDeTexto 22">
              <a:extLst>
                <a:ext uri="{FF2B5EF4-FFF2-40B4-BE49-F238E27FC236}">
                  <a16:creationId xmlns:a16="http://schemas.microsoft.com/office/drawing/2014/main" id="{12997F3C-1556-69D4-92DD-63FF847885F3}"/>
                </a:ext>
              </a:extLst>
            </xdr:cNvPr>
            <xdr:cNvSpPr txBox="1"/>
          </xdr:nvSpPr>
          <xdr:spPr>
            <a:xfrm>
              <a:off x="7269968" y="8912801"/>
              <a:ext cx="1845112" cy="771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To adjust the charts, select the chart, click the "Chart Design" menu at the top, and then click "Select Data." Remove the fields with the text "Do not fill rows."</a:t>
              </a:r>
            </a:p>
          </xdr:txBody>
        </xdr:sp>
        <xdr:sp macro="" textlink="">
          <xdr:nvSpPr>
            <xdr:cNvPr id="25" name="CaixaDeTexto 24">
              <a:extLst>
                <a:ext uri="{FF2B5EF4-FFF2-40B4-BE49-F238E27FC236}">
                  <a16:creationId xmlns:a16="http://schemas.microsoft.com/office/drawing/2014/main" id="{77D87250-8C99-9DDB-D2D8-7E5EBD1CD5FC}"/>
                </a:ext>
              </a:extLst>
            </xdr:cNvPr>
            <xdr:cNvSpPr txBox="1"/>
          </xdr:nvSpPr>
          <xdr:spPr>
            <a:xfrm>
              <a:off x="7574050" y="8637445"/>
              <a:ext cx="917933" cy="275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grpSp>
      <xdr:pic>
        <xdr:nvPicPr>
          <xdr:cNvPr id="26" name="InfoBox1" descr="Information with solid fill">
            <a:extLst>
              <a:ext uri="{FF2B5EF4-FFF2-40B4-BE49-F238E27FC236}">
                <a16:creationId xmlns:a16="http://schemas.microsoft.com/office/drawing/2014/main" id="{812D705F-D108-4F0A-AC40-3A854CD7A791}"/>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0229850" y="2790825"/>
            <a:ext cx="371474" cy="351558"/>
          </a:xfrm>
          <a:prstGeom prst="rect">
            <a:avLst/>
          </a:prstGeom>
        </xdr:spPr>
      </xdr:pic>
    </xdr:grpSp>
    <xdr:clientData/>
  </xdr:twoCellAnchor>
  <xdr:twoCellAnchor editAs="absolute">
    <xdr:from>
      <xdr:col>19</xdr:col>
      <xdr:colOff>74083</xdr:colOff>
      <xdr:row>3</xdr:row>
      <xdr:rowOff>170392</xdr:rowOff>
    </xdr:from>
    <xdr:to>
      <xdr:col>24</xdr:col>
      <xdr:colOff>593295</xdr:colOff>
      <xdr:row>10</xdr:row>
      <xdr:rowOff>133773</xdr:rowOff>
    </xdr:to>
    <xdr:grpSp>
      <xdr:nvGrpSpPr>
        <xdr:cNvPr id="21" name="Agrupar 20">
          <a:extLst>
            <a:ext uri="{FF2B5EF4-FFF2-40B4-BE49-F238E27FC236}">
              <a16:creationId xmlns:a16="http://schemas.microsoft.com/office/drawing/2014/main" id="{A49ECA37-C5FC-0148-B2DA-6D13A5FF2B77}"/>
            </a:ext>
          </a:extLst>
        </xdr:cNvPr>
        <xdr:cNvGrpSpPr/>
      </xdr:nvGrpSpPr>
      <xdr:grpSpPr>
        <a:xfrm>
          <a:off x="10161058" y="850477"/>
          <a:ext cx="3515777" cy="1270211"/>
          <a:chOff x="7244198" y="8503227"/>
          <a:chExt cx="1845115" cy="1168977"/>
        </a:xfrm>
      </xdr:grpSpPr>
      <xdr:sp macro="" textlink="">
        <xdr:nvSpPr>
          <xdr:cNvPr id="22" name="CaixaDeTexto 21">
            <a:extLst>
              <a:ext uri="{FF2B5EF4-FFF2-40B4-BE49-F238E27FC236}">
                <a16:creationId xmlns:a16="http://schemas.microsoft.com/office/drawing/2014/main" id="{7FEF6D02-0039-C819-5F49-52EC4F81A9B2}"/>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4" name="Retângulo 23">
            <a:extLst>
              <a:ext uri="{FF2B5EF4-FFF2-40B4-BE49-F238E27FC236}">
                <a16:creationId xmlns:a16="http://schemas.microsoft.com/office/drawing/2014/main" id="{558A2A39-76B1-DE19-5D29-928E802F2EF4}"/>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8" name="Retângulo 27">
            <a:extLst>
              <a:ext uri="{FF2B5EF4-FFF2-40B4-BE49-F238E27FC236}">
                <a16:creationId xmlns:a16="http://schemas.microsoft.com/office/drawing/2014/main" id="{A3CA8536-81B9-6BBF-51E9-0E63BE6912C1}"/>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9" name="CaixaDeTexto 28">
            <a:extLst>
              <a:ext uri="{FF2B5EF4-FFF2-40B4-BE49-F238E27FC236}">
                <a16:creationId xmlns:a16="http://schemas.microsoft.com/office/drawing/2014/main" id="{249A8281-6C64-B68C-5061-D25FA161441D}"/>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0" name="CaixaDeTexto 29">
            <a:extLst>
              <a:ext uri="{FF2B5EF4-FFF2-40B4-BE49-F238E27FC236}">
                <a16:creationId xmlns:a16="http://schemas.microsoft.com/office/drawing/2014/main" id="{C74AFB5D-9DCD-8E9B-8A26-230F2FEE5D12}"/>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1" name="CaixaDeTexto 30">
            <a:extLst>
              <a:ext uri="{FF2B5EF4-FFF2-40B4-BE49-F238E27FC236}">
                <a16:creationId xmlns:a16="http://schemas.microsoft.com/office/drawing/2014/main" id="{5FFDD2FE-B10A-7F6A-4DD3-84FAD832124C}"/>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20108</xdr:rowOff>
    </xdr:from>
    <xdr:to>
      <xdr:col>4</xdr:col>
      <xdr:colOff>219074</xdr:colOff>
      <xdr:row>3</xdr:row>
      <xdr:rowOff>58208</xdr:rowOff>
    </xdr:to>
    <xdr:grpSp>
      <xdr:nvGrpSpPr>
        <xdr:cNvPr id="9" name="Agrupar 8">
          <a:extLst>
            <a:ext uri="{FF2B5EF4-FFF2-40B4-BE49-F238E27FC236}">
              <a16:creationId xmlns:a16="http://schemas.microsoft.com/office/drawing/2014/main" id="{410D0D8E-7A68-45C4-A8F6-5BD3AB1B6410}"/>
            </a:ext>
          </a:extLst>
        </xdr:cNvPr>
        <xdr:cNvGrpSpPr/>
      </xdr:nvGrpSpPr>
      <xdr:grpSpPr>
        <a:xfrm>
          <a:off x="238125" y="444923"/>
          <a:ext cx="4074794" cy="285750"/>
          <a:chOff x="390525" y="437284"/>
          <a:chExt cx="4552949" cy="304800"/>
        </a:xfrm>
      </xdr:grpSpPr>
      <xdr:grpSp>
        <xdr:nvGrpSpPr>
          <xdr:cNvPr id="10" name="Agrupar 9">
            <a:extLst>
              <a:ext uri="{FF2B5EF4-FFF2-40B4-BE49-F238E27FC236}">
                <a16:creationId xmlns:a16="http://schemas.microsoft.com/office/drawing/2014/main" id="{072DB2AB-48A3-D0A6-3375-E0B110DE40C0}"/>
              </a:ext>
            </a:extLst>
          </xdr:cNvPr>
          <xdr:cNvGrpSpPr/>
        </xdr:nvGrpSpPr>
        <xdr:grpSpPr>
          <a:xfrm>
            <a:off x="390525" y="437284"/>
            <a:ext cx="2409824" cy="232929"/>
            <a:chOff x="386197" y="438151"/>
            <a:chExt cx="2410690" cy="237258"/>
          </a:xfrm>
        </xdr:grpSpPr>
        <xdr:sp macro="[0]!ocultar_marketshare" textlink="">
          <xdr:nvSpPr>
            <xdr:cNvPr id="12" name="Retângulo: Cantos Superiores Arredondados 11">
              <a:hlinkClick xmlns:r="http://schemas.openxmlformats.org/officeDocument/2006/relationships" r:id="rId1"/>
              <a:extLst>
                <a:ext uri="{FF2B5EF4-FFF2-40B4-BE49-F238E27FC236}">
                  <a16:creationId xmlns:a16="http://schemas.microsoft.com/office/drawing/2014/main" id="{1A22B33E-1CD9-DF86-531E-9E280DD9F70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13" name="Retângulo: Cantos Superiores Arredondados 12">
              <a:extLst>
                <a:ext uri="{FF2B5EF4-FFF2-40B4-BE49-F238E27FC236}">
                  <a16:creationId xmlns:a16="http://schemas.microsoft.com/office/drawing/2014/main" id="{227745ED-528B-2911-8B6A-C437413DDF48}"/>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Population</a:t>
              </a:r>
            </a:p>
          </xdr:txBody>
        </xdr:sp>
        <xdr:sp macro="" textlink="">
          <xdr:nvSpPr>
            <xdr:cNvPr id="14" name="Retângulo: Cantos Superiores Arredondados 13">
              <a:hlinkClick xmlns:r="http://schemas.openxmlformats.org/officeDocument/2006/relationships" r:id="rId2"/>
              <a:extLst>
                <a:ext uri="{FF2B5EF4-FFF2-40B4-BE49-F238E27FC236}">
                  <a16:creationId xmlns:a16="http://schemas.microsoft.com/office/drawing/2014/main" id="{947C8C03-771A-1531-2D83-ECDE262AC3A7}"/>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11" name="CaixaDeTexto 10">
            <a:extLst>
              <a:ext uri="{FF2B5EF4-FFF2-40B4-BE49-F238E27FC236}">
                <a16:creationId xmlns:a16="http://schemas.microsoft.com/office/drawing/2014/main" id="{C2E797A6-518B-BAC9-A375-636920258342}"/>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 Costs</a:t>
            </a:r>
            <a:endParaRPr lang="pt-BR" sz="1100" i="1" kern="1200">
              <a:solidFill>
                <a:schemeClr val="accent5"/>
              </a:solidFill>
            </a:endParaRPr>
          </a:p>
        </xdr:txBody>
      </xdr:sp>
    </xdr:grpSp>
    <xdr:clientData/>
  </xdr:twoCellAnchor>
  <xdr:twoCellAnchor editAs="absolute">
    <xdr:from>
      <xdr:col>12</xdr:col>
      <xdr:colOff>364694</xdr:colOff>
      <xdr:row>41</xdr:row>
      <xdr:rowOff>97819</xdr:rowOff>
    </xdr:from>
    <xdr:to>
      <xdr:col>22</xdr:col>
      <xdr:colOff>593554</xdr:colOff>
      <xdr:row>61</xdr:row>
      <xdr:rowOff>155395</xdr:rowOff>
    </xdr:to>
    <xdr:graphicFrame macro="">
      <xdr:nvGraphicFramePr>
        <xdr:cNvPr id="18" name="Gráfico 17">
          <a:extLst>
            <a:ext uri="{FF2B5EF4-FFF2-40B4-BE49-F238E27FC236}">
              <a16:creationId xmlns:a16="http://schemas.microsoft.com/office/drawing/2014/main" id="{1C2CB44D-D597-4A9C-A90D-92F9632BDE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11</xdr:col>
      <xdr:colOff>168120</xdr:colOff>
      <xdr:row>71</xdr:row>
      <xdr:rowOff>20108</xdr:rowOff>
    </xdr:from>
    <xdr:to>
      <xdr:col>19</xdr:col>
      <xdr:colOff>321286</xdr:colOff>
      <xdr:row>90</xdr:row>
      <xdr:rowOff>41909</xdr:rowOff>
    </xdr:to>
    <mc:AlternateContent xmlns:mc="http://schemas.openxmlformats.org/markup-compatibility/2006">
      <mc:Choice xmlns:cx2="http://schemas.microsoft.com/office/drawing/2015/10/21/chartex" Requires="cx2">
        <xdr:graphicFrame macro="">
          <xdr:nvGraphicFramePr>
            <xdr:cNvPr id="20" name="Gráfico 19">
              <a:extLst>
                <a:ext uri="{FF2B5EF4-FFF2-40B4-BE49-F238E27FC236}">
                  <a16:creationId xmlns:a16="http://schemas.microsoft.com/office/drawing/2014/main" id="{88A03DC0-B8D2-62FC-3F11-722A710B074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10801830" y="13770398"/>
              <a:ext cx="5582416" cy="3530811"/>
            </a:xfrm>
            <a:prstGeom prst="rect">
              <a:avLst/>
            </a:prstGeom>
            <a:solidFill>
              <a:prstClr val="white"/>
            </a:solidFill>
            <a:ln w="1">
              <a:solidFill>
                <a:prstClr val="green"/>
              </a:solidFill>
            </a:ln>
          </xdr:spPr>
          <xdr:txBody>
            <a:bodyPr vertOverflow="clip" horzOverflow="clip"/>
            <a:lstStyle/>
            <a:p>
              <a:r>
                <a:rPr lang="pt-BR" sz="1100"/>
                <a:t>Este gráfico não está disponível na sua versão de Excel.
Editar esta forma ou salvar esta pasta de trabalho em um formato de arquivo diferente quebrará o gráfico permanentemente.</a:t>
              </a:r>
            </a:p>
          </xdr:txBody>
        </xdr:sp>
      </mc:Fallback>
    </mc:AlternateContent>
    <xdr:clientData/>
  </xdr:twoCellAnchor>
  <xdr:twoCellAnchor editAs="absolute">
    <xdr:from>
      <xdr:col>7</xdr:col>
      <xdr:colOff>589044</xdr:colOff>
      <xdr:row>33</xdr:row>
      <xdr:rowOff>20773</xdr:rowOff>
    </xdr:from>
    <xdr:to>
      <xdr:col>11</xdr:col>
      <xdr:colOff>282760</xdr:colOff>
      <xdr:row>39</xdr:row>
      <xdr:rowOff>135515</xdr:rowOff>
    </xdr:to>
    <xdr:grpSp>
      <xdr:nvGrpSpPr>
        <xdr:cNvPr id="7" name="Agrupar 6">
          <a:extLst>
            <a:ext uri="{FF2B5EF4-FFF2-40B4-BE49-F238E27FC236}">
              <a16:creationId xmlns:a16="http://schemas.microsoft.com/office/drawing/2014/main" id="{81D46F9D-C741-2619-DA5D-2E8974A01D1D}"/>
            </a:ext>
          </a:extLst>
        </xdr:cNvPr>
        <xdr:cNvGrpSpPr/>
      </xdr:nvGrpSpPr>
      <xdr:grpSpPr>
        <a:xfrm>
          <a:off x="7488954" y="6855913"/>
          <a:ext cx="3427516" cy="1200592"/>
          <a:chOff x="12172950" y="6048380"/>
          <a:chExt cx="3457579" cy="1161471"/>
        </a:xfrm>
      </xdr:grpSpPr>
      <xdr:sp macro="" textlink="">
        <xdr:nvSpPr>
          <xdr:cNvPr id="21" name="CaixaDeTexto 20">
            <a:extLst>
              <a:ext uri="{FF2B5EF4-FFF2-40B4-BE49-F238E27FC236}">
                <a16:creationId xmlns:a16="http://schemas.microsoft.com/office/drawing/2014/main" id="{8984171D-36AB-372D-3B04-01C5B5068988}"/>
              </a:ext>
            </a:extLst>
          </xdr:cNvPr>
          <xdr:cNvSpPr txBox="1"/>
        </xdr:nvSpPr>
        <xdr:spPr>
          <a:xfrm>
            <a:off x="12172950" y="6048380"/>
            <a:ext cx="3457579" cy="11614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2" name="CaixaDeTexto 21">
            <a:extLst>
              <a:ext uri="{FF2B5EF4-FFF2-40B4-BE49-F238E27FC236}">
                <a16:creationId xmlns:a16="http://schemas.microsoft.com/office/drawing/2014/main" id="{87E00D1A-B7F1-0FAC-E5BC-D1618B259FD5}"/>
              </a:ext>
            </a:extLst>
          </xdr:cNvPr>
          <xdr:cNvSpPr txBox="1"/>
        </xdr:nvSpPr>
        <xdr:spPr>
          <a:xfrm>
            <a:off x="12220576" y="6511573"/>
            <a:ext cx="3409950" cy="6885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To adjust the charts, click on the chart, click on the top menu "Chart Design" and then click on "Select Data". Make sure that the "Measured Demand" icon is selecting only the fields in the table where there is data (reported period).</a:t>
            </a:r>
          </a:p>
        </xdr:txBody>
      </xdr:sp>
      <xdr:sp macro="" textlink="">
        <xdr:nvSpPr>
          <xdr:cNvPr id="23" name="CaixaDeTexto 22">
            <a:extLst>
              <a:ext uri="{FF2B5EF4-FFF2-40B4-BE49-F238E27FC236}">
                <a16:creationId xmlns:a16="http://schemas.microsoft.com/office/drawing/2014/main" id="{DD0A5F87-32DF-156B-F7D9-E61DF0BB64CA}"/>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19" name="InfoBox1" descr="Information with solid fill">
            <a:extLst>
              <a:ext uri="{FF2B5EF4-FFF2-40B4-BE49-F238E27FC236}">
                <a16:creationId xmlns:a16="http://schemas.microsoft.com/office/drawing/2014/main" id="{2198E151-CCB4-6400-32D9-545733223B61}"/>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334875" y="6096000"/>
            <a:ext cx="371474" cy="351558"/>
          </a:xfrm>
          <a:prstGeom prst="rect">
            <a:avLst/>
          </a:prstGeom>
        </xdr:spPr>
      </xdr:pic>
    </xdr:grpSp>
    <xdr:clientData/>
  </xdr:twoCellAnchor>
  <xdr:twoCellAnchor>
    <xdr:from>
      <xdr:col>8</xdr:col>
      <xdr:colOff>419100</xdr:colOff>
      <xdr:row>22</xdr:row>
      <xdr:rowOff>187568</xdr:rowOff>
    </xdr:from>
    <xdr:to>
      <xdr:col>12</xdr:col>
      <xdr:colOff>214924</xdr:colOff>
      <xdr:row>27</xdr:row>
      <xdr:rowOff>204497</xdr:rowOff>
    </xdr:to>
    <xdr:grpSp>
      <xdr:nvGrpSpPr>
        <xdr:cNvPr id="8" name="Agrupar 7">
          <a:extLst>
            <a:ext uri="{FF2B5EF4-FFF2-40B4-BE49-F238E27FC236}">
              <a16:creationId xmlns:a16="http://schemas.microsoft.com/office/drawing/2014/main" id="{193167D0-94E8-4666-BC2A-CD3BB27F24D9}"/>
            </a:ext>
          </a:extLst>
        </xdr:cNvPr>
        <xdr:cNvGrpSpPr/>
      </xdr:nvGrpSpPr>
      <xdr:grpSpPr>
        <a:xfrm>
          <a:off x="8248650" y="4521443"/>
          <a:ext cx="3525814" cy="1230414"/>
          <a:chOff x="12172950" y="6048381"/>
          <a:chExt cx="3457579" cy="1223947"/>
        </a:xfrm>
      </xdr:grpSpPr>
      <xdr:sp macro="" textlink="">
        <xdr:nvSpPr>
          <xdr:cNvPr id="24" name="CaixaDeTexto 23">
            <a:extLst>
              <a:ext uri="{FF2B5EF4-FFF2-40B4-BE49-F238E27FC236}">
                <a16:creationId xmlns:a16="http://schemas.microsoft.com/office/drawing/2014/main" id="{82F180F2-C647-0A6A-91A5-289ECFF344FB}"/>
              </a:ext>
            </a:extLst>
          </xdr:cNvPr>
          <xdr:cNvSpPr txBox="1"/>
        </xdr:nvSpPr>
        <xdr:spPr>
          <a:xfrm>
            <a:off x="12172950" y="6048381"/>
            <a:ext cx="3457579" cy="1214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CaixaDeTexto 24">
            <a:extLst>
              <a:ext uri="{FF2B5EF4-FFF2-40B4-BE49-F238E27FC236}">
                <a16:creationId xmlns:a16="http://schemas.microsoft.com/office/drawing/2014/main" id="{BE6E909F-4C3B-7CA9-E73A-A637D8B2E63F}"/>
              </a:ext>
            </a:extLst>
          </xdr:cNvPr>
          <xdr:cNvSpPr txBox="1"/>
        </xdr:nvSpPr>
        <xdr:spPr>
          <a:xfrm>
            <a:off x="12220576" y="6511571"/>
            <a:ext cx="3409950" cy="7607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This section can be used to report prevalence in year 1 and incidence in subsequent years. In this case, select "Yes, it represents incidence" in the previous question about "Does the eligible population relate to the number of new cases?"</a:t>
            </a:r>
          </a:p>
        </xdr:txBody>
      </xdr:sp>
      <xdr:sp macro="" textlink="">
        <xdr:nvSpPr>
          <xdr:cNvPr id="26" name="CaixaDeTexto 25">
            <a:extLst>
              <a:ext uri="{FF2B5EF4-FFF2-40B4-BE49-F238E27FC236}">
                <a16:creationId xmlns:a16="http://schemas.microsoft.com/office/drawing/2014/main" id="{02EBDCCB-8A81-B767-4758-BB907B7640F8}"/>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27" name="InfoBox1" descr="Information with solid fill">
            <a:extLst>
              <a:ext uri="{FF2B5EF4-FFF2-40B4-BE49-F238E27FC236}">
                <a16:creationId xmlns:a16="http://schemas.microsoft.com/office/drawing/2014/main" id="{F8A57388-DDAC-A904-1A93-41E3396CBBBA}"/>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2334875" y="6096000"/>
            <a:ext cx="371474" cy="351558"/>
          </a:xfrm>
          <a:prstGeom prst="rect">
            <a:avLst/>
          </a:prstGeom>
        </xdr:spPr>
      </xdr:pic>
    </xdr:grpSp>
    <xdr:clientData/>
  </xdr:twoCellAnchor>
  <xdr:twoCellAnchor editAs="absolute">
    <xdr:from>
      <xdr:col>9</xdr:col>
      <xdr:colOff>364050</xdr:colOff>
      <xdr:row>13</xdr:row>
      <xdr:rowOff>96050</xdr:rowOff>
    </xdr:from>
    <xdr:to>
      <xdr:col>14</xdr:col>
      <xdr:colOff>188766</xdr:colOff>
      <xdr:row>16</xdr:row>
      <xdr:rowOff>58240</xdr:rowOff>
    </xdr:to>
    <xdr:grpSp>
      <xdr:nvGrpSpPr>
        <xdr:cNvPr id="2" name="Agrupar 1">
          <a:extLst>
            <a:ext uri="{FF2B5EF4-FFF2-40B4-BE49-F238E27FC236}">
              <a16:creationId xmlns:a16="http://schemas.microsoft.com/office/drawing/2014/main" id="{51D4899B-31DF-ED40-A71C-923B9126DB9F}"/>
            </a:ext>
          </a:extLst>
        </xdr:cNvPr>
        <xdr:cNvGrpSpPr/>
      </xdr:nvGrpSpPr>
      <xdr:grpSpPr>
        <a:xfrm>
          <a:off x="9123240" y="2654465"/>
          <a:ext cx="3467076" cy="647990"/>
          <a:chOff x="7333755" y="8620379"/>
          <a:chExt cx="1403654" cy="663031"/>
        </a:xfrm>
      </xdr:grpSpPr>
      <xdr:sp macro="" textlink="">
        <xdr:nvSpPr>
          <xdr:cNvPr id="3" name="CaixaDeTexto 2">
            <a:extLst>
              <a:ext uri="{FF2B5EF4-FFF2-40B4-BE49-F238E27FC236}">
                <a16:creationId xmlns:a16="http://schemas.microsoft.com/office/drawing/2014/main" id="{C4C78BE8-0273-0BEC-E55F-CF9BB6507607}"/>
              </a:ext>
            </a:extLst>
          </xdr:cNvPr>
          <xdr:cNvSpPr txBox="1"/>
        </xdr:nvSpPr>
        <xdr:spPr>
          <a:xfrm>
            <a:off x="7333755" y="8643784"/>
            <a:ext cx="1377780" cy="5952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4" name="CaixaDeTexto 3">
            <a:extLst>
              <a:ext uri="{FF2B5EF4-FFF2-40B4-BE49-F238E27FC236}">
                <a16:creationId xmlns:a16="http://schemas.microsoft.com/office/drawing/2014/main" id="{138E367B-1BB9-F503-2C98-D5D4550203EE}"/>
              </a:ext>
            </a:extLst>
          </xdr:cNvPr>
          <xdr:cNvSpPr txBox="1"/>
        </xdr:nvSpPr>
        <xdr:spPr>
          <a:xfrm>
            <a:off x="7338732" y="8821884"/>
            <a:ext cx="1361713" cy="461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kern="1200"/>
              <a:t>Do not erase </a:t>
            </a:r>
            <a:r>
              <a:rPr lang="pt-BR" sz="1000" b="0" kern="1200"/>
              <a:t>any text, numbers or formulas written on the white background.</a:t>
            </a:r>
          </a:p>
        </xdr:txBody>
      </xdr:sp>
      <xdr:sp macro="" textlink="">
        <xdr:nvSpPr>
          <xdr:cNvPr id="5" name="CaixaDeTexto 4">
            <a:extLst>
              <a:ext uri="{FF2B5EF4-FFF2-40B4-BE49-F238E27FC236}">
                <a16:creationId xmlns:a16="http://schemas.microsoft.com/office/drawing/2014/main" id="{570C40B1-9C7A-781B-369B-75BC937005C2}"/>
              </a:ext>
            </a:extLst>
          </xdr:cNvPr>
          <xdr:cNvSpPr txBox="1"/>
        </xdr:nvSpPr>
        <xdr:spPr>
          <a:xfrm>
            <a:off x="7343295" y="8620379"/>
            <a:ext cx="1394114" cy="1970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editAs="absolute">
    <xdr:from>
      <xdr:col>9</xdr:col>
      <xdr:colOff>359858</xdr:colOff>
      <xdr:row>3</xdr:row>
      <xdr:rowOff>153182</xdr:rowOff>
    </xdr:from>
    <xdr:to>
      <xdr:col>14</xdr:col>
      <xdr:colOff>98217</xdr:colOff>
      <xdr:row>12</xdr:row>
      <xdr:rowOff>112388</xdr:rowOff>
    </xdr:to>
    <xdr:grpSp>
      <xdr:nvGrpSpPr>
        <xdr:cNvPr id="6" name="Agrupar 5">
          <a:extLst>
            <a:ext uri="{FF2B5EF4-FFF2-40B4-BE49-F238E27FC236}">
              <a16:creationId xmlns:a16="http://schemas.microsoft.com/office/drawing/2014/main" id="{2EB342B3-2C38-7C4B-9EE9-E4EF4340AA04}"/>
            </a:ext>
          </a:extLst>
        </xdr:cNvPr>
        <xdr:cNvGrpSpPr/>
      </xdr:nvGrpSpPr>
      <xdr:grpSpPr>
        <a:xfrm>
          <a:off x="9126668" y="829457"/>
          <a:ext cx="3369289" cy="1664181"/>
          <a:chOff x="7244198" y="8503227"/>
          <a:chExt cx="1845115" cy="1168977"/>
        </a:xfrm>
      </xdr:grpSpPr>
      <xdr:sp macro="" textlink="">
        <xdr:nvSpPr>
          <xdr:cNvPr id="15" name="CaixaDeTexto 14">
            <a:extLst>
              <a:ext uri="{FF2B5EF4-FFF2-40B4-BE49-F238E27FC236}">
                <a16:creationId xmlns:a16="http://schemas.microsoft.com/office/drawing/2014/main" id="{3D93B481-AFF5-ADFD-2CEC-DB4953E74AD3}"/>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16" name="Retângulo 15">
            <a:extLst>
              <a:ext uri="{FF2B5EF4-FFF2-40B4-BE49-F238E27FC236}">
                <a16:creationId xmlns:a16="http://schemas.microsoft.com/office/drawing/2014/main" id="{0B9320E7-E68E-B4AF-1854-2BA4BD3A623F}"/>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17" name="Retângulo 16">
            <a:extLst>
              <a:ext uri="{FF2B5EF4-FFF2-40B4-BE49-F238E27FC236}">
                <a16:creationId xmlns:a16="http://schemas.microsoft.com/office/drawing/2014/main" id="{09AE459B-08E5-A26D-F1DA-09D922559C53}"/>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8" name="CaixaDeTexto 27">
            <a:extLst>
              <a:ext uri="{FF2B5EF4-FFF2-40B4-BE49-F238E27FC236}">
                <a16:creationId xmlns:a16="http://schemas.microsoft.com/office/drawing/2014/main" id="{7EE4C994-490F-5E29-B049-7D3607A5A90C}"/>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29" name="CaixaDeTexto 28">
            <a:extLst>
              <a:ext uri="{FF2B5EF4-FFF2-40B4-BE49-F238E27FC236}">
                <a16:creationId xmlns:a16="http://schemas.microsoft.com/office/drawing/2014/main" id="{EDBC0246-A0D1-09B8-6533-B95903C4B4D8}"/>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0" name="CaixaDeTexto 29">
            <a:extLst>
              <a:ext uri="{FF2B5EF4-FFF2-40B4-BE49-F238E27FC236}">
                <a16:creationId xmlns:a16="http://schemas.microsoft.com/office/drawing/2014/main" id="{D0435128-E1F7-353A-F552-916238DDC7AA}"/>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20108</xdr:rowOff>
    </xdr:from>
    <xdr:to>
      <xdr:col>4</xdr:col>
      <xdr:colOff>219074</xdr:colOff>
      <xdr:row>3</xdr:row>
      <xdr:rowOff>58208</xdr:rowOff>
    </xdr:to>
    <xdr:grpSp>
      <xdr:nvGrpSpPr>
        <xdr:cNvPr id="3" name="Agrupar 2">
          <a:extLst>
            <a:ext uri="{FF2B5EF4-FFF2-40B4-BE49-F238E27FC236}">
              <a16:creationId xmlns:a16="http://schemas.microsoft.com/office/drawing/2014/main" id="{1C6047E5-58EB-4ACA-9D17-0242E1680360}"/>
            </a:ext>
          </a:extLst>
        </xdr:cNvPr>
        <xdr:cNvGrpSpPr/>
      </xdr:nvGrpSpPr>
      <xdr:grpSpPr>
        <a:xfrm>
          <a:off x="371475" y="444923"/>
          <a:ext cx="4036694" cy="285750"/>
          <a:chOff x="390525" y="437284"/>
          <a:chExt cx="4552949" cy="304800"/>
        </a:xfrm>
      </xdr:grpSpPr>
      <xdr:grpSp>
        <xdr:nvGrpSpPr>
          <xdr:cNvPr id="5" name="Agrupar 4">
            <a:extLst>
              <a:ext uri="{FF2B5EF4-FFF2-40B4-BE49-F238E27FC236}">
                <a16:creationId xmlns:a16="http://schemas.microsoft.com/office/drawing/2014/main" id="{9EA5E324-DA70-CBF8-7DB1-15F3C9F6EBCB}"/>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104AD42B-8F35-0632-D14F-B97B600843B2}"/>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11CBF60D-6C04-D0E2-440B-BC2EF39F2001}"/>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Costs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7F235F0D-FBB8-F96E-8F64-1A48F0F8E9F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98F87F0D-6892-76C8-8062-E8B397F265C0}"/>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Time on treatment</a:t>
            </a:r>
            <a:endParaRPr lang="pt-BR" sz="1100" i="1" kern="1200">
              <a:solidFill>
                <a:schemeClr val="accent5"/>
              </a:solidFill>
            </a:endParaRPr>
          </a:p>
        </xdr:txBody>
      </xdr:sp>
    </xdr:grpSp>
    <xdr:clientData/>
  </xdr:twoCellAnchor>
  <xdr:twoCellAnchor>
    <xdr:from>
      <xdr:col>0</xdr:col>
      <xdr:colOff>412750</xdr:colOff>
      <xdr:row>5</xdr:row>
      <xdr:rowOff>19051</xdr:rowOff>
    </xdr:from>
    <xdr:to>
      <xdr:col>7</xdr:col>
      <xdr:colOff>825500</xdr:colOff>
      <xdr:row>14</xdr:row>
      <xdr:rowOff>133350</xdr:rowOff>
    </xdr:to>
    <xdr:graphicFrame macro="">
      <xdr:nvGraphicFramePr>
        <xdr:cNvPr id="17" name="Diagrama 16">
          <a:extLst>
            <a:ext uri="{FF2B5EF4-FFF2-40B4-BE49-F238E27FC236}">
              <a16:creationId xmlns:a16="http://schemas.microsoft.com/office/drawing/2014/main" id="{3A21424A-E939-AB39-F099-5C36272B756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 r:lo="rId4" r:qs="rId5" r:cs="rId6"/>
        </a:graphicData>
      </a:graphic>
    </xdr:graphicFrame>
    <xdr:clientData/>
  </xdr:twoCellAnchor>
  <xdr:twoCellAnchor>
    <xdr:from>
      <xdr:col>1</xdr:col>
      <xdr:colOff>1270</xdr:colOff>
      <xdr:row>17</xdr:row>
      <xdr:rowOff>85722</xdr:rowOff>
    </xdr:from>
    <xdr:to>
      <xdr:col>8</xdr:col>
      <xdr:colOff>1047750</xdr:colOff>
      <xdr:row>24</xdr:row>
      <xdr:rowOff>91439</xdr:rowOff>
    </xdr:to>
    <xdr:grpSp>
      <xdr:nvGrpSpPr>
        <xdr:cNvPr id="18" name="Agrupar 17">
          <a:extLst>
            <a:ext uri="{FF2B5EF4-FFF2-40B4-BE49-F238E27FC236}">
              <a16:creationId xmlns:a16="http://schemas.microsoft.com/office/drawing/2014/main" id="{28293372-9FB7-475A-AF9E-DCD4115703B4}"/>
            </a:ext>
          </a:extLst>
        </xdr:cNvPr>
        <xdr:cNvGrpSpPr/>
      </xdr:nvGrpSpPr>
      <xdr:grpSpPr>
        <a:xfrm>
          <a:off x="372745" y="3345177"/>
          <a:ext cx="9700895" cy="1274447"/>
          <a:chOff x="12172950" y="6048380"/>
          <a:chExt cx="11639550" cy="1341336"/>
        </a:xfrm>
      </xdr:grpSpPr>
      <xdr:sp macro="" textlink="">
        <xdr:nvSpPr>
          <xdr:cNvPr id="19" name="CaixaDeTexto 18">
            <a:extLst>
              <a:ext uri="{FF2B5EF4-FFF2-40B4-BE49-F238E27FC236}">
                <a16:creationId xmlns:a16="http://schemas.microsoft.com/office/drawing/2014/main" id="{2CF238AF-380E-D41F-B909-EC9B891D2209}"/>
              </a:ext>
            </a:extLst>
          </xdr:cNvPr>
          <xdr:cNvSpPr txBox="1"/>
        </xdr:nvSpPr>
        <xdr:spPr>
          <a:xfrm>
            <a:off x="12172950" y="6048380"/>
            <a:ext cx="11525249" cy="13413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0" name="CaixaDeTexto 19">
            <a:extLst>
              <a:ext uri="{FF2B5EF4-FFF2-40B4-BE49-F238E27FC236}">
                <a16:creationId xmlns:a16="http://schemas.microsoft.com/office/drawing/2014/main" id="{A634BD2E-5D0D-D5F2-1528-F478EDEB4D32}"/>
              </a:ext>
            </a:extLst>
          </xdr:cNvPr>
          <xdr:cNvSpPr txBox="1"/>
        </xdr:nvSpPr>
        <xdr:spPr>
          <a:xfrm>
            <a:off x="12220576" y="6417736"/>
            <a:ext cx="11591924" cy="9401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In this section, the costs of the assessed treatments will be reported. Ideally, treatment costs should be calculated using Section 6.1 below.</a:t>
            </a:r>
            <a:br>
              <a:rPr lang="pt-BR" sz="1000" kern="1200"/>
            </a:br>
            <a:r>
              <a:rPr lang="pt-BR" sz="1000" kern="1200"/>
              <a:t>It is important to distinguish between costs that are ongoing (e.g., chronic treatment, recurrent therapy, or maintenance therapy) and those that occur only once at the start of the model (e.g., induction therapy).</a:t>
            </a:r>
            <a:br>
              <a:rPr lang="pt-BR" sz="1000" kern="1200"/>
            </a:br>
            <a:r>
              <a:rPr lang="pt-BR" sz="1000" kern="1200"/>
              <a:t>It is also possible to estimate costs that will be incurred only after treatment discontinuation (e.g., costs related to disease progression in oncology therapies).</a:t>
            </a:r>
            <a:br>
              <a:rPr lang="pt-BR" sz="1000" kern="1200"/>
            </a:br>
            <a:r>
              <a:rPr lang="pt-BR" sz="1000" kern="1200"/>
              <a:t>If it is not feasible to use Section 6.1 to estimate costs, use Section 6.2 at the bottom of this page to input the total annual cost per treatment.</a:t>
            </a:r>
          </a:p>
        </xdr:txBody>
      </xdr:sp>
      <xdr:sp macro="" textlink="">
        <xdr:nvSpPr>
          <xdr:cNvPr id="21" name="CaixaDeTexto 20">
            <a:extLst>
              <a:ext uri="{FF2B5EF4-FFF2-40B4-BE49-F238E27FC236}">
                <a16:creationId xmlns:a16="http://schemas.microsoft.com/office/drawing/2014/main" id="{85D77D43-B560-3528-C0FA-E4429DA670BB}"/>
              </a:ext>
            </a:extLst>
          </xdr:cNvPr>
          <xdr:cNvSpPr txBox="1"/>
        </xdr:nvSpPr>
        <xdr:spPr>
          <a:xfrm>
            <a:off x="12782549" y="6206411"/>
            <a:ext cx="1696431" cy="3242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Instructions</a:t>
            </a:r>
          </a:p>
        </xdr:txBody>
      </xdr:sp>
      <xdr:pic>
        <xdr:nvPicPr>
          <xdr:cNvPr id="22" name="InfoBox1" descr="Information with solid fill">
            <a:extLst>
              <a:ext uri="{FF2B5EF4-FFF2-40B4-BE49-F238E27FC236}">
                <a16:creationId xmlns:a16="http://schemas.microsoft.com/office/drawing/2014/main" id="{61B887AD-E610-B866-506B-7D6628DEA720}"/>
              </a:ext>
            </a:extLst>
          </xdr:cNvPr>
          <xdr:cNvPicPr>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334875" y="6096000"/>
            <a:ext cx="371474" cy="351558"/>
          </a:xfrm>
          <a:prstGeom prst="rect">
            <a:avLst/>
          </a:prstGeom>
        </xdr:spPr>
      </xdr:pic>
    </xdr:grpSp>
    <xdr:clientData/>
  </xdr:twoCellAnchor>
  <xdr:twoCellAnchor editAs="absolute">
    <xdr:from>
      <xdr:col>8</xdr:col>
      <xdr:colOff>1009952</xdr:colOff>
      <xdr:row>5</xdr:row>
      <xdr:rowOff>57574</xdr:rowOff>
    </xdr:from>
    <xdr:to>
      <xdr:col>13</xdr:col>
      <xdr:colOff>1687</xdr:colOff>
      <xdr:row>12</xdr:row>
      <xdr:rowOff>60537</xdr:rowOff>
    </xdr:to>
    <xdr:grpSp>
      <xdr:nvGrpSpPr>
        <xdr:cNvPr id="23" name="Agrupar 22">
          <a:extLst>
            <a:ext uri="{FF2B5EF4-FFF2-40B4-BE49-F238E27FC236}">
              <a16:creationId xmlns:a16="http://schemas.microsoft.com/office/drawing/2014/main" id="{1DA62542-CB00-8D45-89DF-8B7EF946CE90}"/>
            </a:ext>
          </a:extLst>
        </xdr:cNvPr>
        <xdr:cNvGrpSpPr/>
      </xdr:nvGrpSpPr>
      <xdr:grpSpPr>
        <a:xfrm>
          <a:off x="10035842" y="1091989"/>
          <a:ext cx="3491345" cy="1269788"/>
          <a:chOff x="7244198" y="8503227"/>
          <a:chExt cx="1845115" cy="1168977"/>
        </a:xfrm>
      </xdr:grpSpPr>
      <xdr:sp macro="" textlink="">
        <xdr:nvSpPr>
          <xdr:cNvPr id="24" name="CaixaDeTexto 23">
            <a:extLst>
              <a:ext uri="{FF2B5EF4-FFF2-40B4-BE49-F238E27FC236}">
                <a16:creationId xmlns:a16="http://schemas.microsoft.com/office/drawing/2014/main" id="{9E5A6237-C67D-3C1C-38F0-53E2CF2DE2CA}"/>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5" name="Retângulo 24">
            <a:extLst>
              <a:ext uri="{FF2B5EF4-FFF2-40B4-BE49-F238E27FC236}">
                <a16:creationId xmlns:a16="http://schemas.microsoft.com/office/drawing/2014/main" id="{A9771E9E-D841-8824-8134-9BDBA16B5C23}"/>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6" name="Retângulo 25">
            <a:extLst>
              <a:ext uri="{FF2B5EF4-FFF2-40B4-BE49-F238E27FC236}">
                <a16:creationId xmlns:a16="http://schemas.microsoft.com/office/drawing/2014/main" id="{C4A08BFE-3730-2C03-DF99-7F74644DB439}"/>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27" name="CaixaDeTexto 26">
            <a:extLst>
              <a:ext uri="{FF2B5EF4-FFF2-40B4-BE49-F238E27FC236}">
                <a16:creationId xmlns:a16="http://schemas.microsoft.com/office/drawing/2014/main" id="{C5456027-74AE-AAD1-2213-3EA32991A857}"/>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28" name="CaixaDeTexto 27">
            <a:extLst>
              <a:ext uri="{FF2B5EF4-FFF2-40B4-BE49-F238E27FC236}">
                <a16:creationId xmlns:a16="http://schemas.microsoft.com/office/drawing/2014/main" id="{86EA3B3E-843C-EC0C-E370-FA08688ADB6E}"/>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29" name="CaixaDeTexto 28">
            <a:extLst>
              <a:ext uri="{FF2B5EF4-FFF2-40B4-BE49-F238E27FC236}">
                <a16:creationId xmlns:a16="http://schemas.microsoft.com/office/drawing/2014/main" id="{BC018347-9732-34BE-128F-B63FE6177BA8}"/>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0</xdr:row>
      <xdr:rowOff>419100</xdr:rowOff>
    </xdr:from>
    <xdr:to>
      <xdr:col>4</xdr:col>
      <xdr:colOff>219074</xdr:colOff>
      <xdr:row>3</xdr:row>
      <xdr:rowOff>28575</xdr:rowOff>
    </xdr:to>
    <xdr:grpSp>
      <xdr:nvGrpSpPr>
        <xdr:cNvPr id="2" name="Agrupar 1">
          <a:extLst>
            <a:ext uri="{FF2B5EF4-FFF2-40B4-BE49-F238E27FC236}">
              <a16:creationId xmlns:a16="http://schemas.microsoft.com/office/drawing/2014/main" id="{9DF5DE3F-A819-4C96-B324-756719C99586}"/>
            </a:ext>
          </a:extLst>
        </xdr:cNvPr>
        <xdr:cNvGrpSpPr/>
      </xdr:nvGrpSpPr>
      <xdr:grpSpPr>
        <a:xfrm>
          <a:off x="295275" y="419100"/>
          <a:ext cx="3865244" cy="321945"/>
          <a:chOff x="390525" y="437284"/>
          <a:chExt cx="4552949" cy="304800"/>
        </a:xfrm>
      </xdr:grpSpPr>
      <xdr:grpSp>
        <xdr:nvGrpSpPr>
          <xdr:cNvPr id="4" name="Agrupar 3">
            <a:extLst>
              <a:ext uri="{FF2B5EF4-FFF2-40B4-BE49-F238E27FC236}">
                <a16:creationId xmlns:a16="http://schemas.microsoft.com/office/drawing/2014/main" id="{3E649EAA-3EF4-A01C-B3AE-CE8D23D21EFE}"/>
              </a:ext>
            </a:extLst>
          </xdr:cNvPr>
          <xdr:cNvGrpSpPr/>
        </xdr:nvGrpSpPr>
        <xdr:grpSpPr>
          <a:xfrm>
            <a:off x="390525" y="437284"/>
            <a:ext cx="2409824" cy="232929"/>
            <a:chOff x="386197" y="438151"/>
            <a:chExt cx="2410690" cy="237258"/>
          </a:xfrm>
        </xdr:grpSpPr>
        <xdr:sp macro="[0]!ocultar_marketshare" textlink="">
          <xdr:nvSpPr>
            <xdr:cNvPr id="6" name="Retângulo: Cantos Superiores Arredondados 5">
              <a:hlinkClick xmlns:r="http://schemas.openxmlformats.org/officeDocument/2006/relationships" r:id="rId1"/>
              <a:extLst>
                <a:ext uri="{FF2B5EF4-FFF2-40B4-BE49-F238E27FC236}">
                  <a16:creationId xmlns:a16="http://schemas.microsoft.com/office/drawing/2014/main" id="{5E3362F2-A626-9337-21EB-4E7EB29B6724}"/>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7" name="Retângulo: Cantos Superiores Arredondados 6">
              <a:extLst>
                <a:ext uri="{FF2B5EF4-FFF2-40B4-BE49-F238E27FC236}">
                  <a16:creationId xmlns:a16="http://schemas.microsoft.com/office/drawing/2014/main" id="{437568F9-962E-F0D9-7CE3-16E67D83F159}"/>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Time on treatment</a:t>
              </a:r>
            </a:p>
          </xdr:txBody>
        </xdr:sp>
        <xdr:sp macro="" textlink="">
          <xdr:nvSpPr>
            <xdr:cNvPr id="8" name="Retângulo: Cantos Superiores Arredondados 7">
              <a:hlinkClick xmlns:r="http://schemas.openxmlformats.org/officeDocument/2006/relationships" r:id="rId2"/>
              <a:extLst>
                <a:ext uri="{FF2B5EF4-FFF2-40B4-BE49-F238E27FC236}">
                  <a16:creationId xmlns:a16="http://schemas.microsoft.com/office/drawing/2014/main" id="{DC735040-C6F0-240D-09C8-D21E7DCCEFFB}"/>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5" name="CaixaDeTexto 4">
            <a:extLst>
              <a:ext uri="{FF2B5EF4-FFF2-40B4-BE49-F238E27FC236}">
                <a16:creationId xmlns:a16="http://schemas.microsoft.com/office/drawing/2014/main" id="{B386A4DE-65B3-4597-60D0-C0BEC824B413}"/>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Results</a:t>
            </a:r>
          </a:p>
        </xdr:txBody>
      </xdr:sp>
    </xdr:grpSp>
    <xdr:clientData/>
  </xdr:twoCellAnchor>
  <xdr:twoCellAnchor>
    <xdr:from>
      <xdr:col>8</xdr:col>
      <xdr:colOff>883073</xdr:colOff>
      <xdr:row>57</xdr:row>
      <xdr:rowOff>162137</xdr:rowOff>
    </xdr:from>
    <xdr:to>
      <xdr:col>9</xdr:col>
      <xdr:colOff>504401</xdr:colOff>
      <xdr:row>59</xdr:row>
      <xdr:rowOff>72602</xdr:rowOff>
    </xdr:to>
    <xdr:sp macro="" textlink="">
      <xdr:nvSpPr>
        <xdr:cNvPr id="9" name="Retângulo: Cantos Arredondados 8">
          <a:hlinkClick xmlns:r="http://schemas.openxmlformats.org/officeDocument/2006/relationships" r:id="rId3"/>
          <a:extLst>
            <a:ext uri="{FF2B5EF4-FFF2-40B4-BE49-F238E27FC236}">
              <a16:creationId xmlns:a16="http://schemas.microsoft.com/office/drawing/2014/main" id="{6B07A605-9E07-8DCA-5D3A-30620207D2FC}"/>
            </a:ext>
          </a:extLst>
        </xdr:cNvPr>
        <xdr:cNvSpPr/>
      </xdr:nvSpPr>
      <xdr:spPr>
        <a:xfrm>
          <a:off x="7493423" y="10744412"/>
          <a:ext cx="935778" cy="272415"/>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pt-BR" sz="1100" b="1" kern="1200"/>
            <a:t>Data</a:t>
          </a:r>
        </a:p>
      </xdr:txBody>
    </xdr:sp>
    <xdr:clientData/>
  </xdr:twoCellAnchor>
  <xdr:twoCellAnchor>
    <xdr:from>
      <xdr:col>1</xdr:col>
      <xdr:colOff>257175</xdr:colOff>
      <xdr:row>93</xdr:row>
      <xdr:rowOff>104775</xdr:rowOff>
    </xdr:from>
    <xdr:to>
      <xdr:col>13</xdr:col>
      <xdr:colOff>76200</xdr:colOff>
      <xdr:row>99</xdr:row>
      <xdr:rowOff>76200</xdr:rowOff>
    </xdr:to>
    <xdr:grpSp>
      <xdr:nvGrpSpPr>
        <xdr:cNvPr id="18" name="Agrupar 17">
          <a:extLst>
            <a:ext uri="{FF2B5EF4-FFF2-40B4-BE49-F238E27FC236}">
              <a16:creationId xmlns:a16="http://schemas.microsoft.com/office/drawing/2014/main" id="{84E3BB2A-732D-4CDE-AE24-3DD9AF39C90C}"/>
            </a:ext>
          </a:extLst>
        </xdr:cNvPr>
        <xdr:cNvGrpSpPr/>
      </xdr:nvGrpSpPr>
      <xdr:grpSpPr>
        <a:xfrm>
          <a:off x="550545" y="17266920"/>
          <a:ext cx="10574655" cy="1059180"/>
          <a:chOff x="10067925" y="2743200"/>
          <a:chExt cx="9906000" cy="1114425"/>
        </a:xfrm>
      </xdr:grpSpPr>
      <xdr:grpSp>
        <xdr:nvGrpSpPr>
          <xdr:cNvPr id="19" name="Agrupar 18">
            <a:extLst>
              <a:ext uri="{FF2B5EF4-FFF2-40B4-BE49-F238E27FC236}">
                <a16:creationId xmlns:a16="http://schemas.microsoft.com/office/drawing/2014/main" id="{0DAE3FCC-D2BA-0BF0-3850-3B3DC488EF70}"/>
              </a:ext>
            </a:extLst>
          </xdr:cNvPr>
          <xdr:cNvGrpSpPr/>
        </xdr:nvGrpSpPr>
        <xdr:grpSpPr>
          <a:xfrm>
            <a:off x="10067925" y="2743200"/>
            <a:ext cx="9906000" cy="1114425"/>
            <a:chOff x="7244198" y="8503227"/>
            <a:chExt cx="5360102" cy="1114425"/>
          </a:xfrm>
        </xdr:grpSpPr>
        <xdr:sp macro="" textlink="">
          <xdr:nvSpPr>
            <xdr:cNvPr id="21" name="CaixaDeTexto 20">
              <a:extLst>
                <a:ext uri="{FF2B5EF4-FFF2-40B4-BE49-F238E27FC236}">
                  <a16:creationId xmlns:a16="http://schemas.microsoft.com/office/drawing/2014/main" id="{9674732E-3DF7-902A-E764-98AEBAFE2E44}"/>
                </a:ext>
              </a:extLst>
            </xdr:cNvPr>
            <xdr:cNvSpPr txBox="1"/>
          </xdr:nvSpPr>
          <xdr:spPr>
            <a:xfrm>
              <a:off x="7244198" y="8503227"/>
              <a:ext cx="5360102" cy="1019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2" name="CaixaDeTexto 21">
              <a:extLst>
                <a:ext uri="{FF2B5EF4-FFF2-40B4-BE49-F238E27FC236}">
                  <a16:creationId xmlns:a16="http://schemas.microsoft.com/office/drawing/2014/main" id="{C9DD3A95-D32B-A772-8976-A3B4EE96D700}"/>
                </a:ext>
              </a:extLst>
            </xdr:cNvPr>
            <xdr:cNvSpPr txBox="1"/>
          </xdr:nvSpPr>
          <xdr:spPr>
            <a:xfrm>
              <a:off x="7269968" y="8912801"/>
              <a:ext cx="5282792" cy="7048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b="1"/>
                <a:t>Mortality rate:</a:t>
              </a:r>
              <a:r>
                <a:rPr lang="pt-BR" sz="1000"/>
                <a:t> Proportion of patients who exit the analysis each year due to death. At baseline, the mortality rate is 0%, and in subsequent years it should always be </a:t>
              </a:r>
              <a:r>
                <a:rPr lang="pt-BR" sz="1000" b="1"/>
                <a:t>increasing</a:t>
              </a:r>
              <a:r>
                <a:rPr lang="pt-BR" sz="1000"/>
                <a:t> because it is cumulative.</a:t>
              </a:r>
            </a:p>
            <a:p>
              <a:r>
                <a:rPr lang="pt-BR" sz="1000" b="1"/>
                <a:t>Overall survival:</a:t>
              </a:r>
              <a:r>
                <a:rPr lang="pt-BR" sz="1000"/>
                <a:t> Percentage of patients alive at the end of each period (year). At baseline, overall survival is 100%, and in subsequent years it should always be </a:t>
              </a:r>
              <a:r>
                <a:rPr lang="pt-BR" sz="1000" b="1"/>
                <a:t>decreasing</a:t>
              </a:r>
              <a:r>
                <a:rPr lang="pt-BR" sz="1000"/>
                <a:t>.</a:t>
              </a:r>
            </a:p>
          </xdr:txBody>
        </xdr:sp>
        <xdr:sp macro="" textlink="">
          <xdr:nvSpPr>
            <xdr:cNvPr id="23" name="CaixaDeTexto 22">
              <a:extLst>
                <a:ext uri="{FF2B5EF4-FFF2-40B4-BE49-F238E27FC236}">
                  <a16:creationId xmlns:a16="http://schemas.microsoft.com/office/drawing/2014/main" id="{7DB82325-7421-2D35-DBE3-D542516E80ED}"/>
                </a:ext>
              </a:extLst>
            </xdr:cNvPr>
            <xdr:cNvSpPr txBox="1"/>
          </xdr:nvSpPr>
          <xdr:spPr>
            <a:xfrm>
              <a:off x="7574050" y="8637445"/>
              <a:ext cx="917933" cy="275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Information</a:t>
              </a:r>
            </a:p>
          </xdr:txBody>
        </xdr:sp>
      </xdr:grpSp>
      <xdr:pic>
        <xdr:nvPicPr>
          <xdr:cNvPr id="20" name="InfoBox1" descr="Information with solid fill">
            <a:extLst>
              <a:ext uri="{FF2B5EF4-FFF2-40B4-BE49-F238E27FC236}">
                <a16:creationId xmlns:a16="http://schemas.microsoft.com/office/drawing/2014/main" id="{822E3709-D9A2-1BC4-3BEE-16C2FD26F369}"/>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0229850" y="2790825"/>
            <a:ext cx="371474" cy="351558"/>
          </a:xfrm>
          <a:prstGeom prst="rect">
            <a:avLst/>
          </a:prstGeom>
        </xdr:spPr>
      </xdr:pic>
    </xdr:grpSp>
    <xdr:clientData/>
  </xdr:twoCellAnchor>
  <xdr:twoCellAnchor>
    <xdr:from>
      <xdr:col>1</xdr:col>
      <xdr:colOff>209549</xdr:colOff>
      <xdr:row>43</xdr:row>
      <xdr:rowOff>152400</xdr:rowOff>
    </xdr:from>
    <xdr:to>
      <xdr:col>13</xdr:col>
      <xdr:colOff>47623</xdr:colOff>
      <xdr:row>51</xdr:row>
      <xdr:rowOff>57150</xdr:rowOff>
    </xdr:to>
    <xdr:grpSp>
      <xdr:nvGrpSpPr>
        <xdr:cNvPr id="11" name="Agrupar 10">
          <a:extLst>
            <a:ext uri="{FF2B5EF4-FFF2-40B4-BE49-F238E27FC236}">
              <a16:creationId xmlns:a16="http://schemas.microsoft.com/office/drawing/2014/main" id="{6407FC88-FE72-4467-ADF5-265F77A4CDE3}"/>
            </a:ext>
          </a:extLst>
        </xdr:cNvPr>
        <xdr:cNvGrpSpPr/>
      </xdr:nvGrpSpPr>
      <xdr:grpSpPr>
        <a:xfrm>
          <a:off x="508634" y="8201025"/>
          <a:ext cx="10589894" cy="1348740"/>
          <a:chOff x="10067924" y="2743201"/>
          <a:chExt cx="10872495" cy="904874"/>
        </a:xfrm>
      </xdr:grpSpPr>
      <xdr:grpSp>
        <xdr:nvGrpSpPr>
          <xdr:cNvPr id="24" name="Agrupar 23">
            <a:extLst>
              <a:ext uri="{FF2B5EF4-FFF2-40B4-BE49-F238E27FC236}">
                <a16:creationId xmlns:a16="http://schemas.microsoft.com/office/drawing/2014/main" id="{4043D3FB-1F50-3984-338F-5E114BE3C685}"/>
              </a:ext>
            </a:extLst>
          </xdr:cNvPr>
          <xdr:cNvGrpSpPr/>
        </xdr:nvGrpSpPr>
        <xdr:grpSpPr>
          <a:xfrm>
            <a:off x="10067924" y="2743201"/>
            <a:ext cx="10872495" cy="904874"/>
            <a:chOff x="7244197" y="8503228"/>
            <a:chExt cx="5883069" cy="904874"/>
          </a:xfrm>
        </xdr:grpSpPr>
        <xdr:sp macro="" textlink="">
          <xdr:nvSpPr>
            <xdr:cNvPr id="26" name="CaixaDeTexto 25">
              <a:extLst>
                <a:ext uri="{FF2B5EF4-FFF2-40B4-BE49-F238E27FC236}">
                  <a16:creationId xmlns:a16="http://schemas.microsoft.com/office/drawing/2014/main" id="{7E4B5F10-3E15-4A60-7319-85B24990F844}"/>
                </a:ext>
              </a:extLst>
            </xdr:cNvPr>
            <xdr:cNvSpPr txBox="1"/>
          </xdr:nvSpPr>
          <xdr:spPr>
            <a:xfrm>
              <a:off x="7244197" y="8503228"/>
              <a:ext cx="5883069" cy="8143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27" name="CaixaDeTexto 26">
              <a:extLst>
                <a:ext uri="{FF2B5EF4-FFF2-40B4-BE49-F238E27FC236}">
                  <a16:creationId xmlns:a16="http://schemas.microsoft.com/office/drawing/2014/main" id="{6B2EC83B-C2A3-079F-2EF2-8A67D59DA9A6}"/>
                </a:ext>
              </a:extLst>
            </xdr:cNvPr>
            <xdr:cNvSpPr txBox="1"/>
          </xdr:nvSpPr>
          <xdr:spPr>
            <a:xfrm>
              <a:off x="7269968" y="8822950"/>
              <a:ext cx="5783902" cy="5851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u="sng" kern="1200"/>
                <a:t>Median treatment duration: </a:t>
              </a:r>
              <a:r>
                <a:rPr lang="pt-BR" sz="1000" u="none" kern="1200"/>
                <a:t>This refers to the time point at which 50% of patients have either completed or discontinued treatment (expressed in months).</a:t>
              </a:r>
            </a:p>
            <a:p>
              <a:r>
                <a:rPr lang="pt-BR" sz="1000" u="sng" kern="1200"/>
                <a:t>Treatment discontinuation rates: </a:t>
              </a:r>
              <a:r>
                <a:rPr lang="pt-BR" sz="1000" u="none" kern="1200"/>
                <a:t>These represent the proportion of patients who stop treatment in a given year, whether due to adverse events, lack of efficacy, or other reasons.</a:t>
              </a:r>
            </a:p>
            <a:p>
              <a:r>
                <a:rPr lang="pt-BR" sz="1000" u="sng" kern="1200"/>
                <a:t>Progression-free survival (PFS): </a:t>
              </a:r>
              <a:r>
                <a:rPr lang="pt-BR" sz="1000" u="none" kern="1200"/>
                <a:t>This is the percentage of patients who remain free from disease progression after initiating treatment. It should be used only when progression is a proxy or explicit treatment-stopping criterion.</a:t>
              </a:r>
            </a:p>
            <a:p>
              <a:endParaRPr lang="pt-BR" sz="1000" kern="1200"/>
            </a:p>
          </xdr:txBody>
        </xdr:sp>
        <xdr:sp macro="" textlink="">
          <xdr:nvSpPr>
            <xdr:cNvPr id="28" name="CaixaDeTexto 27">
              <a:extLst>
                <a:ext uri="{FF2B5EF4-FFF2-40B4-BE49-F238E27FC236}">
                  <a16:creationId xmlns:a16="http://schemas.microsoft.com/office/drawing/2014/main" id="{FA8471F6-87CB-FE18-E18C-C74BA19A9337}"/>
                </a:ext>
              </a:extLst>
            </xdr:cNvPr>
            <xdr:cNvSpPr txBox="1"/>
          </xdr:nvSpPr>
          <xdr:spPr>
            <a:xfrm>
              <a:off x="7574050" y="8637445"/>
              <a:ext cx="917933" cy="161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Information</a:t>
              </a:r>
            </a:p>
          </xdr:txBody>
        </xdr:sp>
      </xdr:grpSp>
      <xdr:pic>
        <xdr:nvPicPr>
          <xdr:cNvPr id="25" name="InfoBox1" descr="Information with solid fill">
            <a:extLst>
              <a:ext uri="{FF2B5EF4-FFF2-40B4-BE49-F238E27FC236}">
                <a16:creationId xmlns:a16="http://schemas.microsoft.com/office/drawing/2014/main" id="{755231AA-A063-F394-A5DE-9EF5C07AB17E}"/>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0258425" y="2827021"/>
            <a:ext cx="371474" cy="217806"/>
          </a:xfrm>
          <a:prstGeom prst="rect">
            <a:avLst/>
          </a:prstGeom>
        </xdr:spPr>
      </xdr:pic>
    </xdr:grpSp>
    <xdr:clientData/>
  </xdr:twoCellAnchor>
  <xdr:twoCellAnchor>
    <xdr:from>
      <xdr:col>8</xdr:col>
      <xdr:colOff>944457</xdr:colOff>
      <xdr:row>105</xdr:row>
      <xdr:rowOff>165100</xdr:rowOff>
    </xdr:from>
    <xdr:to>
      <xdr:col>9</xdr:col>
      <xdr:colOff>558165</xdr:colOff>
      <xdr:row>107</xdr:row>
      <xdr:rowOff>66040</xdr:rowOff>
    </xdr:to>
    <xdr:sp macro="" textlink="">
      <xdr:nvSpPr>
        <xdr:cNvPr id="29" name="Retângulo: Cantos Arredondados 28">
          <a:hlinkClick xmlns:r="http://schemas.openxmlformats.org/officeDocument/2006/relationships" r:id="rId3"/>
          <a:extLst>
            <a:ext uri="{FF2B5EF4-FFF2-40B4-BE49-F238E27FC236}">
              <a16:creationId xmlns:a16="http://schemas.microsoft.com/office/drawing/2014/main" id="{59B3D68C-6037-45A6-B427-013FEAB1D085}"/>
            </a:ext>
          </a:extLst>
        </xdr:cNvPr>
        <xdr:cNvSpPr/>
      </xdr:nvSpPr>
      <xdr:spPr>
        <a:xfrm>
          <a:off x="7554807" y="19491325"/>
          <a:ext cx="928158" cy="262890"/>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pt-BR" sz="1100" b="1" kern="1200"/>
            <a:t>Data</a:t>
          </a:r>
        </a:p>
      </xdr:txBody>
    </xdr:sp>
    <xdr:clientData/>
  </xdr:twoCellAnchor>
  <xdr:twoCellAnchor editAs="absolute">
    <xdr:from>
      <xdr:col>12</xdr:col>
      <xdr:colOff>175155</xdr:colOff>
      <xdr:row>3</xdr:row>
      <xdr:rowOff>136737</xdr:rowOff>
    </xdr:from>
    <xdr:to>
      <xdr:col>16</xdr:col>
      <xdr:colOff>1543468</xdr:colOff>
      <xdr:row>10</xdr:row>
      <xdr:rowOff>98213</xdr:rowOff>
    </xdr:to>
    <xdr:grpSp>
      <xdr:nvGrpSpPr>
        <xdr:cNvPr id="3" name="Agrupar 2">
          <a:extLst>
            <a:ext uri="{FF2B5EF4-FFF2-40B4-BE49-F238E27FC236}">
              <a16:creationId xmlns:a16="http://schemas.microsoft.com/office/drawing/2014/main" id="{E056DB43-3DA2-9448-A021-78A1BF0EC6B9}"/>
            </a:ext>
          </a:extLst>
        </xdr:cNvPr>
        <xdr:cNvGrpSpPr/>
      </xdr:nvGrpSpPr>
      <xdr:grpSpPr>
        <a:xfrm>
          <a:off x="10410720" y="847302"/>
          <a:ext cx="3492388" cy="1275926"/>
          <a:chOff x="7244198" y="8503227"/>
          <a:chExt cx="1845115" cy="1168977"/>
        </a:xfrm>
      </xdr:grpSpPr>
      <xdr:sp macro="" textlink="">
        <xdr:nvSpPr>
          <xdr:cNvPr id="30" name="CaixaDeTexto 29">
            <a:extLst>
              <a:ext uri="{FF2B5EF4-FFF2-40B4-BE49-F238E27FC236}">
                <a16:creationId xmlns:a16="http://schemas.microsoft.com/office/drawing/2014/main" id="{A36EA3EF-583F-BFCE-F7F5-50F770106986}"/>
              </a:ext>
            </a:extLst>
          </xdr:cNvPr>
          <xdr:cNvSpPr txBox="1"/>
        </xdr:nvSpPr>
        <xdr:spPr>
          <a:xfrm>
            <a:off x="7244198" y="8503227"/>
            <a:ext cx="1836449" cy="11689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31" name="Retângulo 30">
            <a:extLst>
              <a:ext uri="{FF2B5EF4-FFF2-40B4-BE49-F238E27FC236}">
                <a16:creationId xmlns:a16="http://schemas.microsoft.com/office/drawing/2014/main" id="{687477C1-715B-CFB9-3233-5188C04AEC49}"/>
              </a:ext>
            </a:extLst>
          </xdr:cNvPr>
          <xdr:cNvSpPr/>
        </xdr:nvSpPr>
        <xdr:spPr>
          <a:xfrm>
            <a:off x="7322027" y="8891156"/>
            <a:ext cx="376374" cy="251114"/>
          </a:xfrm>
          <a:prstGeom prst="rect">
            <a:avLst/>
          </a:prstGeom>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32" name="Retângulo 31">
            <a:extLst>
              <a:ext uri="{FF2B5EF4-FFF2-40B4-BE49-F238E27FC236}">
                <a16:creationId xmlns:a16="http://schemas.microsoft.com/office/drawing/2014/main" id="{33B2AC77-50C4-A1AE-0A1D-04B7790745C1}"/>
              </a:ext>
            </a:extLst>
          </xdr:cNvPr>
          <xdr:cNvSpPr/>
        </xdr:nvSpPr>
        <xdr:spPr>
          <a:xfrm>
            <a:off x="7325031" y="9284278"/>
            <a:ext cx="378591" cy="251114"/>
          </a:xfrm>
          <a:prstGeom prst="rect">
            <a:avLst/>
          </a:prstGeom>
          <a:solidFill>
            <a:srgbClr val="F8F1DF"/>
          </a:solidFill>
          <a:ln w="3175">
            <a:solidFill>
              <a:srgbClr val="726C5A"/>
            </a:solidFill>
            <a:prstDash val="lgDash"/>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kern="1200"/>
          </a:p>
        </xdr:txBody>
      </xdr:sp>
      <xdr:sp macro="" textlink="">
        <xdr:nvSpPr>
          <xdr:cNvPr id="33" name="CaixaDeTexto 32">
            <a:extLst>
              <a:ext uri="{FF2B5EF4-FFF2-40B4-BE49-F238E27FC236}">
                <a16:creationId xmlns:a16="http://schemas.microsoft.com/office/drawing/2014/main" id="{D97FADF5-48CA-006F-8BB7-F9D312F1F67B}"/>
              </a:ext>
            </a:extLst>
          </xdr:cNvPr>
          <xdr:cNvSpPr txBox="1"/>
        </xdr:nvSpPr>
        <xdr:spPr>
          <a:xfrm>
            <a:off x="7734948" y="8814110"/>
            <a:ext cx="1354365" cy="4117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Calculated or automatically populated fields. </a:t>
            </a:r>
            <a:r>
              <a:rPr lang="pt-BR" sz="1000" b="1" kern="1200"/>
              <a:t>They should not be changed.</a:t>
            </a:r>
          </a:p>
        </xdr:txBody>
      </xdr:sp>
      <xdr:sp macro="" textlink="">
        <xdr:nvSpPr>
          <xdr:cNvPr id="34" name="CaixaDeTexto 33">
            <a:extLst>
              <a:ext uri="{FF2B5EF4-FFF2-40B4-BE49-F238E27FC236}">
                <a16:creationId xmlns:a16="http://schemas.microsoft.com/office/drawing/2014/main" id="{0EDCD9FF-DE8B-3D54-2AB2-D12AA83075FD}"/>
              </a:ext>
            </a:extLst>
          </xdr:cNvPr>
          <xdr:cNvSpPr txBox="1"/>
        </xdr:nvSpPr>
        <xdr:spPr>
          <a:xfrm>
            <a:off x="7740168" y="9217106"/>
            <a:ext cx="1215142" cy="401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Customizable fields. Must be completed as instructed.</a:t>
            </a:r>
          </a:p>
        </xdr:txBody>
      </xdr:sp>
      <xdr:sp macro="" textlink="">
        <xdr:nvSpPr>
          <xdr:cNvPr id="35" name="CaixaDeTexto 34">
            <a:extLst>
              <a:ext uri="{FF2B5EF4-FFF2-40B4-BE49-F238E27FC236}">
                <a16:creationId xmlns:a16="http://schemas.microsoft.com/office/drawing/2014/main" id="{7C26966B-66E7-86D0-99CF-0255592017F1}"/>
              </a:ext>
            </a:extLst>
          </xdr:cNvPr>
          <xdr:cNvSpPr txBox="1"/>
        </xdr:nvSpPr>
        <xdr:spPr>
          <a:xfrm>
            <a:off x="7288565" y="8570770"/>
            <a:ext cx="1394114" cy="4087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Atention!</a:t>
            </a:r>
          </a:p>
        </xdr:txBody>
      </xdr:sp>
    </xdr:grpSp>
    <xdr:clientData/>
  </xdr:twoCellAnchor>
  <xdr:twoCellAnchor>
    <xdr:from>
      <xdr:col>10</xdr:col>
      <xdr:colOff>137583</xdr:colOff>
      <xdr:row>51</xdr:row>
      <xdr:rowOff>63500</xdr:rowOff>
    </xdr:from>
    <xdr:to>
      <xdr:col>15</xdr:col>
      <xdr:colOff>80818</xdr:colOff>
      <xdr:row>59</xdr:row>
      <xdr:rowOff>34636</xdr:rowOff>
    </xdr:to>
    <xdr:sp macro="" textlink="">
      <xdr:nvSpPr>
        <xdr:cNvPr id="12" name="CaixaDeTexto 11">
          <a:extLst>
            <a:ext uri="{FF2B5EF4-FFF2-40B4-BE49-F238E27FC236}">
              <a16:creationId xmlns:a16="http://schemas.microsoft.com/office/drawing/2014/main" id="{17E057F1-58F8-F842-BF59-86F550F63DA2}"/>
            </a:ext>
          </a:extLst>
        </xdr:cNvPr>
        <xdr:cNvSpPr txBox="1"/>
      </xdr:nvSpPr>
      <xdr:spPr>
        <a:xfrm>
          <a:off x="9847310" y="10292773"/>
          <a:ext cx="3556963" cy="15413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50" i="1" kern="1200">
              <a:solidFill>
                <a:schemeClr val="accent5"/>
              </a:solidFill>
            </a:rPr>
            <a:t>- If “Yes”: Both discontinuation and death will be considered. Ensure the data are consistent and related (death ≤ discontinuation).</a:t>
          </a:r>
        </a:p>
        <a:p>
          <a:pPr algn="l"/>
          <a:r>
            <a:rPr lang="pt-BR" sz="1050" i="1" kern="1200">
              <a:solidFill>
                <a:schemeClr val="accent5"/>
              </a:solidFill>
            </a:rPr>
            <a:t>- If “No”: Only one exit event will be modeled (recommended when rates are independent).</a:t>
          </a:r>
        </a:p>
        <a:p>
          <a:pPr algn="l"/>
          <a:r>
            <a:rPr lang="pt-BR" sz="1050" i="1" kern="1200">
              <a:solidFill>
                <a:schemeClr val="accent5"/>
              </a:solidFill>
            </a:rPr>
            <a:t>Tip: If discontinuation and death are not clinically linked or sourced from different datasets, select only one to avoid inconsistent results.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16298</xdr:rowOff>
    </xdr:from>
    <xdr:to>
      <xdr:col>4</xdr:col>
      <xdr:colOff>781050</xdr:colOff>
      <xdr:row>3</xdr:row>
      <xdr:rowOff>54398</xdr:rowOff>
    </xdr:to>
    <xdr:grpSp>
      <xdr:nvGrpSpPr>
        <xdr:cNvPr id="2" name="Agrupar 1">
          <a:extLst>
            <a:ext uri="{FF2B5EF4-FFF2-40B4-BE49-F238E27FC236}">
              <a16:creationId xmlns:a16="http://schemas.microsoft.com/office/drawing/2014/main" id="{AF3F7536-7C92-40A8-8D06-2DF3C287628C}"/>
            </a:ext>
          </a:extLst>
        </xdr:cNvPr>
        <xdr:cNvGrpSpPr/>
      </xdr:nvGrpSpPr>
      <xdr:grpSpPr>
        <a:xfrm>
          <a:off x="371475" y="448733"/>
          <a:ext cx="4682490" cy="285750"/>
          <a:chOff x="390525" y="437284"/>
          <a:chExt cx="5213900" cy="304800"/>
        </a:xfrm>
      </xdr:grpSpPr>
      <xdr:grpSp>
        <xdr:nvGrpSpPr>
          <xdr:cNvPr id="5" name="Agrupar 4">
            <a:extLst>
              <a:ext uri="{FF2B5EF4-FFF2-40B4-BE49-F238E27FC236}">
                <a16:creationId xmlns:a16="http://schemas.microsoft.com/office/drawing/2014/main" id="{FD553007-10C8-528E-78B3-C155DAD6F9D4}"/>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D5CCFDA4-63F5-50F1-38ED-FF58A294B6C5}"/>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D94F83BF-BE6B-0B67-154E-AFF6D09B831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Results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8CBCD317-97F7-C614-67B8-AC8EA26C64A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8BB57F40-D09E-489B-0FDA-208A65F3E3EF}"/>
              </a:ext>
            </a:extLst>
          </xdr:cNvPr>
          <xdr:cNvSpPr txBox="1"/>
        </xdr:nvSpPr>
        <xdr:spPr>
          <a:xfrm>
            <a:off x="2819399" y="438150"/>
            <a:ext cx="2785026"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Determinist Sensibility Analysis</a:t>
            </a:r>
            <a:endParaRPr lang="pt-BR" sz="1100" i="1" kern="1200">
              <a:solidFill>
                <a:schemeClr val="accent5"/>
              </a:solidFill>
            </a:endParaRPr>
          </a:p>
        </xdr:txBody>
      </xdr:sp>
    </xdr:grpSp>
    <xdr:clientData/>
  </xdr:twoCellAnchor>
  <xdr:twoCellAnchor>
    <xdr:from>
      <xdr:col>12</xdr:col>
      <xdr:colOff>205740</xdr:colOff>
      <xdr:row>14</xdr:row>
      <xdr:rowOff>143827</xdr:rowOff>
    </xdr:from>
    <xdr:to>
      <xdr:col>19</xdr:col>
      <xdr:colOff>510540</xdr:colOff>
      <xdr:row>26</xdr:row>
      <xdr:rowOff>123825</xdr:rowOff>
    </xdr:to>
    <xdr:graphicFrame macro="">
      <xdr:nvGraphicFramePr>
        <xdr:cNvPr id="12" name="Gráfico 11">
          <a:extLst>
            <a:ext uri="{FF2B5EF4-FFF2-40B4-BE49-F238E27FC236}">
              <a16:creationId xmlns:a16="http://schemas.microsoft.com/office/drawing/2014/main" id="{40FDF2AA-ACF8-AB8B-5BF7-71F3D7C016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102869</xdr:colOff>
      <xdr:row>14</xdr:row>
      <xdr:rowOff>145731</xdr:rowOff>
    </xdr:from>
    <xdr:to>
      <xdr:col>23</xdr:col>
      <xdr:colOff>822959</xdr:colOff>
      <xdr:row>26</xdr:row>
      <xdr:rowOff>114300</xdr:rowOff>
    </xdr:to>
    <xdr:graphicFrame macro="">
      <xdr:nvGraphicFramePr>
        <xdr:cNvPr id="13" name="Gráfico 12">
          <a:extLst>
            <a:ext uri="{FF2B5EF4-FFF2-40B4-BE49-F238E27FC236}">
              <a16:creationId xmlns:a16="http://schemas.microsoft.com/office/drawing/2014/main" id="{0C0068BD-4C15-67B1-9E5B-13EF11CF9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205740</xdr:colOff>
      <xdr:row>27</xdr:row>
      <xdr:rowOff>38101</xdr:rowOff>
    </xdr:from>
    <xdr:to>
      <xdr:col>19</xdr:col>
      <xdr:colOff>510540</xdr:colOff>
      <xdr:row>38</xdr:row>
      <xdr:rowOff>152401</xdr:rowOff>
    </xdr:to>
    <xdr:graphicFrame macro="">
      <xdr:nvGraphicFramePr>
        <xdr:cNvPr id="14" name="Gráfico 13">
          <a:extLst>
            <a:ext uri="{FF2B5EF4-FFF2-40B4-BE49-F238E27FC236}">
              <a16:creationId xmlns:a16="http://schemas.microsoft.com/office/drawing/2014/main" id="{50D735CB-263D-4254-AB49-E02A34DF44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114299</xdr:colOff>
      <xdr:row>27</xdr:row>
      <xdr:rowOff>9526</xdr:rowOff>
    </xdr:from>
    <xdr:to>
      <xdr:col>23</xdr:col>
      <xdr:colOff>826769</xdr:colOff>
      <xdr:row>38</xdr:row>
      <xdr:rowOff>140970</xdr:rowOff>
    </xdr:to>
    <xdr:graphicFrame macro="">
      <xdr:nvGraphicFramePr>
        <xdr:cNvPr id="15" name="Gráfico 14">
          <a:extLst>
            <a:ext uri="{FF2B5EF4-FFF2-40B4-BE49-F238E27FC236}">
              <a16:creationId xmlns:a16="http://schemas.microsoft.com/office/drawing/2014/main" id="{59F28D54-2158-4053-A64E-69DF7316AE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247650</xdr:colOff>
      <xdr:row>40</xdr:row>
      <xdr:rowOff>47626</xdr:rowOff>
    </xdr:from>
    <xdr:to>
      <xdr:col>19</xdr:col>
      <xdr:colOff>552450</xdr:colOff>
      <xdr:row>51</xdr:row>
      <xdr:rowOff>185739</xdr:rowOff>
    </xdr:to>
    <xdr:graphicFrame macro="">
      <xdr:nvGraphicFramePr>
        <xdr:cNvPr id="16" name="Gráfico 15">
          <a:extLst>
            <a:ext uri="{FF2B5EF4-FFF2-40B4-BE49-F238E27FC236}">
              <a16:creationId xmlns:a16="http://schemas.microsoft.com/office/drawing/2014/main" id="{7D982129-6845-48C4-9437-AA1EDF41BA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152399</xdr:colOff>
      <xdr:row>40</xdr:row>
      <xdr:rowOff>47625</xdr:rowOff>
    </xdr:from>
    <xdr:to>
      <xdr:col>23</xdr:col>
      <xdr:colOff>866774</xdr:colOff>
      <xdr:row>51</xdr:row>
      <xdr:rowOff>176213</xdr:rowOff>
    </xdr:to>
    <xdr:graphicFrame macro="">
      <xdr:nvGraphicFramePr>
        <xdr:cNvPr id="17" name="Gráfico 16">
          <a:extLst>
            <a:ext uri="{FF2B5EF4-FFF2-40B4-BE49-F238E27FC236}">
              <a16:creationId xmlns:a16="http://schemas.microsoft.com/office/drawing/2014/main" id="{BDC15484-C829-41A1-9A5F-6C52A22B66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257175</xdr:colOff>
      <xdr:row>52</xdr:row>
      <xdr:rowOff>57151</xdr:rowOff>
    </xdr:from>
    <xdr:to>
      <xdr:col>19</xdr:col>
      <xdr:colOff>561975</xdr:colOff>
      <xdr:row>63</xdr:row>
      <xdr:rowOff>52389</xdr:rowOff>
    </xdr:to>
    <xdr:graphicFrame macro="">
      <xdr:nvGraphicFramePr>
        <xdr:cNvPr id="18" name="Gráfico 17">
          <a:extLst>
            <a:ext uri="{FF2B5EF4-FFF2-40B4-BE49-F238E27FC236}">
              <a16:creationId xmlns:a16="http://schemas.microsoft.com/office/drawing/2014/main" id="{F7E7C6A3-4ACE-4BAE-889A-2FA1BB63DC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161924</xdr:colOff>
      <xdr:row>52</xdr:row>
      <xdr:rowOff>57150</xdr:rowOff>
    </xdr:from>
    <xdr:to>
      <xdr:col>23</xdr:col>
      <xdr:colOff>876299</xdr:colOff>
      <xdr:row>63</xdr:row>
      <xdr:rowOff>42863</xdr:rowOff>
    </xdr:to>
    <xdr:graphicFrame macro="">
      <xdr:nvGraphicFramePr>
        <xdr:cNvPr id="19" name="Gráfico 18">
          <a:extLst>
            <a:ext uri="{FF2B5EF4-FFF2-40B4-BE49-F238E27FC236}">
              <a16:creationId xmlns:a16="http://schemas.microsoft.com/office/drawing/2014/main" id="{269CE514-E420-405E-91A8-61CD0C5856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257176</xdr:colOff>
      <xdr:row>66</xdr:row>
      <xdr:rowOff>1</xdr:rowOff>
    </xdr:from>
    <xdr:to>
      <xdr:col>19</xdr:col>
      <xdr:colOff>581026</xdr:colOff>
      <xdr:row>77</xdr:row>
      <xdr:rowOff>138114</xdr:rowOff>
    </xdr:to>
    <xdr:graphicFrame macro="">
      <xdr:nvGraphicFramePr>
        <xdr:cNvPr id="24" name="Gráfico 23">
          <a:extLst>
            <a:ext uri="{FF2B5EF4-FFF2-40B4-BE49-F238E27FC236}">
              <a16:creationId xmlns:a16="http://schemas.microsoft.com/office/drawing/2014/main" id="{AD0117E3-6E65-4BFF-994E-81C27CF741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200024</xdr:colOff>
      <xdr:row>66</xdr:row>
      <xdr:rowOff>19050</xdr:rowOff>
    </xdr:from>
    <xdr:to>
      <xdr:col>23</xdr:col>
      <xdr:colOff>914399</xdr:colOff>
      <xdr:row>77</xdr:row>
      <xdr:rowOff>147638</xdr:rowOff>
    </xdr:to>
    <xdr:graphicFrame macro="">
      <xdr:nvGraphicFramePr>
        <xdr:cNvPr id="25" name="Gráfico 24">
          <a:extLst>
            <a:ext uri="{FF2B5EF4-FFF2-40B4-BE49-F238E27FC236}">
              <a16:creationId xmlns:a16="http://schemas.microsoft.com/office/drawing/2014/main" id="{56E596E4-8DFC-4D53-AB04-3F095820BA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266700</xdr:colOff>
      <xdr:row>78</xdr:row>
      <xdr:rowOff>9526</xdr:rowOff>
    </xdr:from>
    <xdr:to>
      <xdr:col>19</xdr:col>
      <xdr:colOff>581025</xdr:colOff>
      <xdr:row>89</xdr:row>
      <xdr:rowOff>4764</xdr:rowOff>
    </xdr:to>
    <xdr:graphicFrame macro="">
      <xdr:nvGraphicFramePr>
        <xdr:cNvPr id="26" name="Gráfico 25">
          <a:extLst>
            <a:ext uri="{FF2B5EF4-FFF2-40B4-BE49-F238E27FC236}">
              <a16:creationId xmlns:a16="http://schemas.microsoft.com/office/drawing/2014/main" id="{845BAEB1-F1C9-4803-9686-048CC460E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20</xdr:col>
      <xdr:colOff>219074</xdr:colOff>
      <xdr:row>78</xdr:row>
      <xdr:rowOff>19050</xdr:rowOff>
    </xdr:from>
    <xdr:to>
      <xdr:col>23</xdr:col>
      <xdr:colOff>933449</xdr:colOff>
      <xdr:row>89</xdr:row>
      <xdr:rowOff>4763</xdr:rowOff>
    </xdr:to>
    <xdr:graphicFrame macro="">
      <xdr:nvGraphicFramePr>
        <xdr:cNvPr id="27" name="Gráfico 26">
          <a:extLst>
            <a:ext uri="{FF2B5EF4-FFF2-40B4-BE49-F238E27FC236}">
              <a16:creationId xmlns:a16="http://schemas.microsoft.com/office/drawing/2014/main" id="{9EAA00F4-6288-47AD-9BFD-42A379A262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7</xdr:col>
      <xdr:colOff>240030</xdr:colOff>
      <xdr:row>6</xdr:row>
      <xdr:rowOff>150493</xdr:rowOff>
    </xdr:from>
    <xdr:to>
      <xdr:col>8</xdr:col>
      <xdr:colOff>123825</xdr:colOff>
      <xdr:row>9</xdr:row>
      <xdr:rowOff>123825</xdr:rowOff>
    </xdr:to>
    <xdr:sp macro="[0]!DSA" textlink="">
      <xdr:nvSpPr>
        <xdr:cNvPr id="3" name="Retângulo: Cantos Arredondados 2">
          <a:extLst>
            <a:ext uri="{FF2B5EF4-FFF2-40B4-BE49-F238E27FC236}">
              <a16:creationId xmlns:a16="http://schemas.microsoft.com/office/drawing/2014/main" id="{0BCFA6AC-0D2A-4055-9F05-EE021E963DA2}"/>
            </a:ext>
          </a:extLst>
        </xdr:cNvPr>
        <xdr:cNvSpPr/>
      </xdr:nvSpPr>
      <xdr:spPr>
        <a:xfrm>
          <a:off x="9126855" y="1464943"/>
          <a:ext cx="1598295" cy="592457"/>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000" b="1">
              <a:latin typeface="Calibri" panose="020F0502020204030204" pitchFamily="34" charset="0"/>
              <a:ea typeface="Calibri" panose="020F0502020204030204" pitchFamily="34" charset="0"/>
              <a:cs typeface="Calibri" panose="020F0502020204030204" pitchFamily="34" charset="0"/>
            </a:rPr>
            <a:t>Run DSA</a:t>
          </a:r>
        </a:p>
      </xdr:txBody>
    </xdr:sp>
    <xdr:clientData/>
  </xdr:twoCellAnchor>
  <xdr:twoCellAnchor>
    <xdr:from>
      <xdr:col>1</xdr:col>
      <xdr:colOff>0</xdr:colOff>
      <xdr:row>0</xdr:row>
      <xdr:rowOff>417160</xdr:rowOff>
    </xdr:from>
    <xdr:to>
      <xdr:col>4</xdr:col>
      <xdr:colOff>200025</xdr:colOff>
      <xdr:row>3</xdr:row>
      <xdr:rowOff>18203</xdr:rowOff>
    </xdr:to>
    <xdr:grpSp>
      <xdr:nvGrpSpPr>
        <xdr:cNvPr id="4" name="Agrupar 3">
          <a:extLst>
            <a:ext uri="{FF2B5EF4-FFF2-40B4-BE49-F238E27FC236}">
              <a16:creationId xmlns:a16="http://schemas.microsoft.com/office/drawing/2014/main" id="{23D60035-77ED-4828-854D-792E8EDF46AD}"/>
            </a:ext>
          </a:extLst>
        </xdr:cNvPr>
        <xdr:cNvGrpSpPr/>
      </xdr:nvGrpSpPr>
      <xdr:grpSpPr>
        <a:xfrm>
          <a:off x="571500" y="417160"/>
          <a:ext cx="5031105" cy="281128"/>
          <a:chOff x="390525" y="407670"/>
          <a:chExt cx="5234875" cy="303934"/>
        </a:xfrm>
      </xdr:grpSpPr>
      <xdr:grpSp>
        <xdr:nvGrpSpPr>
          <xdr:cNvPr id="5" name="Agrupar 4">
            <a:extLst>
              <a:ext uri="{FF2B5EF4-FFF2-40B4-BE49-F238E27FC236}">
                <a16:creationId xmlns:a16="http://schemas.microsoft.com/office/drawing/2014/main" id="{9271427C-ED91-BFB3-B19C-5D88703D97BE}"/>
              </a:ext>
            </a:extLst>
          </xdr:cNvPr>
          <xdr:cNvGrpSpPr/>
        </xdr:nvGrpSpPr>
        <xdr:grpSpPr>
          <a:xfrm>
            <a:off x="390525" y="437284"/>
            <a:ext cx="2409824" cy="232929"/>
            <a:chOff x="386197" y="438151"/>
            <a:chExt cx="2410690" cy="237258"/>
          </a:xfrm>
        </xdr:grpSpPr>
        <xdr:sp macro="[0]!ocultar_marketshare"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1068EA74-3AAE-A2D9-27F0-BCF0160A0460}"/>
                </a:ext>
              </a:extLst>
            </xdr:cNvPr>
            <xdr:cNvSpPr/>
          </xdr:nvSpPr>
          <xdr:spPr>
            <a:xfrm>
              <a:off x="2441865" y="441614"/>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sp macro="" textlink="">
          <xdr:nvSpPr>
            <xdr:cNvPr id="8" name="Retângulo: Cantos Superiores Arredondados 7">
              <a:extLst>
                <a:ext uri="{FF2B5EF4-FFF2-40B4-BE49-F238E27FC236}">
                  <a16:creationId xmlns:a16="http://schemas.microsoft.com/office/drawing/2014/main" id="{A543E73C-222F-9D14-C7F2-394BA72B49C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Sensibility analysis</a:t>
              </a:r>
            </a:p>
          </xdr:txBody>
        </xdr:sp>
        <xdr:sp macro="" textlink="">
          <xdr:nvSpPr>
            <xdr:cNvPr id="9" name="Retângulo: Cantos Superiores Arredondados 8">
              <a:hlinkClick xmlns:r="http://schemas.openxmlformats.org/officeDocument/2006/relationships" r:id="rId2"/>
              <a:extLst>
                <a:ext uri="{FF2B5EF4-FFF2-40B4-BE49-F238E27FC236}">
                  <a16:creationId xmlns:a16="http://schemas.microsoft.com/office/drawing/2014/main" id="{F457513F-C707-2A6B-0D62-CB383B0E3D4A}"/>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6" name="CaixaDeTexto 5">
            <a:extLst>
              <a:ext uri="{FF2B5EF4-FFF2-40B4-BE49-F238E27FC236}">
                <a16:creationId xmlns:a16="http://schemas.microsoft.com/office/drawing/2014/main" id="{EB194D11-06B8-EE19-BAFD-7E189A02B12A}"/>
              </a:ext>
            </a:extLst>
          </xdr:cNvPr>
          <xdr:cNvSpPr txBox="1"/>
        </xdr:nvSpPr>
        <xdr:spPr>
          <a:xfrm>
            <a:off x="2849170" y="407670"/>
            <a:ext cx="2776230"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Probabilistic Sensitivity </a:t>
            </a:r>
            <a:r>
              <a:rPr lang="pt-BR" sz="1000" i="1" kern="1200">
                <a:solidFill>
                  <a:schemeClr val="accent5"/>
                </a:solidFill>
              </a:rPr>
              <a:t>Analysis</a:t>
            </a:r>
          </a:p>
        </xdr:txBody>
      </xdr:sp>
    </xdr:grpSp>
    <xdr:clientData/>
  </xdr:twoCellAnchor>
  <xdr:twoCellAnchor>
    <xdr:from>
      <xdr:col>1</xdr:col>
      <xdr:colOff>283794</xdr:colOff>
      <xdr:row>41</xdr:row>
      <xdr:rowOff>171451</xdr:rowOff>
    </xdr:from>
    <xdr:to>
      <xdr:col>6</xdr:col>
      <xdr:colOff>981076</xdr:colOff>
      <xdr:row>70</xdr:row>
      <xdr:rowOff>60958</xdr:rowOff>
    </xdr:to>
    <xdr:graphicFrame macro="">
      <xdr:nvGraphicFramePr>
        <xdr:cNvPr id="12" name="tornado2">
          <a:extLst>
            <a:ext uri="{FF2B5EF4-FFF2-40B4-BE49-F238E27FC236}">
              <a16:creationId xmlns:a16="http://schemas.microsoft.com/office/drawing/2014/main" id="{91E08977-315E-40A1-81C5-7078A3C52825}"/>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8</xdr:row>
      <xdr:rowOff>0</xdr:rowOff>
    </xdr:from>
    <xdr:to>
      <xdr:col>6</xdr:col>
      <xdr:colOff>697282</xdr:colOff>
      <xdr:row>36</xdr:row>
      <xdr:rowOff>80007</xdr:rowOff>
    </xdr:to>
    <xdr:graphicFrame macro="">
      <xdr:nvGraphicFramePr>
        <xdr:cNvPr id="15" name="tornado1">
          <a:extLst>
            <a:ext uri="{FF2B5EF4-FFF2-40B4-BE49-F238E27FC236}">
              <a16:creationId xmlns:a16="http://schemas.microsoft.com/office/drawing/2014/main" id="{FFD11A6B-C233-41AC-BF0B-95221A59C5C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0.00451</cdr:x>
      <cdr:y>0.00696</cdr:y>
    </cdr:from>
    <cdr:to>
      <cdr:x>0.97292</cdr:x>
      <cdr:y>0.12522</cdr:y>
    </cdr:to>
    <cdr:sp macro="" textlink="">
      <cdr:nvSpPr>
        <cdr:cNvPr id="2" name="CaixaDeTexto 1"/>
        <cdr:cNvSpPr txBox="1"/>
      </cdr:nvSpPr>
      <cdr:spPr>
        <a:xfrm xmlns:a="http://schemas.openxmlformats.org/drawingml/2006/main">
          <a:off x="35750" y="38100"/>
          <a:ext cx="7676350" cy="647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1000" b="1">
              <a:latin typeface="Arial" panose="020B0604020202020204" pitchFamily="34" charset="0"/>
              <a:cs typeface="Arial" panose="020B0604020202020204" pitchFamily="34" charset="0"/>
            </a:rPr>
            <a:t>Deterministic Sensitivity Analysis - Tornado Graph</a:t>
          </a:r>
        </a:p>
        <a:p xmlns:a="http://schemas.openxmlformats.org/drawingml/2006/main">
          <a:pPr algn="ctr"/>
          <a:r>
            <a:rPr lang="pt-BR" sz="1000" b="1">
              <a:latin typeface="Arial" panose="020B0604020202020204" pitchFamily="34" charset="0"/>
              <a:cs typeface="Arial" panose="020B0604020202020204" pitchFamily="34" charset="0"/>
            </a:rPr>
            <a:t>Outcome: Cumulative Budget Impact</a:t>
          </a:r>
        </a:p>
        <a:p xmlns:a="http://schemas.openxmlformats.org/drawingml/2006/main">
          <a:pPr algn="ctr"/>
          <a:r>
            <a:rPr lang="pt-BR" sz="1000" b="1">
              <a:latin typeface="Arial" panose="020B0604020202020204" pitchFamily="34" charset="0"/>
              <a:cs typeface="Arial" panose="020B0604020202020204" pitchFamily="34" charset="0"/>
            </a:rPr>
            <a:t>Scenario 1 (Technology cost–only results)</a:t>
          </a:r>
          <a:endParaRPr lang="pt-BR" sz="1000" b="1"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0.25952</cdr:x>
      <cdr:y>0.95513</cdr:y>
    </cdr:from>
    <cdr:to>
      <cdr:x>0.88642</cdr:x>
      <cdr:y>1</cdr:y>
    </cdr:to>
    <cdr:sp macro="" textlink="">
      <cdr:nvSpPr>
        <cdr:cNvPr id="3" name="CaixaDeTexto 1">
          <a:extLst xmlns:a="http://schemas.openxmlformats.org/drawingml/2006/main">
            <a:ext uri="{FF2B5EF4-FFF2-40B4-BE49-F238E27FC236}">
              <a16:creationId xmlns:a16="http://schemas.microsoft.com/office/drawing/2014/main" id="{0FDA2A46-C690-422B-B4CE-FC1450445471}"/>
            </a:ext>
          </a:extLst>
        </cdr:cNvPr>
        <cdr:cNvSpPr txBox="1"/>
      </cdr:nvSpPr>
      <cdr:spPr>
        <a:xfrm xmlns:a="http://schemas.openxmlformats.org/drawingml/2006/main">
          <a:off x="2667670" y="6195475"/>
          <a:ext cx="6444143" cy="2910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900" b="1">
              <a:latin typeface="Arial" panose="020B0604020202020204" pitchFamily="34" charset="0"/>
              <a:cs typeface="Arial" panose="020B0604020202020204" pitchFamily="34" charset="0"/>
            </a:rPr>
            <a:t>Incremental Budgetary Impact (cumulative over five years)</a:t>
          </a:r>
        </a:p>
      </cdr:txBody>
    </cdr:sp>
  </cdr:relSizeAnchor>
</c:userShapes>
</file>

<file path=xl/drawings/drawing10.xml><?xml version="1.0" encoding="utf-8"?>
<c:userShapes xmlns:c="http://schemas.openxmlformats.org/drawingml/2006/chart">
  <cdr:relSizeAnchor xmlns:cdr="http://schemas.openxmlformats.org/drawingml/2006/chartDrawing">
    <cdr:from>
      <cdr:x>0.00451</cdr:x>
      <cdr:y>0.00696</cdr:y>
    </cdr:from>
    <cdr:to>
      <cdr:x>0.97292</cdr:x>
      <cdr:y>0.12522</cdr:y>
    </cdr:to>
    <cdr:sp macro="" textlink="">
      <cdr:nvSpPr>
        <cdr:cNvPr id="2" name="CaixaDeTexto 1"/>
        <cdr:cNvSpPr txBox="1"/>
      </cdr:nvSpPr>
      <cdr:spPr>
        <a:xfrm xmlns:a="http://schemas.openxmlformats.org/drawingml/2006/main">
          <a:off x="35750" y="38100"/>
          <a:ext cx="7676350" cy="6477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1000" b="1">
              <a:latin typeface="Arial" panose="020B0604020202020204" pitchFamily="34" charset="0"/>
              <a:cs typeface="Arial" panose="020B0604020202020204" pitchFamily="34" charset="0"/>
            </a:rPr>
            <a:t>Deterministic Sensitivity Analysis - Tornado Graph</a:t>
          </a:r>
        </a:p>
        <a:p xmlns:a="http://schemas.openxmlformats.org/drawingml/2006/main">
          <a:pPr algn="ctr"/>
          <a:r>
            <a:rPr lang="pt-BR" sz="1000" b="1">
              <a:latin typeface="Arial" panose="020B0604020202020204" pitchFamily="34" charset="0"/>
              <a:cs typeface="Arial" panose="020B0604020202020204" pitchFamily="34" charset="0"/>
            </a:rPr>
            <a:t>Outcome: Cumulative Budget Impact</a:t>
          </a:r>
        </a:p>
        <a:p xmlns:a="http://schemas.openxmlformats.org/drawingml/2006/main">
          <a:pPr algn="ctr"/>
          <a:r>
            <a:rPr lang="pt-BR" sz="1000" b="1">
              <a:latin typeface="Arial" panose="020B0604020202020204" pitchFamily="34" charset="0"/>
              <a:cs typeface="Arial" panose="020B0604020202020204" pitchFamily="34" charset="0"/>
            </a:rPr>
            <a:t>Scenario 1 (All Costs Involved)</a:t>
          </a:r>
          <a:endParaRPr lang="pt-BR" sz="1000" b="1" baseline="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0.25952</cdr:x>
      <cdr:y>0.95513</cdr:y>
    </cdr:from>
    <cdr:to>
      <cdr:x>0.88642</cdr:x>
      <cdr:y>1</cdr:y>
    </cdr:to>
    <cdr:sp macro="" textlink="">
      <cdr:nvSpPr>
        <cdr:cNvPr id="3" name="CaixaDeTexto 1">
          <a:extLst xmlns:a="http://schemas.openxmlformats.org/drawingml/2006/main">
            <a:ext uri="{FF2B5EF4-FFF2-40B4-BE49-F238E27FC236}">
              <a16:creationId xmlns:a16="http://schemas.microsoft.com/office/drawing/2014/main" id="{0FDA2A46-C690-422B-B4CE-FC1450445471}"/>
            </a:ext>
          </a:extLst>
        </cdr:cNvPr>
        <cdr:cNvSpPr txBox="1"/>
      </cdr:nvSpPr>
      <cdr:spPr>
        <a:xfrm xmlns:a="http://schemas.openxmlformats.org/drawingml/2006/main">
          <a:off x="2667670" y="6195475"/>
          <a:ext cx="6444143" cy="29105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pt-BR" sz="900" b="1">
              <a:latin typeface="Arial" panose="020B0604020202020204" pitchFamily="34" charset="0"/>
              <a:cs typeface="Arial" panose="020B0604020202020204" pitchFamily="34" charset="0"/>
            </a:rPr>
            <a:t>Incremental Budgetary Impact (cumulative over five years)</a:t>
          </a:r>
        </a:p>
      </cdr:txBody>
    </cdr:sp>
  </cdr:relSizeAnchor>
</c:userShapes>
</file>

<file path=xl/drawings/drawing11.xml><?xml version="1.0" encoding="utf-8"?>
<xdr:wsDr xmlns:xdr="http://schemas.openxmlformats.org/drawingml/2006/spreadsheetDrawing" xmlns:a="http://schemas.openxmlformats.org/drawingml/2006/main">
  <xdr:twoCellAnchor>
    <xdr:from>
      <xdr:col>0</xdr:col>
      <xdr:colOff>361950</xdr:colOff>
      <xdr:row>1</xdr:row>
      <xdr:rowOff>1</xdr:rowOff>
    </xdr:from>
    <xdr:to>
      <xdr:col>2</xdr:col>
      <xdr:colOff>1082041</xdr:colOff>
      <xdr:row>1</xdr:row>
      <xdr:rowOff>225720</xdr:rowOff>
    </xdr:to>
    <xdr:grpSp>
      <xdr:nvGrpSpPr>
        <xdr:cNvPr id="4" name="Agrupar 3">
          <a:extLst>
            <a:ext uri="{FF2B5EF4-FFF2-40B4-BE49-F238E27FC236}">
              <a16:creationId xmlns:a16="http://schemas.microsoft.com/office/drawing/2014/main" id="{CEAEF455-FF91-44D0-A867-450E368B6B9A}"/>
            </a:ext>
          </a:extLst>
        </xdr:cNvPr>
        <xdr:cNvGrpSpPr/>
      </xdr:nvGrpSpPr>
      <xdr:grpSpPr>
        <a:xfrm>
          <a:off x="358140" y="428626"/>
          <a:ext cx="1889761" cy="225719"/>
          <a:chOff x="-136151" y="421524"/>
          <a:chExt cx="5266099" cy="250422"/>
        </a:xfrm>
      </xdr:grpSpPr>
      <xdr:sp macro="" textlink="">
        <xdr:nvSpPr>
          <xdr:cNvPr id="5" name="Retângulo: Cantos Superiores Arredondados 4">
            <a:extLst>
              <a:ext uri="{FF2B5EF4-FFF2-40B4-BE49-F238E27FC236}">
                <a16:creationId xmlns:a16="http://schemas.microsoft.com/office/drawing/2014/main" id="{EA785A5E-4C87-5309-D0BD-59F80933D011}"/>
              </a:ext>
            </a:extLst>
          </xdr:cNvPr>
          <xdr:cNvSpPr/>
        </xdr:nvSpPr>
        <xdr:spPr>
          <a:xfrm>
            <a:off x="796637" y="421524"/>
            <a:ext cx="4333311" cy="250422"/>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Probabilistic an.</a:t>
            </a:r>
          </a:p>
        </xdr:txBody>
      </xdr:sp>
      <xdr:sp macro="" textlink="">
        <xdr:nvSpPr>
          <xdr:cNvPr id="6" name="Retângulo: Cantos Superiores Arredondados 5">
            <a:hlinkClick xmlns:r="http://schemas.openxmlformats.org/officeDocument/2006/relationships" r:id="rId1"/>
            <a:extLst>
              <a:ext uri="{FF2B5EF4-FFF2-40B4-BE49-F238E27FC236}">
                <a16:creationId xmlns:a16="http://schemas.microsoft.com/office/drawing/2014/main" id="{0B7A28F8-0B1A-DBB9-DBFD-73F7C339E79D}"/>
              </a:ext>
            </a:extLst>
          </xdr:cNvPr>
          <xdr:cNvSpPr/>
        </xdr:nvSpPr>
        <xdr:spPr>
          <a:xfrm>
            <a:off x="-136151" y="432091"/>
            <a:ext cx="861944" cy="232482"/>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twoCellAnchor>
    <xdr:from>
      <xdr:col>5</xdr:col>
      <xdr:colOff>133350</xdr:colOff>
      <xdr:row>9</xdr:row>
      <xdr:rowOff>9525</xdr:rowOff>
    </xdr:from>
    <xdr:to>
      <xdr:col>6</xdr:col>
      <xdr:colOff>464820</xdr:colOff>
      <xdr:row>11</xdr:row>
      <xdr:rowOff>116207</xdr:rowOff>
    </xdr:to>
    <xdr:sp macro="[0]!PSA" textlink="">
      <xdr:nvSpPr>
        <xdr:cNvPr id="7" name="Retângulo: Cantos Arredondados 6">
          <a:extLst>
            <a:ext uri="{FF2B5EF4-FFF2-40B4-BE49-F238E27FC236}">
              <a16:creationId xmlns:a16="http://schemas.microsoft.com/office/drawing/2014/main" id="{14472997-1317-4B17-95FF-292C954C4787}"/>
            </a:ext>
          </a:extLst>
        </xdr:cNvPr>
        <xdr:cNvSpPr/>
      </xdr:nvSpPr>
      <xdr:spPr>
        <a:xfrm>
          <a:off x="5497830" y="2272665"/>
          <a:ext cx="1642110" cy="563882"/>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000" b="1">
              <a:latin typeface="Calibri" panose="020F0502020204030204" pitchFamily="34" charset="0"/>
              <a:ea typeface="Calibri" panose="020F0502020204030204" pitchFamily="34" charset="0"/>
              <a:cs typeface="Calibri" panose="020F0502020204030204" pitchFamily="34" charset="0"/>
            </a:rPr>
            <a:t>Run PSA</a:t>
          </a:r>
        </a:p>
      </xdr:txBody>
    </xdr:sp>
    <xdr:clientData/>
  </xdr:twoCellAnchor>
  <xdr:twoCellAnchor>
    <xdr:from>
      <xdr:col>2</xdr:col>
      <xdr:colOff>1114425</xdr:colOff>
      <xdr:row>1</xdr:row>
      <xdr:rowOff>9525</xdr:rowOff>
    </xdr:from>
    <xdr:to>
      <xdr:col>2</xdr:col>
      <xdr:colOff>1455081</xdr:colOff>
      <xdr:row>1</xdr:row>
      <xdr:rowOff>228519</xdr:rowOff>
    </xdr:to>
    <xdr:sp macro="[0]!ocultar_marketshare" textlink="">
      <xdr:nvSpPr>
        <xdr:cNvPr id="8" name="Retângulo: Cantos Superiores Arredondados 7">
          <a:hlinkClick xmlns:r="http://schemas.openxmlformats.org/officeDocument/2006/relationships" r:id="rId2"/>
          <a:extLst>
            <a:ext uri="{FF2B5EF4-FFF2-40B4-BE49-F238E27FC236}">
              <a16:creationId xmlns:a16="http://schemas.microsoft.com/office/drawing/2014/main" id="{E13D678F-5A12-4FC9-883F-841DC6FEF4E0}"/>
            </a:ext>
          </a:extLst>
        </xdr:cNvPr>
        <xdr:cNvSpPr/>
      </xdr:nvSpPr>
      <xdr:spPr>
        <a:xfrm>
          <a:off x="2276475" y="438150"/>
          <a:ext cx="340656" cy="218994"/>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&gt;</a:t>
          </a:r>
        </a:p>
      </xdr:txBody>
    </xdr:sp>
    <xdr:clientData/>
  </xdr:twoCellAnchor>
  <xdr:twoCellAnchor>
    <xdr:from>
      <xdr:col>2</xdr:col>
      <xdr:colOff>1447800</xdr:colOff>
      <xdr:row>0</xdr:row>
      <xdr:rowOff>400050</xdr:rowOff>
    </xdr:from>
    <xdr:to>
      <xdr:col>4</xdr:col>
      <xdr:colOff>910936</xdr:colOff>
      <xdr:row>2</xdr:row>
      <xdr:rowOff>20143</xdr:rowOff>
    </xdr:to>
    <xdr:sp macro="" textlink="">
      <xdr:nvSpPr>
        <xdr:cNvPr id="9" name="CaixaDeTexto 8">
          <a:extLst>
            <a:ext uri="{FF2B5EF4-FFF2-40B4-BE49-F238E27FC236}">
              <a16:creationId xmlns:a16="http://schemas.microsoft.com/office/drawing/2014/main" id="{BC38E1BC-F1ED-4703-9C9C-06CFAF013753}"/>
            </a:ext>
          </a:extLst>
        </xdr:cNvPr>
        <xdr:cNvSpPr txBox="1"/>
      </xdr:nvSpPr>
      <xdr:spPr>
        <a:xfrm>
          <a:off x="2609850" y="400050"/>
          <a:ext cx="2377786" cy="2868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000" i="1" kern="1200">
              <a:solidFill>
                <a:schemeClr val="accent5"/>
              </a:solidFill>
            </a:rPr>
            <a:t>Next:</a:t>
          </a:r>
          <a:r>
            <a:rPr lang="pt-BR" sz="1000" i="1" kern="1200" baseline="0">
              <a:solidFill>
                <a:schemeClr val="accent5"/>
              </a:solidFill>
            </a:rPr>
            <a:t> Calculations</a:t>
          </a:r>
          <a:endParaRPr lang="pt-BR" sz="1100" i="1" kern="1200">
            <a:solidFill>
              <a:schemeClr val="accent5"/>
            </a:solidFill>
          </a:endParaRPr>
        </a:p>
      </xdr:txBody>
    </xdr:sp>
    <xdr:clientData/>
  </xdr:twoCellAnchor>
  <xdr:twoCellAnchor>
    <xdr:from>
      <xdr:col>1</xdr:col>
      <xdr:colOff>457199</xdr:colOff>
      <xdr:row>7</xdr:row>
      <xdr:rowOff>228596</xdr:rowOff>
    </xdr:from>
    <xdr:to>
      <xdr:col>4</xdr:col>
      <xdr:colOff>1257298</xdr:colOff>
      <xdr:row>13</xdr:row>
      <xdr:rowOff>76199</xdr:rowOff>
    </xdr:to>
    <xdr:grpSp>
      <xdr:nvGrpSpPr>
        <xdr:cNvPr id="3" name="Agrupar 2">
          <a:extLst>
            <a:ext uri="{FF2B5EF4-FFF2-40B4-BE49-F238E27FC236}">
              <a16:creationId xmlns:a16="http://schemas.microsoft.com/office/drawing/2014/main" id="{B9954603-DC05-4C1E-9669-FA719FA7B96E}"/>
            </a:ext>
          </a:extLst>
        </xdr:cNvPr>
        <xdr:cNvGrpSpPr/>
      </xdr:nvGrpSpPr>
      <xdr:grpSpPr>
        <a:xfrm>
          <a:off x="1162049" y="2038346"/>
          <a:ext cx="4171949" cy="1219203"/>
          <a:chOff x="10067923" y="2743200"/>
          <a:chExt cx="4283426" cy="790909"/>
        </a:xfrm>
      </xdr:grpSpPr>
      <xdr:grpSp>
        <xdr:nvGrpSpPr>
          <xdr:cNvPr id="10" name="Agrupar 9">
            <a:extLst>
              <a:ext uri="{FF2B5EF4-FFF2-40B4-BE49-F238E27FC236}">
                <a16:creationId xmlns:a16="http://schemas.microsoft.com/office/drawing/2014/main" id="{A43EDD17-756C-A115-9091-DF55111EA740}"/>
              </a:ext>
            </a:extLst>
          </xdr:cNvPr>
          <xdr:cNvGrpSpPr/>
        </xdr:nvGrpSpPr>
        <xdr:grpSpPr>
          <a:xfrm>
            <a:off x="10067923" y="2743200"/>
            <a:ext cx="4283426" cy="790909"/>
            <a:chOff x="7244197" y="8503227"/>
            <a:chExt cx="2317747" cy="790909"/>
          </a:xfrm>
        </xdr:grpSpPr>
        <xdr:sp macro="" textlink="">
          <xdr:nvSpPr>
            <xdr:cNvPr id="12" name="CaixaDeTexto 11">
              <a:extLst>
                <a:ext uri="{FF2B5EF4-FFF2-40B4-BE49-F238E27FC236}">
                  <a16:creationId xmlns:a16="http://schemas.microsoft.com/office/drawing/2014/main" id="{8BC53C24-AA61-405F-8D40-3CA59D90C40A}"/>
                </a:ext>
              </a:extLst>
            </xdr:cNvPr>
            <xdr:cNvSpPr txBox="1"/>
          </xdr:nvSpPr>
          <xdr:spPr>
            <a:xfrm>
              <a:off x="7244197" y="8503227"/>
              <a:ext cx="2317747" cy="7909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kern="1200"/>
            </a:p>
          </xdr:txBody>
        </xdr:sp>
        <xdr:sp macro="" textlink="">
          <xdr:nvSpPr>
            <xdr:cNvPr id="13" name="CaixaDeTexto 12">
              <a:extLst>
                <a:ext uri="{FF2B5EF4-FFF2-40B4-BE49-F238E27FC236}">
                  <a16:creationId xmlns:a16="http://schemas.microsoft.com/office/drawing/2014/main" id="{C742BD87-E086-DF0A-A10A-06D596A1BEAB}"/>
                </a:ext>
              </a:extLst>
            </xdr:cNvPr>
            <xdr:cNvSpPr txBox="1"/>
          </xdr:nvSpPr>
          <xdr:spPr>
            <a:xfrm>
              <a:off x="7269968" y="8822949"/>
              <a:ext cx="2241223" cy="416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00" kern="1200"/>
                <a:t>The screen will be frozen for a few minutes while the analysis is taking place. Do not close the page, but you can cancel the analysis by pressing the ESC key.</a:t>
              </a:r>
            </a:p>
          </xdr:txBody>
        </xdr:sp>
        <xdr:sp macro="" textlink="">
          <xdr:nvSpPr>
            <xdr:cNvPr id="14" name="CaixaDeTexto 13">
              <a:extLst>
                <a:ext uri="{FF2B5EF4-FFF2-40B4-BE49-F238E27FC236}">
                  <a16:creationId xmlns:a16="http://schemas.microsoft.com/office/drawing/2014/main" id="{3A4B8887-2B4F-9CE6-5725-D6146A5B0253}"/>
                </a:ext>
              </a:extLst>
            </xdr:cNvPr>
            <xdr:cNvSpPr txBox="1"/>
          </xdr:nvSpPr>
          <xdr:spPr>
            <a:xfrm>
              <a:off x="7574050" y="8637445"/>
              <a:ext cx="917933" cy="161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1" kern="1200"/>
                <a:t>Information</a:t>
              </a:r>
            </a:p>
          </xdr:txBody>
        </xdr:sp>
      </xdr:grpSp>
      <xdr:pic>
        <xdr:nvPicPr>
          <xdr:cNvPr id="11" name="InfoBox1" descr="Information with solid fill">
            <a:extLst>
              <a:ext uri="{FF2B5EF4-FFF2-40B4-BE49-F238E27FC236}">
                <a16:creationId xmlns:a16="http://schemas.microsoft.com/office/drawing/2014/main" id="{D9B4BF96-4CAF-D95C-744D-36EED0379F2C}"/>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258425" y="2827021"/>
            <a:ext cx="371474" cy="217806"/>
          </a:xfrm>
          <a:prstGeom prst="rect">
            <a:avLst/>
          </a:prstGeom>
        </xdr:spPr>
      </xdr:pic>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609599</xdr:colOff>
      <xdr:row>1</xdr:row>
      <xdr:rowOff>9525</xdr:rowOff>
    </xdr:from>
    <xdr:to>
      <xdr:col>2</xdr:col>
      <xdr:colOff>510737</xdr:colOff>
      <xdr:row>2</xdr:row>
      <xdr:rowOff>929</xdr:rowOff>
    </xdr:to>
    <xdr:grpSp>
      <xdr:nvGrpSpPr>
        <xdr:cNvPr id="3" name="Agrupar 2">
          <a:extLst>
            <a:ext uri="{FF2B5EF4-FFF2-40B4-BE49-F238E27FC236}">
              <a16:creationId xmlns:a16="http://schemas.microsoft.com/office/drawing/2014/main" id="{AF96E961-01C1-BB8D-B37C-00232BECD8C8}"/>
            </a:ext>
          </a:extLst>
        </xdr:cNvPr>
        <xdr:cNvGrpSpPr/>
      </xdr:nvGrpSpPr>
      <xdr:grpSpPr>
        <a:xfrm>
          <a:off x="600074" y="440055"/>
          <a:ext cx="1543248" cy="218099"/>
          <a:chOff x="386197" y="438151"/>
          <a:chExt cx="1991590" cy="233795"/>
        </a:xfrm>
      </xdr:grpSpPr>
      <xdr:sp macro="" textlink="">
        <xdr:nvSpPr>
          <xdr:cNvPr id="6" name="Retângulo: Cantos Superiores Arredondados 5">
            <a:extLst>
              <a:ext uri="{FF2B5EF4-FFF2-40B4-BE49-F238E27FC236}">
                <a16:creationId xmlns:a16="http://schemas.microsoft.com/office/drawing/2014/main" id="{EA88F878-F979-C5CC-A735-A709B82B7CA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Data</a:t>
            </a:r>
          </a:p>
        </xdr:txBody>
      </xdr:sp>
      <xdr:sp macro="" textlink="">
        <xdr:nvSpPr>
          <xdr:cNvPr id="7" name="Retângulo: Cantos Superiores Arredondados 6">
            <a:hlinkClick xmlns:r="http://schemas.openxmlformats.org/officeDocument/2006/relationships" r:id="rId1"/>
            <a:extLst>
              <a:ext uri="{FF2B5EF4-FFF2-40B4-BE49-F238E27FC236}">
                <a16:creationId xmlns:a16="http://schemas.microsoft.com/office/drawing/2014/main" id="{23C466AC-4671-F2E7-EB47-6901E737B1BF}"/>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twoCellAnchor>
    <xdr:from>
      <xdr:col>39</xdr:col>
      <xdr:colOff>495300</xdr:colOff>
      <xdr:row>12</xdr:row>
      <xdr:rowOff>42862</xdr:rowOff>
    </xdr:from>
    <xdr:to>
      <xdr:col>46</xdr:col>
      <xdr:colOff>952500</xdr:colOff>
      <xdr:row>39</xdr:row>
      <xdr:rowOff>133350</xdr:rowOff>
    </xdr:to>
    <xdr:graphicFrame macro="">
      <xdr:nvGraphicFramePr>
        <xdr:cNvPr id="2" name="Gráfico 1">
          <a:extLst>
            <a:ext uri="{FF2B5EF4-FFF2-40B4-BE49-F238E27FC236}">
              <a16:creationId xmlns:a16="http://schemas.microsoft.com/office/drawing/2014/main" id="{3EAC4BFE-9D9F-D702-D4B3-310E5D88CF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495300</xdr:colOff>
      <xdr:row>112</xdr:row>
      <xdr:rowOff>42862</xdr:rowOff>
    </xdr:from>
    <xdr:to>
      <xdr:col>46</xdr:col>
      <xdr:colOff>952500</xdr:colOff>
      <xdr:row>139</xdr:row>
      <xdr:rowOff>133350</xdr:rowOff>
    </xdr:to>
    <xdr:graphicFrame macro="">
      <xdr:nvGraphicFramePr>
        <xdr:cNvPr id="4" name="Gráfico 3">
          <a:extLst>
            <a:ext uri="{FF2B5EF4-FFF2-40B4-BE49-F238E27FC236}">
              <a16:creationId xmlns:a16="http://schemas.microsoft.com/office/drawing/2014/main" id="{1AA3CCE6-8056-42AE-9112-C1C23351AB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757238</xdr:colOff>
      <xdr:row>11</xdr:row>
      <xdr:rowOff>115571</xdr:rowOff>
    </xdr:from>
    <xdr:to>
      <xdr:col>15</xdr:col>
      <xdr:colOff>188913</xdr:colOff>
      <xdr:row>24</xdr:row>
      <xdr:rowOff>124461</xdr:rowOff>
    </xdr:to>
    <xdr:sp macro="" textlink="">
      <xdr:nvSpPr>
        <xdr:cNvPr id="5" name="Retângulo 4">
          <a:extLst>
            <a:ext uri="{FF2B5EF4-FFF2-40B4-BE49-F238E27FC236}">
              <a16:creationId xmlns:a16="http://schemas.microsoft.com/office/drawing/2014/main" id="{FFC6150F-F4E2-B2C9-F1D2-6E95812AE7C3}"/>
            </a:ext>
          </a:extLst>
        </xdr:cNvPr>
        <xdr:cNvSpPr/>
      </xdr:nvSpPr>
      <xdr:spPr>
        <a:xfrm>
          <a:off x="8837613" y="2115821"/>
          <a:ext cx="4956175" cy="2382203"/>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pt-BR" b="1"/>
            <a:t>General data-entry rule (monthly/bimonthly/quarterly):</a:t>
          </a:r>
          <a:endParaRPr lang="pt-BR"/>
        </a:p>
        <a:p>
          <a:r>
            <a:rPr lang="pt-BR" b="1"/>
            <a:t>- Leave truly missing months BLANK.</a:t>
          </a:r>
          <a:r>
            <a:rPr lang="pt-BR"/>
            <a:t> The annual average formula ignores blanks.</a:t>
          </a:r>
        </a:p>
        <a:p>
          <a:r>
            <a:rPr lang="pt-BR" b="1"/>
            <a:t>- Enter 0% when the value is truly zero.</a:t>
          </a:r>
          <a:r>
            <a:rPr lang="pt-BR"/>
            <a:t> Zeros must be counted in the average.</a:t>
          </a:r>
        </a:p>
        <a:p>
          <a:endParaRPr lang="pt-BR"/>
        </a:p>
        <a:p>
          <a:r>
            <a:rPr lang="pt-BR" b="1"/>
            <a:t>PFS (progression-free survival) rates:</a:t>
          </a:r>
          <a:endParaRPr lang="pt-BR"/>
        </a:p>
        <a:p>
          <a:r>
            <a:rPr lang="pt-BR"/>
            <a:t>- In many cases, </a:t>
          </a:r>
          <a:r>
            <a:rPr lang="pt-BR" b="1"/>
            <a:t>PFS reaches 0% by Year 2 or 3</a:t>
          </a:r>
          <a:r>
            <a:rPr lang="pt-BR"/>
            <a:t>. If zeros are real, </a:t>
          </a:r>
          <a:r>
            <a:rPr lang="pt-BR" b="1"/>
            <a:t>enter 0%</a:t>
          </a:r>
          <a:r>
            <a:rPr lang="pt-BR"/>
            <a:t>; do </a:t>
          </a:r>
          <a:r>
            <a:rPr lang="pt-BR" b="1"/>
            <a:t>not</a:t>
          </a:r>
          <a:r>
            <a:rPr lang="pt-BR"/>
            <a:t> leave the cell blank.</a:t>
          </a:r>
        </a:p>
        <a:p>
          <a:r>
            <a:rPr lang="pt-BR"/>
            <a:t>- Leaving zeros blank will </a:t>
          </a:r>
          <a:r>
            <a:rPr lang="pt-BR" b="1"/>
            <a:t>inflate</a:t>
          </a:r>
          <a:r>
            <a:rPr lang="pt-BR"/>
            <a:t> the annual average and may </a:t>
          </a:r>
          <a:r>
            <a:rPr lang="pt-BR" b="1"/>
            <a:t>fail to show 100% progression</a:t>
          </a:r>
          <a:r>
            <a:rPr lang="pt-BR"/>
            <a:t> in that year.</a:t>
          </a:r>
        </a:p>
        <a:p>
          <a:endParaRPr lang="pt-BR"/>
        </a:p>
        <a:p>
          <a:r>
            <a:rPr lang="pt-BR" b="1"/>
            <a:t>Discontinuation rates:</a:t>
          </a:r>
        </a:p>
        <a:p>
          <a:r>
            <a:rPr lang="pt-BR"/>
            <a:t>- If the </a:t>
          </a:r>
          <a:r>
            <a:rPr lang="pt-BR" b="1"/>
            <a:t>first months are 0%</a:t>
          </a:r>
          <a:r>
            <a:rPr lang="pt-BR"/>
            <a:t>, keep them as </a:t>
          </a:r>
          <a:r>
            <a:rPr lang="pt-BR" b="1"/>
            <a:t>0%</a:t>
          </a:r>
          <a:r>
            <a:rPr lang="pt-BR"/>
            <a:t> (do </a:t>
          </a:r>
          <a:r>
            <a:rPr lang="pt-BR" b="1"/>
            <a:t>not</a:t>
          </a:r>
          <a:r>
            <a:rPr lang="pt-BR"/>
            <a:t> leave blank).</a:t>
          </a:r>
        </a:p>
        <a:p>
          <a:r>
            <a:rPr lang="pt-BR"/>
            <a:t>- If </a:t>
          </a:r>
          <a:r>
            <a:rPr lang="pt-BR" b="1"/>
            <a:t>half the year is already at 0%</a:t>
          </a:r>
          <a:r>
            <a:rPr lang="pt-BR"/>
            <a:t>, these zeros </a:t>
          </a:r>
          <a:r>
            <a:rPr lang="pt-BR" b="1"/>
            <a:t>must be included</a:t>
          </a:r>
          <a:r>
            <a:rPr lang="pt-BR"/>
            <a:t> to correctly adjust the annual average.</a:t>
          </a:r>
        </a:p>
        <a:p>
          <a:pPr algn="l"/>
          <a:endParaRPr lang="pt-BR" sz="1100" baseline="0"/>
        </a:p>
        <a:p>
          <a:pPr algn="l"/>
          <a:endParaRPr lang="pt-BR"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447675</xdr:colOff>
      <xdr:row>3</xdr:row>
      <xdr:rowOff>1564</xdr:rowOff>
    </xdr:to>
    <xdr:grpSp>
      <xdr:nvGrpSpPr>
        <xdr:cNvPr id="8" name="Agrupar 7">
          <a:extLst>
            <a:ext uri="{FF2B5EF4-FFF2-40B4-BE49-F238E27FC236}">
              <a16:creationId xmlns:a16="http://schemas.microsoft.com/office/drawing/2014/main" id="{76401D31-3EC9-5848-A206-C74E1B82665E}"/>
            </a:ext>
          </a:extLst>
        </xdr:cNvPr>
        <xdr:cNvGrpSpPr/>
      </xdr:nvGrpSpPr>
      <xdr:grpSpPr>
        <a:xfrm>
          <a:off x="342900" y="428625"/>
          <a:ext cx="1426845" cy="230164"/>
          <a:chOff x="386197" y="438151"/>
          <a:chExt cx="1991590" cy="233795"/>
        </a:xfrm>
      </xdr:grpSpPr>
      <xdr:sp macro="" textlink="">
        <xdr:nvSpPr>
          <xdr:cNvPr id="9" name="Retângulo: Cantos Superiores Arredondados 2">
            <a:extLst>
              <a:ext uri="{FF2B5EF4-FFF2-40B4-BE49-F238E27FC236}">
                <a16:creationId xmlns:a16="http://schemas.microsoft.com/office/drawing/2014/main" id="{E50D32B0-A754-5364-4767-3E87F0EF1A54}"/>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Calculations</a:t>
            </a:r>
          </a:p>
        </xdr:txBody>
      </xdr:sp>
      <xdr:sp macro="" textlink="">
        <xdr:nvSpPr>
          <xdr:cNvPr id="11" name="Retângulo: Cantos Superiores Arredondados 3">
            <a:hlinkClick xmlns:r="http://schemas.openxmlformats.org/officeDocument/2006/relationships" r:id="rId1"/>
            <a:extLst>
              <a:ext uri="{FF2B5EF4-FFF2-40B4-BE49-F238E27FC236}">
                <a16:creationId xmlns:a16="http://schemas.microsoft.com/office/drawing/2014/main" id="{BD068C9C-EBA5-971B-B10C-75FE934B7867}"/>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619125</xdr:colOff>
      <xdr:row>2</xdr:row>
      <xdr:rowOff>9525</xdr:rowOff>
    </xdr:to>
    <xdr:grpSp>
      <xdr:nvGrpSpPr>
        <xdr:cNvPr id="7" name="Agrupar 6">
          <a:extLst>
            <a:ext uri="{FF2B5EF4-FFF2-40B4-BE49-F238E27FC236}">
              <a16:creationId xmlns:a16="http://schemas.microsoft.com/office/drawing/2014/main" id="{69D8C9B8-6B8B-4A84-9912-3609E5C347CF}"/>
            </a:ext>
          </a:extLst>
        </xdr:cNvPr>
        <xdr:cNvGrpSpPr/>
      </xdr:nvGrpSpPr>
      <xdr:grpSpPr>
        <a:xfrm>
          <a:off x="342900" y="428625"/>
          <a:ext cx="1678305" cy="220980"/>
          <a:chOff x="386197" y="438151"/>
          <a:chExt cx="1991590" cy="233795"/>
        </a:xfrm>
      </xdr:grpSpPr>
      <xdr:sp macro="" textlink="">
        <xdr:nvSpPr>
          <xdr:cNvPr id="8" name="Retângulo: Cantos Superiores Arredondados 2">
            <a:extLst>
              <a:ext uri="{FF2B5EF4-FFF2-40B4-BE49-F238E27FC236}">
                <a16:creationId xmlns:a16="http://schemas.microsoft.com/office/drawing/2014/main" id="{861BEE84-2065-8447-938F-054D1219E387}"/>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Calculations</a:t>
            </a:r>
            <a:r>
              <a:rPr lang="pt-BR" sz="1100" b="1" i="1" kern="1200" baseline="0"/>
              <a:t> 2</a:t>
            </a:r>
            <a:endParaRPr lang="pt-BR" sz="1100" b="1" i="1" kern="1200"/>
          </a:p>
        </xdr:txBody>
      </xdr:sp>
      <xdr:sp macro="" textlink="">
        <xdr:nvSpPr>
          <xdr:cNvPr id="9" name="Retângulo: Cantos Superiores Arredondados 3">
            <a:hlinkClick xmlns:r="http://schemas.openxmlformats.org/officeDocument/2006/relationships" r:id="rId1"/>
            <a:extLst>
              <a:ext uri="{FF2B5EF4-FFF2-40B4-BE49-F238E27FC236}">
                <a16:creationId xmlns:a16="http://schemas.microsoft.com/office/drawing/2014/main" id="{6D450BD5-7BAD-6A0E-ABDE-E603DC06AC9D}"/>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0</xdr:colOff>
      <xdr:row>1</xdr:row>
      <xdr:rowOff>9525</xdr:rowOff>
    </xdr:from>
    <xdr:to>
      <xdr:col>4</xdr:col>
      <xdr:colOff>219074</xdr:colOff>
      <xdr:row>3</xdr:row>
      <xdr:rowOff>47625</xdr:rowOff>
    </xdr:to>
    <xdr:grpSp>
      <xdr:nvGrpSpPr>
        <xdr:cNvPr id="3" name="Agrupar 2">
          <a:extLst>
            <a:ext uri="{FF2B5EF4-FFF2-40B4-BE49-F238E27FC236}">
              <a16:creationId xmlns:a16="http://schemas.microsoft.com/office/drawing/2014/main" id="{E6B990CF-9DA9-44A3-B48C-471CB8EC98D8}"/>
            </a:ext>
          </a:extLst>
        </xdr:cNvPr>
        <xdr:cNvGrpSpPr/>
      </xdr:nvGrpSpPr>
      <xdr:grpSpPr>
        <a:xfrm>
          <a:off x="438150" y="440055"/>
          <a:ext cx="4874894" cy="285750"/>
          <a:chOff x="390525" y="437284"/>
          <a:chExt cx="4552949" cy="304800"/>
        </a:xfrm>
      </xdr:grpSpPr>
      <xdr:grpSp>
        <xdr:nvGrpSpPr>
          <xdr:cNvPr id="4" name="Agrupar 3">
            <a:extLst>
              <a:ext uri="{FF2B5EF4-FFF2-40B4-BE49-F238E27FC236}">
                <a16:creationId xmlns:a16="http://schemas.microsoft.com/office/drawing/2014/main" id="{00A85CB0-0F67-7D9B-8EEA-8BCFDB3E602B}"/>
              </a:ext>
            </a:extLst>
          </xdr:cNvPr>
          <xdr:cNvGrpSpPr/>
        </xdr:nvGrpSpPr>
        <xdr:grpSpPr>
          <a:xfrm>
            <a:off x="390525" y="437284"/>
            <a:ext cx="1990875" cy="229529"/>
            <a:chOff x="386197" y="438151"/>
            <a:chExt cx="1991590" cy="233795"/>
          </a:xfrm>
        </xdr:grpSpPr>
        <xdr:sp macro="" textlink="">
          <xdr:nvSpPr>
            <xdr:cNvPr id="7" name="Retângulo: Cantos Superiores Arredondados 6">
              <a:extLst>
                <a:ext uri="{FF2B5EF4-FFF2-40B4-BE49-F238E27FC236}">
                  <a16:creationId xmlns:a16="http://schemas.microsoft.com/office/drawing/2014/main" id="{9F33560F-AF6A-BB05-44F1-C6612CCBADE5}"/>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baseline="0"/>
                <a:t>Calculations 3</a:t>
              </a:r>
              <a:endParaRPr lang="pt-BR" sz="1100" b="1" i="1" kern="1200"/>
            </a:p>
          </xdr:txBody>
        </xdr:sp>
        <xdr:sp macro="" textlink="">
          <xdr:nvSpPr>
            <xdr:cNvPr id="8" name="Retângulo: Cantos Superiores Arredondados 7">
              <a:hlinkClick xmlns:r="http://schemas.openxmlformats.org/officeDocument/2006/relationships" r:id="rId1"/>
              <a:extLst>
                <a:ext uri="{FF2B5EF4-FFF2-40B4-BE49-F238E27FC236}">
                  <a16:creationId xmlns:a16="http://schemas.microsoft.com/office/drawing/2014/main" id="{87CF72E9-73FE-63B1-8E57-2629B9F90884}"/>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sp macro="" textlink="">
        <xdr:nvSpPr>
          <xdr:cNvPr id="5" name="CaixaDeTexto 4">
            <a:extLst>
              <a:ext uri="{FF2B5EF4-FFF2-40B4-BE49-F238E27FC236}">
                <a16:creationId xmlns:a16="http://schemas.microsoft.com/office/drawing/2014/main" id="{AEE7762F-BC82-4EB2-896F-9626787F6E57}"/>
              </a:ext>
            </a:extLst>
          </xdr:cNvPr>
          <xdr:cNvSpPr txBox="1"/>
        </xdr:nvSpPr>
        <xdr:spPr>
          <a:xfrm>
            <a:off x="2819399" y="438150"/>
            <a:ext cx="2124075" cy="3039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endParaRPr lang="pt-BR" sz="1100" i="1" kern="1200">
              <a:solidFill>
                <a:schemeClr val="accent5"/>
              </a:solidFill>
            </a:endParaRP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266700</xdr:colOff>
      <xdr:row>1</xdr:row>
      <xdr:rowOff>28575</xdr:rowOff>
    </xdr:from>
    <xdr:to>
      <xdr:col>2</xdr:col>
      <xdr:colOff>1167963</xdr:colOff>
      <xdr:row>2</xdr:row>
      <xdr:rowOff>19979</xdr:rowOff>
    </xdr:to>
    <xdr:grpSp>
      <xdr:nvGrpSpPr>
        <xdr:cNvPr id="2" name="Agrupar 1">
          <a:extLst>
            <a:ext uri="{FF2B5EF4-FFF2-40B4-BE49-F238E27FC236}">
              <a16:creationId xmlns:a16="http://schemas.microsoft.com/office/drawing/2014/main" id="{F97759B6-53BE-47D3-8CF2-50D47F678DCB}"/>
            </a:ext>
          </a:extLst>
        </xdr:cNvPr>
        <xdr:cNvGrpSpPr/>
      </xdr:nvGrpSpPr>
      <xdr:grpSpPr>
        <a:xfrm>
          <a:off x="266700" y="455295"/>
          <a:ext cx="1526103" cy="218099"/>
          <a:chOff x="386197" y="438151"/>
          <a:chExt cx="1991590" cy="233795"/>
        </a:xfrm>
      </xdr:grpSpPr>
      <xdr:sp macro="" textlink="">
        <xdr:nvSpPr>
          <xdr:cNvPr id="3" name="Retângulo: Cantos Superiores Arredondados 2">
            <a:extLst>
              <a:ext uri="{FF2B5EF4-FFF2-40B4-BE49-F238E27FC236}">
                <a16:creationId xmlns:a16="http://schemas.microsoft.com/office/drawing/2014/main" id="{1D460CF2-8E5B-F8F8-528E-8B1A20CF906F}"/>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Parameters</a:t>
            </a:r>
          </a:p>
        </xdr:txBody>
      </xdr:sp>
      <xdr:sp macro="" textlink="">
        <xdr:nvSpPr>
          <xdr:cNvPr id="4" name="Retângulo: Cantos Superiores Arredondados 3">
            <a:hlinkClick xmlns:r="http://schemas.openxmlformats.org/officeDocument/2006/relationships" r:id="rId1"/>
            <a:extLst>
              <a:ext uri="{FF2B5EF4-FFF2-40B4-BE49-F238E27FC236}">
                <a16:creationId xmlns:a16="http://schemas.microsoft.com/office/drawing/2014/main" id="{E81E82F4-FD6A-B321-DFF0-8DE19D3B2873}"/>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561975</xdr:colOff>
      <xdr:row>1</xdr:row>
      <xdr:rowOff>9525</xdr:rowOff>
    </xdr:from>
    <xdr:to>
      <xdr:col>1</xdr:col>
      <xdr:colOff>1482288</xdr:colOff>
      <xdr:row>2</xdr:row>
      <xdr:rowOff>929</xdr:rowOff>
    </xdr:to>
    <xdr:grpSp>
      <xdr:nvGrpSpPr>
        <xdr:cNvPr id="9" name="Agrupar 8">
          <a:extLst>
            <a:ext uri="{FF2B5EF4-FFF2-40B4-BE49-F238E27FC236}">
              <a16:creationId xmlns:a16="http://schemas.microsoft.com/office/drawing/2014/main" id="{3895277D-AF0C-4EFB-9523-476E0444DBB5}"/>
            </a:ext>
          </a:extLst>
        </xdr:cNvPr>
        <xdr:cNvGrpSpPr/>
      </xdr:nvGrpSpPr>
      <xdr:grpSpPr>
        <a:xfrm>
          <a:off x="560070" y="440055"/>
          <a:ext cx="1522293" cy="218099"/>
          <a:chOff x="386197" y="438151"/>
          <a:chExt cx="1991590" cy="233795"/>
        </a:xfrm>
      </xdr:grpSpPr>
      <xdr:sp macro="" textlink="">
        <xdr:nvSpPr>
          <xdr:cNvPr id="10" name="Retângulo: Cantos Superiores Arredondados 9">
            <a:extLst>
              <a:ext uri="{FF2B5EF4-FFF2-40B4-BE49-F238E27FC236}">
                <a16:creationId xmlns:a16="http://schemas.microsoft.com/office/drawing/2014/main" id="{5BE3A6EE-9544-785C-C211-CC5DD64BE4AA}"/>
              </a:ext>
            </a:extLst>
          </xdr:cNvPr>
          <xdr:cNvSpPr/>
        </xdr:nvSpPr>
        <xdr:spPr>
          <a:xfrm>
            <a:off x="796637" y="438151"/>
            <a:ext cx="1581150"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100" b="1" i="1" kern="1200"/>
              <a:t>Sensibility an.</a:t>
            </a:r>
          </a:p>
        </xdr:txBody>
      </xdr:sp>
      <xdr:sp macro="" textlink="">
        <xdr:nvSpPr>
          <xdr:cNvPr id="11" name="Retângulo: Cantos Superiores Arredondados 10">
            <a:hlinkClick xmlns:r="http://schemas.openxmlformats.org/officeDocument/2006/relationships" r:id="rId1"/>
            <a:extLst>
              <a:ext uri="{FF2B5EF4-FFF2-40B4-BE49-F238E27FC236}">
                <a16:creationId xmlns:a16="http://schemas.microsoft.com/office/drawing/2014/main" id="{3D396CF9-7809-AA20-196D-065747FCC57B}"/>
              </a:ext>
            </a:extLst>
          </xdr:cNvPr>
          <xdr:cNvSpPr/>
        </xdr:nvSpPr>
        <xdr:spPr>
          <a:xfrm>
            <a:off x="386197" y="438151"/>
            <a:ext cx="355022" cy="233795"/>
          </a:xfrm>
          <a:prstGeom prst="round2Same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pt-BR" sz="1400" b="1" kern="1200"/>
              <a:t>&lt;</a:t>
            </a:r>
            <a:endParaRPr lang="pt-BR" sz="1100" b="1" kern="1200"/>
          </a:p>
        </xdr:txBody>
      </xdr:sp>
    </xdr:grp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Tema do Office">
  <a:themeElements>
    <a:clrScheme name="Personalizada 8">
      <a:dk1>
        <a:srgbClr val="000000"/>
      </a:dk1>
      <a:lt1>
        <a:sysClr val="window" lastClr="FFFFFF"/>
      </a:lt1>
      <a:dk2>
        <a:srgbClr val="1F4E79"/>
      </a:dk2>
      <a:lt2>
        <a:srgbClr val="E7E6E6"/>
      </a:lt2>
      <a:accent1>
        <a:srgbClr val="00B3BD"/>
      </a:accent1>
      <a:accent2>
        <a:srgbClr val="DFF7F7"/>
      </a:accent2>
      <a:accent3>
        <a:srgbClr val="1F4E79"/>
      </a:accent3>
      <a:accent4>
        <a:srgbClr val="FFC000"/>
      </a:accent4>
      <a:accent5>
        <a:srgbClr val="726C5A"/>
      </a:accent5>
      <a:accent6>
        <a:srgbClr val="DDCFAD"/>
      </a:accent6>
      <a:hlink>
        <a:srgbClr val="1F4E79"/>
      </a:hlink>
      <a:folHlink>
        <a:srgbClr val="954F72"/>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2B289-91B4-4226-9BCF-0287F42FE247}">
  <sheetPr codeName="Planilha1">
    <tabColor rgb="FFDDCFAD"/>
  </sheetPr>
  <dimension ref="B1:M61"/>
  <sheetViews>
    <sheetView showGridLines="0" showRowColHeaders="0" zoomScaleNormal="100" workbookViewId="0">
      <selection activeCell="L24" sqref="L24"/>
    </sheetView>
  </sheetViews>
  <sheetFormatPr defaultColWidth="8.77734375" defaultRowHeight="14.4"/>
  <cols>
    <col min="1" max="1" width="5.77734375" style="1" customWidth="1"/>
    <col min="2" max="2" width="19.44140625" style="1" customWidth="1"/>
    <col min="3" max="3" width="4.6640625" style="1" customWidth="1"/>
    <col min="4" max="4" width="50.6640625" style="27" customWidth="1"/>
    <col min="5" max="5" width="9.6640625" style="1" customWidth="1"/>
    <col min="6" max="6" width="50.6640625" style="1" customWidth="1"/>
    <col min="7" max="11" width="8.77734375" style="1" customWidth="1"/>
    <col min="12" max="12" width="12.33203125" style="1" customWidth="1"/>
    <col min="13" max="13" width="4.44140625" style="1" customWidth="1"/>
    <col min="14" max="39" width="8.77734375" style="1" customWidth="1"/>
    <col min="40" max="16384" width="8.77734375" style="1"/>
  </cols>
  <sheetData>
    <row r="1" spans="2:12" s="18" customFormat="1" ht="33.6">
      <c r="B1" s="22" t="str">
        <f>Definitions!$E$8</f>
        <v>Budget impact analysis of Intrauterine device levonorgestrel for treatment of Leiomioma presenting with heavy bleeding</v>
      </c>
      <c r="C1" s="22"/>
      <c r="D1" s="25"/>
      <c r="E1" s="19"/>
      <c r="F1" s="19"/>
      <c r="G1" s="19"/>
      <c r="H1" s="19"/>
      <c r="I1" s="19"/>
      <c r="J1" s="19"/>
      <c r="K1" s="19"/>
      <c r="L1" s="19"/>
    </row>
    <row r="2" spans="2:12" s="18" customFormat="1" ht="18">
      <c r="B2" s="21"/>
      <c r="C2" s="21"/>
      <c r="D2" s="30"/>
      <c r="E2" s="20"/>
      <c r="F2" s="20"/>
      <c r="G2" s="20"/>
      <c r="H2" s="20"/>
      <c r="I2" s="20"/>
      <c r="J2" s="20"/>
      <c r="K2" s="20"/>
      <c r="L2" s="20"/>
    </row>
    <row r="3" spans="2:12" s="45" customFormat="1" ht="2.25" customHeight="1">
      <c r="D3" s="46"/>
    </row>
    <row r="4" spans="2:12">
      <c r="B4" s="8"/>
      <c r="C4" s="8"/>
      <c r="D4" s="26"/>
      <c r="E4" s="8"/>
      <c r="F4" s="8"/>
      <c r="G4" s="8"/>
      <c r="H4" s="8"/>
      <c r="I4" s="8"/>
      <c r="J4" s="8"/>
      <c r="K4" s="8"/>
      <c r="L4" s="8"/>
    </row>
    <row r="5" spans="2:12">
      <c r="B5" s="8"/>
      <c r="C5" s="8"/>
      <c r="D5" s="26"/>
      <c r="E5" s="8"/>
      <c r="F5" s="8"/>
      <c r="G5" s="8"/>
      <c r="H5" s="8"/>
      <c r="I5" s="8"/>
      <c r="J5" s="8"/>
      <c r="K5" s="8"/>
      <c r="L5" s="8"/>
    </row>
    <row r="6" spans="2:12">
      <c r="B6" s="8"/>
      <c r="C6" s="8"/>
      <c r="D6" s="26"/>
      <c r="E6" s="8"/>
      <c r="F6" s="8"/>
      <c r="G6" s="8"/>
      <c r="H6" s="8"/>
      <c r="I6" s="8"/>
      <c r="J6" s="8"/>
      <c r="K6" s="8"/>
      <c r="L6" s="8"/>
    </row>
    <row r="7" spans="2:12">
      <c r="B7" s="8"/>
      <c r="C7" s="8"/>
      <c r="D7" s="26"/>
      <c r="E7" s="8"/>
      <c r="F7" s="8"/>
      <c r="G7" s="8"/>
      <c r="H7" s="8"/>
      <c r="I7" s="8"/>
      <c r="J7" s="8"/>
      <c r="K7" s="8"/>
      <c r="L7" s="8"/>
    </row>
    <row r="8" spans="2:12">
      <c r="B8" s="8"/>
      <c r="C8" s="8"/>
      <c r="D8" s="26"/>
      <c r="E8" s="8"/>
      <c r="F8" s="8"/>
      <c r="G8" s="8"/>
      <c r="H8" s="8"/>
      <c r="I8" s="8"/>
      <c r="J8" s="8"/>
      <c r="K8" s="8"/>
      <c r="L8" s="8"/>
    </row>
    <row r="9" spans="2:12">
      <c r="B9" s="8"/>
      <c r="C9" s="8"/>
      <c r="D9" s="26"/>
      <c r="E9" s="8"/>
      <c r="F9" s="8"/>
      <c r="G9" s="8"/>
      <c r="H9" s="8"/>
      <c r="I9" s="8"/>
      <c r="J9" s="8"/>
      <c r="K9" s="8"/>
      <c r="L9" s="8"/>
    </row>
    <row r="10" spans="2:12">
      <c r="B10" s="8"/>
      <c r="C10" s="8"/>
      <c r="D10" s="26"/>
      <c r="E10" s="8"/>
      <c r="F10" s="8"/>
      <c r="G10" s="8"/>
      <c r="H10" s="8"/>
      <c r="I10" s="8"/>
      <c r="J10" s="8"/>
      <c r="K10" s="8"/>
      <c r="L10" s="8"/>
    </row>
    <row r="11" spans="2:12">
      <c r="B11" s="8"/>
      <c r="C11" s="8"/>
      <c r="D11" s="26"/>
      <c r="E11" s="8"/>
      <c r="F11" s="8"/>
      <c r="G11" s="8"/>
      <c r="H11" s="8"/>
      <c r="I11" s="8"/>
      <c r="J11" s="8"/>
      <c r="K11" s="8"/>
      <c r="L11" s="8"/>
    </row>
    <row r="12" spans="2:12">
      <c r="B12" s="8"/>
      <c r="C12" s="8"/>
      <c r="D12" s="26"/>
      <c r="E12" s="8"/>
      <c r="F12" s="8"/>
      <c r="G12" s="8"/>
      <c r="H12" s="8"/>
      <c r="I12" s="8"/>
      <c r="J12" s="8"/>
      <c r="K12" s="8"/>
      <c r="L12" s="8"/>
    </row>
    <row r="13" spans="2:12">
      <c r="B13" s="8"/>
      <c r="C13" s="8"/>
      <c r="D13" s="26"/>
      <c r="E13" s="8"/>
      <c r="F13" s="8"/>
      <c r="G13" s="8"/>
      <c r="H13" s="8"/>
      <c r="I13" s="8"/>
      <c r="J13" s="8"/>
      <c r="K13" s="8"/>
      <c r="L13" s="8"/>
    </row>
    <row r="14" spans="2:12">
      <c r="B14" s="8"/>
      <c r="C14" s="8"/>
      <c r="D14" s="8"/>
      <c r="E14" s="8"/>
      <c r="F14" s="8"/>
      <c r="G14" s="8"/>
      <c r="H14" s="8"/>
      <c r="I14" s="8"/>
      <c r="J14" s="8"/>
      <c r="K14" s="8"/>
      <c r="L14" s="8"/>
    </row>
    <row r="15" spans="2:12">
      <c r="B15" s="8"/>
      <c r="C15" s="8"/>
      <c r="D15" s="8"/>
      <c r="E15" s="8"/>
      <c r="F15" s="8"/>
      <c r="G15" s="8"/>
      <c r="H15" s="8"/>
      <c r="I15" s="8"/>
      <c r="J15" s="8"/>
      <c r="K15" s="8"/>
      <c r="L15" s="8"/>
    </row>
    <row r="16" spans="2:12">
      <c r="B16" s="8"/>
      <c r="C16" s="8"/>
      <c r="D16" s="8"/>
      <c r="E16" s="8"/>
      <c r="F16" s="8"/>
      <c r="G16" s="8"/>
      <c r="H16" s="8"/>
      <c r="I16" s="8"/>
      <c r="J16" s="8"/>
      <c r="K16" s="8"/>
      <c r="L16" s="8"/>
    </row>
    <row r="17" spans="2:13">
      <c r="B17" s="8"/>
      <c r="C17" s="8"/>
      <c r="D17" s="8"/>
      <c r="E17" s="8"/>
      <c r="F17" s="8"/>
      <c r="G17" s="8"/>
      <c r="H17" s="8"/>
      <c r="I17" s="8"/>
      <c r="J17" s="8"/>
      <c r="K17" s="8"/>
      <c r="L17" s="8"/>
    </row>
    <row r="18" spans="2:13">
      <c r="B18" s="8"/>
      <c r="C18" s="8"/>
      <c r="D18" s="8"/>
      <c r="E18" s="8"/>
      <c r="F18" s="8"/>
      <c r="G18" s="8"/>
      <c r="H18" s="8"/>
      <c r="I18" s="8"/>
      <c r="J18" s="8"/>
      <c r="K18" s="8"/>
      <c r="L18" s="8"/>
    </row>
    <row r="19" spans="2:13">
      <c r="B19" s="8"/>
      <c r="C19" s="8"/>
      <c r="D19" s="8"/>
      <c r="E19" s="8"/>
      <c r="F19" s="8"/>
      <c r="G19" s="8"/>
      <c r="H19" s="8"/>
      <c r="I19" s="8"/>
      <c r="J19" s="8"/>
      <c r="K19" s="8"/>
      <c r="L19" s="8"/>
    </row>
    <row r="20" spans="2:13">
      <c r="B20" s="8"/>
      <c r="C20" s="8"/>
      <c r="D20" s="8"/>
      <c r="E20" s="8"/>
      <c r="F20" s="8"/>
      <c r="G20" s="8"/>
      <c r="H20" s="8"/>
      <c r="I20" s="8"/>
      <c r="J20" s="8"/>
      <c r="K20" s="8"/>
      <c r="L20" s="8"/>
    </row>
    <row r="21" spans="2:13">
      <c r="B21" s="8"/>
      <c r="C21" s="8"/>
      <c r="D21" s="8"/>
      <c r="E21" s="8"/>
      <c r="F21" s="8"/>
      <c r="G21" s="8"/>
      <c r="H21" s="8"/>
      <c r="I21" s="8"/>
      <c r="J21" s="8"/>
      <c r="K21" s="8"/>
      <c r="L21" s="8"/>
    </row>
    <row r="22" spans="2:13">
      <c r="B22" s="8"/>
      <c r="C22" s="8"/>
      <c r="D22" s="8"/>
      <c r="E22" s="8"/>
      <c r="F22" s="8"/>
      <c r="G22" s="8"/>
      <c r="H22" s="8"/>
      <c r="I22" s="8"/>
      <c r="J22" s="8"/>
      <c r="K22" s="8"/>
      <c r="L22" s="8"/>
    </row>
    <row r="23" spans="2:13">
      <c r="B23" s="8"/>
      <c r="C23" s="8"/>
      <c r="D23" s="8"/>
      <c r="E23" s="8"/>
      <c r="F23" s="8"/>
      <c r="G23" s="8"/>
      <c r="H23" s="8"/>
      <c r="I23" s="8"/>
      <c r="J23" s="8"/>
      <c r="K23" s="8"/>
      <c r="L23" s="8"/>
    </row>
    <row r="24" spans="2:13">
      <c r="B24" s="8"/>
      <c r="C24" s="8"/>
      <c r="D24" s="8"/>
      <c r="E24" s="8"/>
      <c r="F24" s="8"/>
      <c r="G24" s="8"/>
      <c r="H24" s="8"/>
      <c r="I24" s="8"/>
      <c r="J24" s="8"/>
      <c r="K24" s="8"/>
      <c r="L24" s="8"/>
    </row>
    <row r="25" spans="2:13">
      <c r="B25" s="8"/>
      <c r="C25" s="8"/>
      <c r="D25" s="8"/>
      <c r="E25" s="8"/>
      <c r="F25" s="8"/>
      <c r="G25" s="8"/>
      <c r="H25" s="8"/>
      <c r="I25" s="8"/>
      <c r="J25" s="8"/>
      <c r="K25" s="8"/>
      <c r="L25" s="8"/>
    </row>
    <row r="26" spans="2:13">
      <c r="B26" s="24"/>
      <c r="C26" s="24"/>
      <c r="D26" s="26"/>
      <c r="E26" s="8"/>
      <c r="F26" s="8"/>
      <c r="G26" s="8"/>
      <c r="H26" s="8"/>
      <c r="I26" s="8"/>
      <c r="J26" s="8"/>
      <c r="K26" s="8"/>
      <c r="L26" s="16"/>
    </row>
    <row r="27" spans="2:13">
      <c r="B27" s="24"/>
      <c r="C27" s="24"/>
      <c r="D27" s="26"/>
      <c r="E27" s="8"/>
      <c r="F27" s="8"/>
      <c r="G27" s="8"/>
      <c r="H27" s="8"/>
      <c r="I27" s="8"/>
      <c r="J27" s="8"/>
      <c r="K27" s="8"/>
      <c r="L27" s="16"/>
    </row>
    <row r="28" spans="2:13">
      <c r="B28" s="8"/>
      <c r="C28" s="8"/>
      <c r="D28" s="26"/>
      <c r="E28" s="8"/>
      <c r="F28" s="8"/>
      <c r="G28" s="8"/>
      <c r="H28" s="8"/>
      <c r="I28" s="8"/>
      <c r="J28" s="8"/>
      <c r="K28" s="28"/>
      <c r="L28" s="16"/>
    </row>
    <row r="29" spans="2:13" ht="85.95" customHeight="1">
      <c r="B29" s="405" t="e" vm="1">
        <v>#VALUE!</v>
      </c>
      <c r="C29" s="405"/>
      <c r="D29" s="405"/>
      <c r="E29" s="405"/>
      <c r="F29" s="405"/>
      <c r="G29" s="405"/>
      <c r="H29" s="405"/>
      <c r="I29" s="405"/>
      <c r="J29" s="23"/>
      <c r="K29" s="23"/>
      <c r="L29" s="23"/>
      <c r="M29" s="23"/>
    </row>
    <row r="30" spans="2:13">
      <c r="B30" s="24"/>
      <c r="C30" s="24"/>
      <c r="D30" s="26"/>
      <c r="E30" s="8"/>
      <c r="F30" s="8"/>
      <c r="G30" s="8"/>
      <c r="H30" s="8"/>
      <c r="I30" s="8"/>
      <c r="J30" s="8"/>
      <c r="K30" s="8"/>
      <c r="L30" s="8"/>
    </row>
    <row r="31" spans="2:13">
      <c r="B31" s="24"/>
      <c r="C31" s="24"/>
      <c r="D31" s="26"/>
      <c r="E31" s="8"/>
      <c r="F31" s="8"/>
      <c r="G31" s="8"/>
      <c r="H31" s="8"/>
      <c r="I31" s="8"/>
      <c r="J31" s="8"/>
      <c r="K31" s="8"/>
      <c r="L31" s="8"/>
    </row>
    <row r="32" spans="2:13">
      <c r="B32" s="8"/>
      <c r="C32" s="8"/>
      <c r="D32" s="26"/>
      <c r="E32" s="8"/>
      <c r="F32" s="8"/>
      <c r="G32" s="8"/>
      <c r="H32" s="8"/>
      <c r="I32" s="8"/>
      <c r="J32" s="8"/>
      <c r="K32" s="8"/>
      <c r="L32" s="8"/>
    </row>
    <row r="33" spans="2:12">
      <c r="B33" s="23"/>
      <c r="C33" s="23"/>
      <c r="D33" s="16"/>
      <c r="E33" s="8"/>
      <c r="F33" s="8"/>
      <c r="G33" s="9"/>
      <c r="H33" s="9"/>
      <c r="I33" s="9"/>
      <c r="J33" s="9"/>
      <c r="K33" s="9"/>
      <c r="L33" s="9"/>
    </row>
    <row r="34" spans="2:12">
      <c r="B34" s="23"/>
      <c r="C34" s="23"/>
      <c r="D34" s="16"/>
      <c r="E34" s="8"/>
      <c r="F34" s="8"/>
      <c r="G34" s="9"/>
      <c r="H34" s="9"/>
      <c r="I34" s="9"/>
      <c r="J34" s="9"/>
      <c r="K34" s="9"/>
      <c r="L34" s="9"/>
    </row>
    <row r="35" spans="2:12">
      <c r="B35" s="23"/>
      <c r="C35" s="23"/>
      <c r="D35" s="16"/>
      <c r="E35" s="8"/>
      <c r="F35" s="8"/>
      <c r="G35" s="9"/>
      <c r="H35" s="9"/>
      <c r="I35" s="9"/>
      <c r="J35" s="9"/>
      <c r="K35" s="9"/>
      <c r="L35" s="9"/>
    </row>
    <row r="36" spans="2:12">
      <c r="B36" s="23"/>
      <c r="C36" s="23"/>
      <c r="D36" s="13"/>
      <c r="E36" s="8"/>
      <c r="F36" s="8"/>
      <c r="G36" s="9"/>
      <c r="H36" s="9"/>
      <c r="I36" s="9"/>
      <c r="J36" s="9"/>
      <c r="K36" s="9"/>
      <c r="L36" s="9"/>
    </row>
    <row r="37" spans="2:12">
      <c r="B37" s="23"/>
      <c r="C37" s="23"/>
      <c r="D37" s="13"/>
      <c r="E37" s="8"/>
      <c r="F37" s="8"/>
      <c r="G37" s="9"/>
      <c r="H37" s="9"/>
      <c r="I37" s="9"/>
      <c r="J37" s="9"/>
      <c r="K37" s="9"/>
      <c r="L37" s="9"/>
    </row>
    <row r="38" spans="2:12">
      <c r="B38" s="23"/>
      <c r="C38" s="23"/>
      <c r="D38" s="13"/>
      <c r="E38" s="8"/>
      <c r="F38" s="8"/>
      <c r="G38" s="9"/>
      <c r="H38" s="9"/>
      <c r="I38" s="9"/>
      <c r="J38" s="9"/>
      <c r="K38" s="9"/>
      <c r="L38" s="9"/>
    </row>
    <row r="39" spans="2:12">
      <c r="B39" s="23"/>
      <c r="C39" s="23"/>
      <c r="D39" s="13"/>
      <c r="E39" s="9"/>
      <c r="F39" s="8"/>
      <c r="G39" s="9"/>
      <c r="H39" s="9"/>
      <c r="I39" s="9"/>
      <c r="J39" s="9"/>
      <c r="K39" s="9"/>
      <c r="L39" s="9"/>
    </row>
    <row r="40" spans="2:12">
      <c r="B40" s="23"/>
      <c r="C40" s="23"/>
      <c r="D40" s="13"/>
      <c r="E40" s="8"/>
      <c r="F40" s="8"/>
      <c r="G40" s="9"/>
      <c r="H40" s="9"/>
      <c r="I40" s="9"/>
      <c r="J40" s="9"/>
      <c r="K40" s="9"/>
      <c r="L40" s="9"/>
    </row>
    <row r="41" spans="2:12">
      <c r="B41" s="23"/>
      <c r="C41" s="23"/>
      <c r="D41" s="13"/>
      <c r="E41" s="14"/>
      <c r="F41" s="8"/>
      <c r="G41" s="9"/>
      <c r="H41" s="9"/>
      <c r="I41" s="9"/>
      <c r="J41" s="9"/>
      <c r="K41" s="9"/>
      <c r="L41" s="9"/>
    </row>
    <row r="42" spans="2:12">
      <c r="B42" s="23"/>
      <c r="C42" s="23"/>
      <c r="D42" s="13"/>
      <c r="E42" s="8"/>
      <c r="F42" s="8"/>
      <c r="G42" s="9"/>
      <c r="H42" s="9"/>
      <c r="I42" s="9"/>
      <c r="J42" s="9"/>
      <c r="K42" s="9"/>
      <c r="L42" s="9"/>
    </row>
    <row r="43" spans="2:12">
      <c r="B43" s="23"/>
      <c r="C43" s="23"/>
      <c r="D43" s="13"/>
      <c r="E43" s="8"/>
      <c r="F43" s="8"/>
      <c r="G43" s="9"/>
      <c r="H43" s="9"/>
      <c r="I43" s="9"/>
      <c r="J43" s="9"/>
      <c r="K43" s="9"/>
      <c r="L43" s="9"/>
    </row>
    <row r="44" spans="2:12">
      <c r="B44" s="23"/>
      <c r="C44" s="23"/>
      <c r="D44" s="13"/>
      <c r="E44" s="8"/>
      <c r="F44" s="8"/>
      <c r="G44" s="9"/>
      <c r="H44" s="9"/>
      <c r="I44" s="9"/>
      <c r="J44" s="9"/>
      <c r="K44" s="9"/>
      <c r="L44" s="9"/>
    </row>
    <row r="45" spans="2:12">
      <c r="B45" s="23"/>
      <c r="C45" s="23"/>
      <c r="D45" s="13"/>
      <c r="E45" s="15"/>
      <c r="F45" s="8"/>
      <c r="G45" s="8"/>
      <c r="H45" s="8"/>
      <c r="I45" s="8"/>
      <c r="J45" s="8"/>
      <c r="K45" s="8"/>
      <c r="L45" s="8"/>
    </row>
    <row r="46" spans="2:12">
      <c r="B46" s="8"/>
      <c r="C46" s="8"/>
      <c r="D46" s="13"/>
      <c r="E46" s="8"/>
      <c r="F46" s="8"/>
      <c r="G46" s="8"/>
      <c r="H46" s="8"/>
      <c r="I46" s="8"/>
      <c r="J46" s="8"/>
      <c r="K46" s="8"/>
      <c r="L46" s="8"/>
    </row>
    <row r="47" spans="2:12">
      <c r="B47" s="8"/>
      <c r="C47" s="8"/>
      <c r="D47" s="13"/>
      <c r="E47" s="14"/>
      <c r="F47" s="8"/>
      <c r="G47" s="8"/>
      <c r="H47" s="8"/>
      <c r="I47" s="8"/>
      <c r="J47" s="8"/>
      <c r="K47" s="8"/>
      <c r="L47" s="8"/>
    </row>
    <row r="48" spans="2:12">
      <c r="B48" s="8"/>
      <c r="C48" s="8"/>
      <c r="D48" s="13"/>
      <c r="E48" s="14"/>
      <c r="F48" s="8"/>
      <c r="G48" s="8"/>
      <c r="H48" s="8"/>
      <c r="I48" s="8"/>
      <c r="J48" s="8"/>
      <c r="K48" s="8"/>
      <c r="L48" s="8"/>
    </row>
    <row r="49" spans="4:12">
      <c r="D49" s="13"/>
      <c r="E49" s="14"/>
      <c r="F49" s="8"/>
      <c r="G49" s="8"/>
      <c r="H49" s="8"/>
      <c r="I49" s="8"/>
      <c r="J49" s="8"/>
      <c r="K49" s="8"/>
      <c r="L49" s="8"/>
    </row>
    <row r="50" spans="4:12">
      <c r="D50" s="13"/>
      <c r="E50" s="14"/>
      <c r="F50" s="8"/>
      <c r="G50" s="8"/>
      <c r="H50" s="9"/>
      <c r="I50" s="8"/>
      <c r="J50" s="8"/>
      <c r="K50" s="8"/>
      <c r="L50" s="8"/>
    </row>
    <row r="51" spans="4:12">
      <c r="D51" s="13"/>
      <c r="E51" s="14"/>
      <c r="F51" s="8"/>
      <c r="G51" s="8"/>
      <c r="H51" s="8"/>
      <c r="I51" s="8"/>
      <c r="J51" s="8"/>
      <c r="K51" s="8"/>
      <c r="L51" s="8"/>
    </row>
    <row r="52" spans="4:12">
      <c r="D52" s="13"/>
      <c r="E52" s="14" t="str">
        <f>IF(comparador2=0," ",comparador2)</f>
        <v xml:space="preserve"> </v>
      </c>
      <c r="F52" s="8"/>
      <c r="G52" s="8"/>
      <c r="H52" s="8"/>
      <c r="I52" s="8"/>
      <c r="J52" s="8"/>
      <c r="K52" s="8"/>
      <c r="L52" s="8"/>
    </row>
    <row r="56" spans="4:12">
      <c r="D56" s="29"/>
      <c r="E56" s="17"/>
      <c r="F56" s="8"/>
      <c r="G56" s="8"/>
      <c r="H56" s="8"/>
      <c r="I56" s="8"/>
      <c r="J56" s="8"/>
      <c r="K56" s="8"/>
      <c r="L56" s="8"/>
    </row>
    <row r="57" spans="4:12">
      <c r="D57" s="29"/>
      <c r="E57" s="17"/>
      <c r="F57" s="8"/>
      <c r="G57" s="8"/>
      <c r="H57" s="8"/>
      <c r="I57" s="8"/>
      <c r="J57" s="8"/>
      <c r="K57" s="8"/>
      <c r="L57" s="8"/>
    </row>
    <row r="58" spans="4:12">
      <c r="D58" s="29"/>
      <c r="E58" s="17"/>
      <c r="F58" s="8"/>
      <c r="G58" s="8"/>
      <c r="H58" s="8"/>
      <c r="I58" s="8"/>
      <c r="J58" s="8"/>
      <c r="K58" s="8"/>
      <c r="L58" s="8"/>
    </row>
    <row r="59" spans="4:12">
      <c r="D59" s="29"/>
      <c r="E59" s="17"/>
      <c r="F59" s="8"/>
      <c r="G59" s="8"/>
      <c r="H59" s="8"/>
      <c r="I59" s="8"/>
      <c r="J59" s="8"/>
      <c r="K59" s="8"/>
      <c r="L59" s="8"/>
    </row>
    <row r="60" spans="4:12">
      <c r="D60" s="29"/>
      <c r="E60" s="17"/>
      <c r="F60" s="8"/>
      <c r="G60" s="8"/>
      <c r="H60" s="8"/>
      <c r="I60" s="8"/>
      <c r="J60" s="8"/>
      <c r="K60" s="8"/>
      <c r="L60" s="8"/>
    </row>
    <row r="61" spans="4:12">
      <c r="D61" s="29"/>
      <c r="E61" s="17"/>
      <c r="F61" s="8"/>
      <c r="G61" s="8"/>
      <c r="H61" s="8"/>
      <c r="I61" s="8"/>
      <c r="J61" s="8"/>
      <c r="K61" s="8"/>
      <c r="L61" s="8"/>
    </row>
  </sheetData>
  <sheetProtection algorithmName="SHA-512" hashValue="5XTL+Zn4mhPG27pr5oryYQ89qm6V5/a3w9xnhjiJZ08ieT3DsxQxVACe2kioIdHd0RBi7q4E8b2+9pd+fOt6ig==" saltValue="Yx9kTeRAQYp9bv9+xZBvGg==" spinCount="100000" sheet="1" objects="1" scenarios="1" selectLockedCells="1" selectUnlockedCells="1"/>
  <mergeCells count="1">
    <mergeCell ref="B29:I29"/>
  </mergeCells>
  <pageMargins left="0.511811024" right="0.511811024" top="0.78740157499999996" bottom="0.78740157499999996" header="0.31496062000000002" footer="0.31496062000000002"/>
  <ignoredErrors>
    <ignoredError sqref="B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91E3E-4A4F-49B5-90BF-CCBF09C7B5BA}">
  <sheetPr codeName="Planilha10">
    <tabColor rgb="FFDDCFAD"/>
  </sheetPr>
  <dimension ref="A1:U70"/>
  <sheetViews>
    <sheetView showGridLines="0" showRowColHeaders="0" zoomScaleNormal="100" workbookViewId="0">
      <selection activeCell="E28" sqref="E28"/>
    </sheetView>
  </sheetViews>
  <sheetFormatPr defaultColWidth="8.77734375" defaultRowHeight="14.4"/>
  <cols>
    <col min="1" max="1" width="5.77734375" style="142" customWidth="1"/>
    <col min="2" max="2" width="3.44140625" style="142" customWidth="1"/>
    <col min="3" max="3" width="39" style="142" customWidth="1"/>
    <col min="4" max="4" width="4.77734375" style="79" customWidth="1"/>
    <col min="5" max="5" width="37.109375" style="142" customWidth="1"/>
    <col min="6" max="6" width="12.109375" style="142" customWidth="1"/>
    <col min="7" max="7" width="4.6640625" style="142" customWidth="1"/>
    <col min="8" max="16" width="8.77734375" style="142" customWidth="1"/>
    <col min="17" max="17" width="4.44140625" style="142" customWidth="1"/>
    <col min="18" max="18" width="47.109375" style="142" hidden="1" customWidth="1"/>
    <col min="19" max="19" width="2.109375" style="142" hidden="1" customWidth="1"/>
    <col min="20" max="20" width="8.77734375" style="142" hidden="1" customWidth="1"/>
    <col min="21" max="43" width="8.77734375" style="142" customWidth="1"/>
    <col min="44" max="16384" width="8.77734375" style="142"/>
  </cols>
  <sheetData>
    <row r="1" spans="1:21" s="130" customFormat="1" ht="33.6">
      <c r="A1" s="127"/>
      <c r="B1" s="128" t="str">
        <f>Introduction!$B$1</f>
        <v>Budget impact analysis of Intrauterine device levonorgestrel for treatment of Leiomioma presenting with heavy bleeding</v>
      </c>
      <c r="C1" s="128"/>
      <c r="D1" s="129"/>
      <c r="E1" s="127"/>
      <c r="F1" s="127"/>
      <c r="G1" s="127"/>
      <c r="H1" s="127"/>
      <c r="I1" s="127"/>
      <c r="J1" s="127"/>
      <c r="K1" s="127"/>
      <c r="L1" s="127"/>
      <c r="M1" s="127"/>
      <c r="N1" s="127"/>
      <c r="O1" s="127"/>
      <c r="P1" s="127"/>
      <c r="Q1" s="127"/>
      <c r="R1" s="127"/>
      <c r="S1" s="127"/>
      <c r="T1" s="127"/>
      <c r="U1" s="127"/>
    </row>
    <row r="2" spans="1:21" s="130" customFormat="1" ht="18">
      <c r="A2" s="127"/>
      <c r="B2" s="131"/>
      <c r="C2" s="131"/>
      <c r="D2" s="132"/>
      <c r="E2" s="133"/>
      <c r="F2" s="133"/>
      <c r="G2" s="133"/>
      <c r="H2" s="133"/>
      <c r="I2" s="133"/>
      <c r="J2" s="133"/>
      <c r="K2" s="133"/>
      <c r="L2" s="133"/>
      <c r="M2" s="127"/>
      <c r="N2" s="127"/>
      <c r="O2" s="127"/>
      <c r="P2" s="127"/>
      <c r="Q2" s="127"/>
      <c r="R2" s="127"/>
      <c r="S2" s="127"/>
      <c r="T2" s="127"/>
      <c r="U2" s="127"/>
    </row>
    <row r="3" spans="1:21" s="134" customFormat="1" ht="2.25" customHeight="1">
      <c r="D3" s="135"/>
    </row>
    <row r="4" spans="1:21" s="137" customFormat="1">
      <c r="A4" s="136"/>
      <c r="D4" s="138"/>
      <c r="P4" s="139"/>
      <c r="Q4" s="139"/>
      <c r="R4" s="149" t="s">
        <v>60</v>
      </c>
      <c r="S4" s="149"/>
      <c r="T4" s="149"/>
      <c r="U4" s="139"/>
    </row>
    <row r="5" spans="1:21" ht="18">
      <c r="A5" s="136"/>
      <c r="B5" s="136"/>
      <c r="C5" s="140" t="s">
        <v>61</v>
      </c>
      <c r="D5" s="141"/>
      <c r="E5" s="83"/>
      <c r="F5" s="136"/>
      <c r="G5" s="136"/>
      <c r="H5" s="136"/>
      <c r="I5" s="136"/>
      <c r="J5" s="136"/>
      <c r="K5" s="136"/>
      <c r="L5" s="136"/>
      <c r="M5" s="136"/>
      <c r="N5" s="136"/>
      <c r="O5" s="136"/>
      <c r="P5" s="139"/>
      <c r="Q5" s="139">
        <v>1</v>
      </c>
      <c r="R5" s="149" t="str">
        <f>"Budget impact analysis of "&amp;E33&amp;" for treatment of "&amp;E27</f>
        <v>Budget impact analysis of Intrauterine device levonorgestrel for treatment of Leiomioma presenting with heavy bleeding</v>
      </c>
      <c r="S5" s="149" t="str">
        <f>intervencao1</f>
        <v>Intrauterine device levonorgestrel</v>
      </c>
      <c r="T5" s="149"/>
      <c r="U5" s="139"/>
    </row>
    <row r="6" spans="1:21">
      <c r="A6" s="136"/>
      <c r="B6" s="136"/>
      <c r="C6" s="136" t="s">
        <v>62</v>
      </c>
      <c r="D6" s="136"/>
      <c r="E6" s="83"/>
      <c r="F6" s="136"/>
      <c r="G6" s="136"/>
      <c r="H6" s="136"/>
      <c r="I6" s="136"/>
      <c r="J6" s="136"/>
      <c r="K6" s="136"/>
      <c r="L6" s="136"/>
      <c r="M6" s="136"/>
      <c r="N6" s="136"/>
      <c r="O6" s="136"/>
      <c r="P6" s="139"/>
      <c r="Q6" s="139">
        <v>2</v>
      </c>
      <c r="R6" s="149" t="str">
        <f>"Budget impact analysis of treatments for "&amp;E27</f>
        <v>Budget impact analysis of treatments for Leiomioma presenting with heavy bleeding</v>
      </c>
      <c r="S6" s="149">
        <f>intervencao2</f>
        <v>0</v>
      </c>
      <c r="T6" s="149"/>
      <c r="U6" s="139"/>
    </row>
    <row r="7" spans="1:21">
      <c r="A7" s="136"/>
      <c r="B7" s="136"/>
      <c r="C7" s="136"/>
      <c r="D7" s="136"/>
      <c r="E7" s="83"/>
      <c r="F7" s="143"/>
      <c r="G7" s="136"/>
      <c r="H7" s="136"/>
      <c r="I7" s="136"/>
      <c r="J7" s="136"/>
      <c r="K7" s="136"/>
      <c r="L7" s="136"/>
      <c r="M7" s="136"/>
      <c r="N7" s="136"/>
      <c r="O7" s="136"/>
      <c r="P7" s="139"/>
      <c r="Q7" s="139">
        <v>3</v>
      </c>
      <c r="R7" s="149"/>
      <c r="S7" s="149">
        <f>intervencao3</f>
        <v>0</v>
      </c>
      <c r="T7" s="149"/>
      <c r="U7" s="139"/>
    </row>
    <row r="8" spans="1:21" ht="57" customHeight="1">
      <c r="A8" s="136"/>
      <c r="B8" s="136"/>
      <c r="C8" s="144" t="s">
        <v>135</v>
      </c>
      <c r="D8" s="145"/>
      <c r="E8" s="146" t="str">
        <f>IF(AND(E33="",n_interv&lt;2),R4,IF(n_interv&lt;2,R5,R6))</f>
        <v>Budget impact analysis of Intrauterine device levonorgestrel for treatment of Leiomioma presenting with heavy bleeding</v>
      </c>
      <c r="F8" s="408" t="s">
        <v>63</v>
      </c>
      <c r="G8" s="409"/>
      <c r="H8" s="409"/>
      <c r="I8" s="409"/>
      <c r="J8" s="136"/>
      <c r="K8" s="136"/>
      <c r="L8" s="136"/>
      <c r="M8" s="136"/>
      <c r="N8" s="136"/>
      <c r="O8" s="136"/>
      <c r="P8" s="139"/>
      <c r="Q8" s="139">
        <v>4</v>
      </c>
      <c r="R8" s="149"/>
      <c r="S8" s="149">
        <f>intervencao4</f>
        <v>0</v>
      </c>
      <c r="T8" s="149"/>
      <c r="U8" s="139"/>
    </row>
    <row r="9" spans="1:21">
      <c r="A9" s="136"/>
      <c r="B9" s="136"/>
      <c r="C9" s="42"/>
      <c r="D9" s="145"/>
      <c r="E9" s="145"/>
      <c r="F9" s="43"/>
      <c r="G9" s="136"/>
      <c r="H9" s="136"/>
      <c r="I9" s="136"/>
      <c r="J9" s="136"/>
      <c r="K9" s="136"/>
      <c r="L9" s="136"/>
      <c r="M9" s="136"/>
      <c r="N9" s="136"/>
      <c r="O9" s="136"/>
      <c r="P9" s="139"/>
      <c r="Q9" s="139">
        <v>5</v>
      </c>
      <c r="R9" s="149"/>
      <c r="S9" s="149" t="str">
        <f>comparador1</f>
        <v>Oral contraceptive</v>
      </c>
      <c r="T9" s="149"/>
      <c r="U9" s="139"/>
    </row>
    <row r="10" spans="1:21">
      <c r="A10" s="136"/>
      <c r="B10" s="136"/>
      <c r="C10" s="42" t="s">
        <v>210</v>
      </c>
      <c r="D10" s="145"/>
      <c r="E10" s="44" t="s">
        <v>346</v>
      </c>
      <c r="F10" s="43"/>
      <c r="G10" s="136"/>
      <c r="H10" s="136"/>
      <c r="I10" s="136"/>
      <c r="J10" s="136"/>
      <c r="K10" s="136"/>
      <c r="L10" s="136"/>
      <c r="M10" s="136"/>
      <c r="N10" s="136"/>
      <c r="O10" s="136"/>
      <c r="P10" s="139"/>
      <c r="Q10" s="139">
        <v>6</v>
      </c>
      <c r="R10" s="149"/>
      <c r="S10" s="149">
        <f>comparador2</f>
        <v>0</v>
      </c>
      <c r="T10" s="149"/>
      <c r="U10" s="139"/>
    </row>
    <row r="11" spans="1:21">
      <c r="A11" s="136"/>
      <c r="B11" s="136"/>
      <c r="C11" s="42"/>
      <c r="D11" s="145"/>
      <c r="E11" s="145"/>
      <c r="F11" s="43"/>
      <c r="G11" s="136"/>
      <c r="H11" s="136"/>
      <c r="I11" s="136"/>
      <c r="J11" s="136"/>
      <c r="K11" s="136"/>
      <c r="L11" s="136"/>
      <c r="M11" s="136"/>
      <c r="N11" s="136"/>
      <c r="O11" s="136"/>
      <c r="P11" s="139"/>
      <c r="Q11" s="139">
        <v>7</v>
      </c>
      <c r="R11" s="149"/>
      <c r="S11" s="149">
        <f>comparador3</f>
        <v>0</v>
      </c>
      <c r="T11" s="149"/>
      <c r="U11" s="139"/>
    </row>
    <row r="12" spans="1:21">
      <c r="A12" s="136"/>
      <c r="B12" s="136"/>
      <c r="C12" s="42" t="s">
        <v>64</v>
      </c>
      <c r="D12" s="145"/>
      <c r="E12" s="44"/>
      <c r="F12" s="43"/>
      <c r="G12" s="136"/>
      <c r="H12" s="136"/>
      <c r="I12" s="136"/>
      <c r="J12" s="136"/>
      <c r="K12" s="136"/>
      <c r="L12" s="136"/>
      <c r="M12" s="136"/>
      <c r="N12" s="136"/>
      <c r="O12" s="136"/>
      <c r="P12" s="139"/>
      <c r="Q12" s="139">
        <v>8</v>
      </c>
      <c r="R12" s="149"/>
      <c r="S12" s="149">
        <f>comparador4</f>
        <v>0</v>
      </c>
      <c r="T12" s="149"/>
      <c r="U12" s="139"/>
    </row>
    <row r="13" spans="1:21">
      <c r="A13" s="136"/>
      <c r="B13" s="136"/>
      <c r="C13" s="42"/>
      <c r="D13" s="145"/>
      <c r="E13" s="145"/>
      <c r="F13" s="43"/>
      <c r="G13" s="136"/>
      <c r="H13" s="136"/>
      <c r="I13" s="136"/>
      <c r="J13" s="136"/>
      <c r="K13" s="136"/>
      <c r="L13" s="136"/>
      <c r="M13" s="136"/>
      <c r="N13" s="136"/>
      <c r="O13" s="136"/>
      <c r="P13" s="139"/>
      <c r="Q13" s="139">
        <v>9</v>
      </c>
      <c r="R13" s="149"/>
      <c r="S13" s="149">
        <f>comparador5</f>
        <v>0</v>
      </c>
      <c r="T13" s="149"/>
      <c r="U13" s="139"/>
    </row>
    <row r="14" spans="1:21">
      <c r="A14" s="136"/>
      <c r="B14" s="136"/>
      <c r="C14" s="42" t="s">
        <v>65</v>
      </c>
      <c r="D14" s="145"/>
      <c r="E14" s="125"/>
      <c r="F14" s="43"/>
      <c r="G14" s="136"/>
      <c r="H14" s="136"/>
      <c r="I14" s="136"/>
      <c r="J14" s="136"/>
      <c r="K14" s="136"/>
      <c r="L14" s="136"/>
      <c r="M14" s="136"/>
      <c r="N14" s="136"/>
      <c r="O14" s="136"/>
      <c r="P14" s="139"/>
      <c r="Q14" s="139">
        <v>10</v>
      </c>
      <c r="R14" s="149"/>
      <c r="S14" s="149">
        <f>comparador6</f>
        <v>0</v>
      </c>
      <c r="T14" s="149"/>
      <c r="U14" s="139"/>
    </row>
    <row r="15" spans="1:21">
      <c r="A15" s="136"/>
      <c r="B15" s="136"/>
      <c r="C15" s="42"/>
      <c r="D15" s="42"/>
      <c r="E15" s="42"/>
      <c r="F15" s="43"/>
      <c r="G15" s="136"/>
      <c r="H15" s="136"/>
      <c r="I15" s="136"/>
      <c r="J15" s="136"/>
      <c r="K15" s="136"/>
      <c r="L15" s="136"/>
      <c r="M15" s="136"/>
      <c r="N15" s="136"/>
      <c r="O15" s="136"/>
      <c r="P15" s="139"/>
      <c r="Q15" s="139" t="s">
        <v>0</v>
      </c>
      <c r="R15" s="149"/>
      <c r="S15" s="149">
        <f>comparador7</f>
        <v>0</v>
      </c>
      <c r="T15" s="149"/>
      <c r="U15" s="139"/>
    </row>
    <row r="16" spans="1:21">
      <c r="A16" s="136"/>
      <c r="B16" s="136"/>
      <c r="C16" s="42" t="s">
        <v>66</v>
      </c>
      <c r="D16" s="145"/>
      <c r="E16" s="44"/>
      <c r="F16" s="43"/>
      <c r="G16" s="136"/>
      <c r="H16" s="136"/>
      <c r="I16" s="136"/>
      <c r="J16" s="136"/>
      <c r="K16" s="136"/>
      <c r="L16" s="136"/>
      <c r="M16" s="136"/>
      <c r="N16" s="136"/>
      <c r="O16" s="136"/>
      <c r="P16" s="139"/>
      <c r="Q16" s="139" t="s">
        <v>1</v>
      </c>
      <c r="R16" s="149"/>
      <c r="S16" s="149">
        <f>comparador8</f>
        <v>0</v>
      </c>
      <c r="T16" s="149"/>
      <c r="U16" s="139"/>
    </row>
    <row r="17" spans="3:21">
      <c r="C17" s="136"/>
      <c r="D17" s="145"/>
      <c r="E17" s="44"/>
      <c r="F17" s="43"/>
      <c r="G17" s="136"/>
      <c r="H17" s="136"/>
      <c r="I17" s="136"/>
      <c r="J17" s="136"/>
      <c r="K17" s="136"/>
      <c r="L17" s="136"/>
      <c r="M17" s="136"/>
      <c r="N17" s="136"/>
      <c r="O17" s="136"/>
      <c r="P17" s="139"/>
      <c r="Q17" s="139"/>
      <c r="R17" s="149"/>
      <c r="S17" s="149">
        <f>comparador9</f>
        <v>0</v>
      </c>
      <c r="T17" s="149"/>
      <c r="U17" s="139"/>
    </row>
    <row r="18" spans="3:21">
      <c r="C18" s="145"/>
      <c r="D18" s="145"/>
      <c r="E18" s="44"/>
      <c r="F18" s="43"/>
      <c r="G18" s="136"/>
      <c r="H18" s="136"/>
      <c r="I18" s="136"/>
      <c r="J18" s="136"/>
      <c r="K18" s="136"/>
      <c r="L18" s="136"/>
      <c r="M18" s="136"/>
      <c r="N18" s="136"/>
      <c r="O18" s="136"/>
      <c r="P18" s="139"/>
      <c r="Q18" s="139"/>
      <c r="R18" s="149"/>
      <c r="S18" s="149">
        <f>comparador10</f>
        <v>0</v>
      </c>
      <c r="T18" s="149"/>
      <c r="U18" s="139"/>
    </row>
    <row r="19" spans="3:21">
      <c r="C19" s="145"/>
      <c r="D19" s="145"/>
      <c r="E19" s="32"/>
      <c r="F19" s="43"/>
      <c r="G19" s="136"/>
      <c r="H19" s="136"/>
      <c r="I19" s="136"/>
      <c r="J19" s="136"/>
      <c r="K19" s="136"/>
      <c r="L19" s="136"/>
      <c r="M19" s="136"/>
      <c r="N19" s="136"/>
      <c r="O19" s="136"/>
      <c r="P19" s="139"/>
      <c r="Q19" s="139"/>
      <c r="R19" s="150"/>
      <c r="S19" s="151"/>
      <c r="T19" s="150"/>
      <c r="U19" s="139"/>
    </row>
    <row r="20" spans="3:21" customFormat="1">
      <c r="C20" s="63"/>
      <c r="D20" s="7"/>
      <c r="E20" s="7"/>
      <c r="F20" s="7"/>
      <c r="G20" s="7"/>
      <c r="H20" s="7"/>
      <c r="I20" s="7"/>
      <c r="J20" s="7"/>
      <c r="K20" s="7"/>
      <c r="L20" s="7"/>
      <c r="M20" s="7"/>
      <c r="N20" s="7"/>
      <c r="O20" s="7"/>
      <c r="P20" s="7"/>
      <c r="Q20" s="7"/>
      <c r="R20" s="152"/>
      <c r="S20" s="151"/>
      <c r="T20" s="152"/>
    </row>
    <row r="21" spans="3:21" customFormat="1">
      <c r="C21" s="64"/>
      <c r="D21" s="65"/>
      <c r="E21" s="65"/>
      <c r="F21" s="65"/>
      <c r="G21" s="65"/>
      <c r="H21" s="65"/>
      <c r="I21" s="65"/>
      <c r="J21" s="65"/>
      <c r="K21" s="65"/>
      <c r="L21" s="65"/>
      <c r="M21" s="65"/>
      <c r="N21" s="65"/>
      <c r="O21" s="7"/>
      <c r="P21" s="7"/>
      <c r="Q21" s="7"/>
      <c r="R21" s="7"/>
      <c r="S21" s="147"/>
      <c r="T21" s="7"/>
    </row>
    <row r="22" spans="3:21" customFormat="1">
      <c r="C22" s="63"/>
      <c r="D22" s="7"/>
      <c r="E22" s="7"/>
      <c r="F22" s="7"/>
      <c r="G22" s="7"/>
      <c r="H22" s="7"/>
      <c r="I22" s="7"/>
      <c r="J22" s="7"/>
      <c r="K22" s="7"/>
      <c r="L22" s="7"/>
      <c r="M22" s="7"/>
      <c r="N22" s="7"/>
      <c r="O22" s="7"/>
      <c r="P22" s="7"/>
      <c r="Q22" s="7"/>
      <c r="R22" s="7"/>
      <c r="S22" s="7"/>
      <c r="T22" s="7"/>
    </row>
    <row r="23" spans="3:21" ht="18">
      <c r="C23" s="140" t="s">
        <v>67</v>
      </c>
      <c r="D23" s="141"/>
      <c r="E23" s="83"/>
      <c r="F23" s="43"/>
      <c r="G23" s="136"/>
      <c r="H23" s="136"/>
      <c r="I23" s="136"/>
      <c r="J23" s="136"/>
      <c r="K23" s="136"/>
      <c r="L23" s="136"/>
      <c r="M23" s="136"/>
      <c r="N23" s="136"/>
      <c r="O23" s="136"/>
      <c r="P23" s="136"/>
      <c r="Q23" s="136"/>
      <c r="R23" s="136"/>
      <c r="S23" s="136"/>
      <c r="T23" s="136"/>
      <c r="U23" s="136"/>
    </row>
    <row r="24" spans="3:21">
      <c r="C24" s="136" t="s">
        <v>211</v>
      </c>
      <c r="D24" s="136"/>
      <c r="E24" s="83"/>
      <c r="F24" s="43"/>
      <c r="G24" s="136"/>
      <c r="H24" s="136"/>
      <c r="I24" s="136"/>
      <c r="J24" s="136"/>
      <c r="K24" s="136"/>
      <c r="L24" s="136"/>
      <c r="M24" s="136"/>
      <c r="N24" s="136"/>
      <c r="O24" s="136"/>
      <c r="P24" s="136"/>
      <c r="Q24" s="136"/>
      <c r="R24" s="136"/>
      <c r="S24" s="136"/>
      <c r="T24" s="136"/>
      <c r="U24" s="136"/>
    </row>
    <row r="25" spans="3:21">
      <c r="C25" s="136"/>
      <c r="D25" s="136"/>
      <c r="E25" s="83"/>
      <c r="F25" s="43"/>
      <c r="G25" s="136"/>
      <c r="H25" s="136"/>
      <c r="I25" s="136"/>
      <c r="J25" s="136"/>
      <c r="K25" s="136"/>
      <c r="L25" s="136"/>
      <c r="M25" s="136"/>
      <c r="N25" s="136"/>
      <c r="O25" s="136"/>
      <c r="P25" s="136"/>
      <c r="Q25" s="136"/>
      <c r="R25" s="136"/>
      <c r="S25" s="136"/>
      <c r="T25" s="136"/>
      <c r="U25" s="136"/>
    </row>
    <row r="26" spans="3:21">
      <c r="C26" s="42" t="s">
        <v>68</v>
      </c>
      <c r="D26" s="145"/>
      <c r="E26" s="136"/>
      <c r="F26" s="43"/>
      <c r="G26" s="136"/>
      <c r="H26" s="136"/>
      <c r="I26" s="136"/>
      <c r="J26" s="136"/>
      <c r="K26" s="136"/>
      <c r="L26" s="136"/>
      <c r="M26" s="136"/>
      <c r="N26" s="136"/>
      <c r="O26" s="136"/>
      <c r="P26" s="136"/>
      <c r="Q26" s="136"/>
      <c r="R26" s="136"/>
      <c r="S26" s="136"/>
      <c r="T26" s="136"/>
      <c r="U26" s="136"/>
    </row>
    <row r="27" spans="3:21">
      <c r="C27" s="407" t="s">
        <v>212</v>
      </c>
      <c r="D27" s="145"/>
      <c r="E27" s="44" t="s">
        <v>363</v>
      </c>
      <c r="F27" s="43"/>
      <c r="G27" s="136"/>
      <c r="H27" s="136"/>
      <c r="I27" s="136"/>
      <c r="J27" s="136"/>
      <c r="K27" s="136"/>
      <c r="L27" s="136"/>
      <c r="M27" s="136"/>
      <c r="N27" s="136"/>
      <c r="O27" s="136"/>
      <c r="P27" s="136"/>
      <c r="Q27" s="136"/>
      <c r="R27" s="136"/>
      <c r="S27" s="136"/>
      <c r="T27" s="136"/>
      <c r="U27" s="136"/>
    </row>
    <row r="28" spans="3:21">
      <c r="C28" s="407"/>
      <c r="D28" s="145"/>
      <c r="E28" s="145"/>
      <c r="F28" s="145"/>
      <c r="G28" s="145"/>
      <c r="H28" s="145"/>
      <c r="I28" s="136"/>
      <c r="J28" s="136"/>
      <c r="K28" s="136"/>
      <c r="L28" s="136"/>
      <c r="M28" s="136"/>
      <c r="N28" s="136"/>
      <c r="O28" s="136"/>
      <c r="P28" s="136"/>
      <c r="Q28" s="136"/>
      <c r="R28" s="136"/>
      <c r="S28" s="136"/>
      <c r="T28" s="136"/>
      <c r="U28" s="136"/>
    </row>
    <row r="29" spans="3:21">
      <c r="C29" s="42" t="s">
        <v>69</v>
      </c>
      <c r="D29" s="145"/>
      <c r="E29" s="145"/>
      <c r="F29" s="43"/>
      <c r="G29" s="136"/>
      <c r="H29" s="136"/>
      <c r="I29" s="136"/>
      <c r="J29" s="136"/>
      <c r="K29" s="136"/>
      <c r="L29" s="136"/>
      <c r="M29" s="136"/>
      <c r="N29" s="136"/>
      <c r="O29" s="136"/>
      <c r="P29" s="136"/>
      <c r="Q29" s="136"/>
      <c r="R29" s="136"/>
      <c r="S29" s="136"/>
      <c r="T29" s="136"/>
      <c r="U29" s="136"/>
    </row>
    <row r="30" spans="3:21">
      <c r="C30" s="148" t="s">
        <v>213</v>
      </c>
      <c r="D30" s="145"/>
      <c r="E30" s="145"/>
      <c r="F30" s="43"/>
      <c r="G30" s="136"/>
      <c r="H30" s="136"/>
      <c r="I30" s="136"/>
      <c r="J30" s="136"/>
      <c r="K30" s="136"/>
      <c r="L30" s="136"/>
      <c r="M30" s="136"/>
      <c r="N30" s="136"/>
      <c r="O30" s="136"/>
      <c r="P30" s="136"/>
      <c r="Q30" s="136"/>
      <c r="R30" s="136"/>
      <c r="S30" s="136"/>
      <c r="T30" s="136"/>
      <c r="U30" s="136"/>
    </row>
    <row r="31" spans="3:21">
      <c r="C31" s="48" t="s">
        <v>214</v>
      </c>
      <c r="D31" s="145"/>
      <c r="E31" s="44">
        <v>1</v>
      </c>
      <c r="F31" s="410" t="s">
        <v>72</v>
      </c>
      <c r="G31" s="410"/>
      <c r="H31" s="410"/>
      <c r="I31" s="410"/>
      <c r="J31" s="410"/>
      <c r="K31" s="410"/>
      <c r="L31" s="136"/>
      <c r="M31" s="136"/>
      <c r="N31" s="136"/>
      <c r="O31" s="136"/>
      <c r="P31" s="136"/>
      <c r="Q31" s="136"/>
      <c r="R31" s="136"/>
      <c r="S31" s="136"/>
      <c r="T31" s="136"/>
      <c r="U31" s="136"/>
    </row>
    <row r="32" spans="3:21">
      <c r="C32" s="48"/>
      <c r="D32" s="145"/>
      <c r="E32" s="145"/>
      <c r="F32" s="410"/>
      <c r="G32" s="410"/>
      <c r="H32" s="410"/>
      <c r="I32" s="410"/>
      <c r="J32" s="410"/>
      <c r="K32" s="410"/>
      <c r="L32" s="136"/>
      <c r="M32" s="136"/>
      <c r="N32" s="136"/>
      <c r="O32" s="136"/>
      <c r="P32" s="136"/>
      <c r="Q32" s="136"/>
      <c r="R32" s="136"/>
      <c r="S32" s="136"/>
      <c r="T32" s="136"/>
      <c r="U32" s="136"/>
    </row>
    <row r="33" spans="3:21">
      <c r="C33" s="48" t="s">
        <v>215</v>
      </c>
      <c r="D33" s="145">
        <v>1</v>
      </c>
      <c r="E33" s="44" t="s">
        <v>347</v>
      </c>
      <c r="F33" s="43"/>
      <c r="G33" s="136"/>
      <c r="H33" s="136"/>
      <c r="I33" s="136"/>
      <c r="J33" s="136"/>
      <c r="K33" s="136"/>
      <c r="L33" s="136"/>
      <c r="M33" s="136"/>
      <c r="N33" s="136"/>
      <c r="O33" s="136"/>
      <c r="P33" s="136"/>
      <c r="Q33" s="136"/>
      <c r="R33" s="136"/>
      <c r="S33" s="136"/>
      <c r="T33" s="136"/>
      <c r="U33" s="136"/>
    </row>
    <row r="34" spans="3:21">
      <c r="C34" s="48" t="s">
        <v>215</v>
      </c>
      <c r="D34" s="145">
        <v>2</v>
      </c>
      <c r="E34" s="44"/>
      <c r="F34" s="43"/>
      <c r="G34" s="136"/>
      <c r="H34" s="136"/>
      <c r="I34" s="136"/>
      <c r="J34" s="136"/>
      <c r="K34" s="136"/>
      <c r="L34" s="136"/>
      <c r="M34" s="136"/>
      <c r="N34" s="136"/>
      <c r="O34" s="136"/>
      <c r="P34" s="136"/>
      <c r="Q34" s="136"/>
      <c r="R34" s="136"/>
      <c r="S34" s="136"/>
      <c r="T34" s="136"/>
      <c r="U34" s="136"/>
    </row>
    <row r="35" spans="3:21">
      <c r="C35" s="48" t="s">
        <v>215</v>
      </c>
      <c r="D35" s="145">
        <v>3</v>
      </c>
      <c r="E35" s="44"/>
      <c r="F35" s="43"/>
      <c r="G35" s="136"/>
      <c r="H35" s="136"/>
      <c r="I35" s="136"/>
      <c r="J35" s="136"/>
      <c r="K35" s="136"/>
      <c r="L35" s="136"/>
      <c r="M35" s="136"/>
      <c r="N35" s="136"/>
      <c r="O35" s="136"/>
      <c r="P35" s="136"/>
      <c r="Q35" s="136"/>
      <c r="R35" s="136"/>
      <c r="S35" s="136"/>
      <c r="T35" s="136"/>
      <c r="U35" s="136"/>
    </row>
    <row r="36" spans="3:21">
      <c r="C36" s="48" t="s">
        <v>215</v>
      </c>
      <c r="D36" s="145">
        <v>4</v>
      </c>
      <c r="E36" s="44"/>
      <c r="F36" s="43"/>
      <c r="G36" s="136"/>
      <c r="H36" s="136"/>
      <c r="I36" s="136"/>
      <c r="J36" s="136"/>
      <c r="K36" s="136"/>
      <c r="L36" s="136"/>
      <c r="M36" s="136"/>
      <c r="N36" s="136"/>
      <c r="O36" s="136"/>
      <c r="P36" s="136"/>
      <c r="Q36" s="136"/>
      <c r="R36" s="136"/>
      <c r="S36" s="136"/>
      <c r="T36" s="136"/>
      <c r="U36" s="136"/>
    </row>
    <row r="37" spans="3:21">
      <c r="C37" s="136"/>
      <c r="D37" s="136"/>
      <c r="E37" s="136"/>
      <c r="F37" s="43"/>
      <c r="G37" s="136"/>
      <c r="H37" s="136"/>
      <c r="I37" s="136"/>
      <c r="J37" s="136"/>
      <c r="K37" s="136"/>
      <c r="L37" s="136"/>
      <c r="M37" s="136"/>
      <c r="N37" s="136"/>
      <c r="O37" s="136"/>
      <c r="P37" s="136"/>
      <c r="Q37" s="136"/>
      <c r="R37" s="136"/>
      <c r="S37" s="136"/>
      <c r="T37" s="136"/>
      <c r="U37" s="136"/>
    </row>
    <row r="38" spans="3:21">
      <c r="C38" s="42" t="s">
        <v>70</v>
      </c>
      <c r="D38" s="145"/>
      <c r="E38" s="145"/>
      <c r="F38" s="43"/>
      <c r="G38" s="136"/>
      <c r="H38" s="136"/>
      <c r="I38" s="136"/>
      <c r="J38" s="136"/>
      <c r="K38" s="136"/>
      <c r="L38" s="136"/>
      <c r="M38" s="136"/>
      <c r="N38" s="136"/>
      <c r="O38" s="136"/>
      <c r="P38" s="136"/>
      <c r="Q38" s="136"/>
      <c r="R38" s="136"/>
      <c r="S38" s="136"/>
      <c r="T38" s="136"/>
      <c r="U38" s="136"/>
    </row>
    <row r="39" spans="3:21">
      <c r="C39" s="148" t="s">
        <v>71</v>
      </c>
      <c r="D39" s="145"/>
      <c r="E39" s="145"/>
      <c r="F39" s="43"/>
      <c r="G39" s="136"/>
      <c r="H39" s="136"/>
      <c r="I39" s="136"/>
      <c r="J39" s="136"/>
      <c r="K39" s="136"/>
      <c r="L39" s="136"/>
      <c r="M39" s="136"/>
      <c r="N39" s="136"/>
      <c r="O39" s="136"/>
      <c r="P39" s="136"/>
      <c r="Q39" s="136"/>
      <c r="R39" s="136"/>
      <c r="S39" s="136"/>
      <c r="T39" s="136"/>
      <c r="U39" s="136"/>
    </row>
    <row r="40" spans="3:21">
      <c r="C40" s="48" t="s">
        <v>217</v>
      </c>
      <c r="D40" s="145"/>
      <c r="E40" s="44">
        <v>1</v>
      </c>
      <c r="F40" s="410" t="s">
        <v>73</v>
      </c>
      <c r="G40" s="410"/>
      <c r="H40" s="410"/>
      <c r="I40" s="410"/>
      <c r="J40" s="410"/>
      <c r="K40" s="136"/>
      <c r="L40" s="136"/>
      <c r="M40" s="136"/>
      <c r="N40" s="136"/>
      <c r="O40" s="136"/>
      <c r="P40" s="136"/>
      <c r="Q40" s="136"/>
      <c r="R40" s="136"/>
      <c r="S40" s="136"/>
      <c r="T40" s="136"/>
      <c r="U40" s="136"/>
    </row>
    <row r="41" spans="3:21">
      <c r="C41" s="48"/>
      <c r="D41" s="145"/>
      <c r="E41" s="145"/>
      <c r="F41" s="410"/>
      <c r="G41" s="410"/>
      <c r="H41" s="410"/>
      <c r="I41" s="410"/>
      <c r="J41" s="410"/>
      <c r="K41" s="136"/>
      <c r="L41" s="136"/>
      <c r="M41" s="136"/>
      <c r="N41" s="136"/>
      <c r="O41" s="136"/>
      <c r="P41" s="136"/>
      <c r="Q41" s="136"/>
      <c r="R41" s="136"/>
      <c r="S41" s="136"/>
      <c r="T41" s="136"/>
      <c r="U41" s="136"/>
    </row>
    <row r="42" spans="3:21">
      <c r="C42" s="48" t="s">
        <v>216</v>
      </c>
      <c r="D42" s="145">
        <v>1</v>
      </c>
      <c r="E42" s="44" t="s">
        <v>348</v>
      </c>
      <c r="F42" s="43"/>
      <c r="G42" s="136"/>
      <c r="H42" s="136"/>
      <c r="I42" s="136"/>
      <c r="J42" s="136"/>
      <c r="K42" s="136"/>
      <c r="L42" s="136"/>
      <c r="M42" s="136"/>
      <c r="N42" s="136"/>
      <c r="O42" s="136"/>
      <c r="P42" s="136"/>
      <c r="Q42" s="136"/>
      <c r="R42" s="136"/>
      <c r="S42" s="136"/>
      <c r="T42" s="136"/>
      <c r="U42" s="136"/>
    </row>
    <row r="43" spans="3:21">
      <c r="C43" s="48" t="s">
        <v>216</v>
      </c>
      <c r="D43" s="145">
        <v>2</v>
      </c>
      <c r="E43" s="44"/>
      <c r="F43" s="43"/>
      <c r="G43" s="136"/>
      <c r="H43" s="136"/>
      <c r="I43" s="136"/>
      <c r="J43" s="136"/>
      <c r="K43" s="136"/>
      <c r="L43" s="136"/>
      <c r="M43" s="136"/>
      <c r="N43" s="136"/>
      <c r="O43" s="136"/>
      <c r="P43" s="136"/>
      <c r="Q43" s="136"/>
      <c r="R43" s="136"/>
      <c r="S43" s="136"/>
      <c r="T43" s="136"/>
      <c r="U43" s="136"/>
    </row>
    <row r="44" spans="3:21">
      <c r="C44" s="48" t="s">
        <v>216</v>
      </c>
      <c r="D44" s="145">
        <v>3</v>
      </c>
      <c r="E44" s="44"/>
      <c r="F44" s="43"/>
      <c r="G44" s="136"/>
      <c r="H44" s="136"/>
      <c r="I44" s="136"/>
      <c r="J44" s="136"/>
      <c r="K44" s="136"/>
      <c r="L44" s="136"/>
      <c r="M44" s="136"/>
      <c r="N44" s="136"/>
      <c r="O44" s="136"/>
      <c r="P44" s="136"/>
      <c r="Q44" s="136"/>
      <c r="R44" s="136"/>
      <c r="S44" s="136"/>
      <c r="T44" s="136"/>
      <c r="U44" s="136"/>
    </row>
    <row r="45" spans="3:21">
      <c r="C45" s="48" t="s">
        <v>216</v>
      </c>
      <c r="D45" s="145">
        <v>4</v>
      </c>
      <c r="E45" s="44"/>
      <c r="F45" s="43"/>
      <c r="G45" s="136"/>
      <c r="H45" s="136"/>
      <c r="I45" s="136"/>
      <c r="J45" s="136"/>
      <c r="K45" s="136"/>
      <c r="L45" s="136"/>
      <c r="M45" s="136"/>
      <c r="N45" s="136"/>
      <c r="O45" s="136"/>
      <c r="P45" s="136"/>
      <c r="Q45" s="136"/>
      <c r="R45" s="136"/>
      <c r="S45" s="136"/>
      <c r="T45" s="136"/>
      <c r="U45" s="136"/>
    </row>
    <row r="46" spans="3:21">
      <c r="C46" s="48" t="s">
        <v>216</v>
      </c>
      <c r="D46" s="145">
        <v>5</v>
      </c>
      <c r="E46" s="44"/>
      <c r="F46" s="43"/>
      <c r="G46" s="136"/>
      <c r="H46" s="136"/>
      <c r="I46" s="136"/>
      <c r="J46" s="136"/>
      <c r="K46" s="136"/>
      <c r="L46" s="136"/>
      <c r="M46" s="136"/>
      <c r="N46" s="136"/>
      <c r="O46" s="136"/>
      <c r="P46" s="136"/>
      <c r="Q46" s="136"/>
      <c r="R46" s="136"/>
      <c r="S46" s="136"/>
      <c r="T46" s="136"/>
      <c r="U46" s="136"/>
    </row>
    <row r="47" spans="3:21">
      <c r="C47" s="48" t="s">
        <v>216</v>
      </c>
      <c r="D47" s="145">
        <v>6</v>
      </c>
      <c r="E47" s="44"/>
      <c r="F47" s="43"/>
      <c r="G47" s="136"/>
      <c r="H47" s="136"/>
      <c r="I47" s="136"/>
      <c r="J47" s="136"/>
      <c r="K47" s="136"/>
      <c r="L47" s="136"/>
      <c r="M47" s="136"/>
      <c r="N47" s="136"/>
      <c r="O47" s="136"/>
      <c r="P47" s="136"/>
      <c r="Q47" s="136"/>
      <c r="R47" s="136"/>
      <c r="S47" s="136"/>
      <c r="T47" s="136"/>
      <c r="U47" s="136"/>
    </row>
    <row r="48" spans="3:21">
      <c r="C48" s="48" t="s">
        <v>216</v>
      </c>
      <c r="D48" s="145">
        <v>7</v>
      </c>
      <c r="E48" s="44"/>
      <c r="F48" s="43"/>
      <c r="G48" s="136"/>
      <c r="H48" s="136"/>
      <c r="I48" s="136"/>
      <c r="J48" s="136"/>
      <c r="K48" s="136"/>
      <c r="L48" s="136"/>
      <c r="M48" s="136"/>
      <c r="N48" s="136"/>
      <c r="O48" s="136"/>
      <c r="P48" s="136"/>
      <c r="Q48" s="136"/>
      <c r="R48" s="136"/>
      <c r="S48" s="136"/>
      <c r="T48" s="136"/>
      <c r="U48" s="136"/>
    </row>
    <row r="49" spans="3:12">
      <c r="C49" s="48" t="s">
        <v>216</v>
      </c>
      <c r="D49" s="145">
        <v>8</v>
      </c>
      <c r="E49" s="44"/>
      <c r="F49" s="43"/>
      <c r="G49" s="136"/>
      <c r="H49" s="136"/>
      <c r="I49" s="136"/>
      <c r="J49" s="136"/>
      <c r="K49" s="136"/>
      <c r="L49" s="136"/>
    </row>
    <row r="50" spans="3:12">
      <c r="C50" s="48" t="s">
        <v>216</v>
      </c>
      <c r="D50" s="145">
        <v>9</v>
      </c>
      <c r="E50" s="44"/>
      <c r="F50" s="43"/>
      <c r="G50" s="136"/>
      <c r="H50" s="136"/>
      <c r="I50" s="136"/>
      <c r="J50" s="136"/>
      <c r="K50" s="136"/>
      <c r="L50" s="136"/>
    </row>
    <row r="51" spans="3:12">
      <c r="C51" s="48" t="s">
        <v>216</v>
      </c>
      <c r="D51" s="145">
        <v>10</v>
      </c>
      <c r="E51" s="44"/>
      <c r="F51" s="43"/>
      <c r="G51" s="136"/>
      <c r="H51" s="136"/>
      <c r="I51" s="136"/>
      <c r="J51" s="136"/>
      <c r="K51" s="136"/>
      <c r="L51" s="136"/>
    </row>
    <row r="52" spans="3:12">
      <c r="C52" s="42"/>
      <c r="D52" s="42"/>
      <c r="E52" s="42"/>
      <c r="F52" s="43"/>
      <c r="G52" s="136"/>
      <c r="H52" s="136"/>
      <c r="I52" s="136"/>
      <c r="J52" s="136"/>
      <c r="K52" s="136"/>
      <c r="L52" s="136"/>
    </row>
    <row r="53" spans="3:12">
      <c r="C53" s="42" t="s">
        <v>218</v>
      </c>
      <c r="D53" s="42"/>
      <c r="E53" s="42"/>
      <c r="F53" s="43"/>
      <c r="G53" s="136"/>
      <c r="H53" s="136"/>
      <c r="I53" s="136"/>
      <c r="J53" s="136"/>
      <c r="K53" s="136"/>
      <c r="L53" s="136"/>
    </row>
    <row r="54" spans="3:12">
      <c r="C54" s="148" t="s">
        <v>219</v>
      </c>
      <c r="D54" s="42"/>
      <c r="E54" s="42"/>
      <c r="F54" s="43"/>
      <c r="G54" s="136"/>
      <c r="H54" s="136"/>
      <c r="I54" s="136"/>
      <c r="J54" s="136"/>
      <c r="K54" s="136"/>
      <c r="L54" s="136"/>
    </row>
    <row r="55" spans="3:12" ht="15" customHeight="1">
      <c r="C55" s="48" t="s">
        <v>220</v>
      </c>
      <c r="D55" s="42"/>
      <c r="E55" s="44" t="s">
        <v>349</v>
      </c>
      <c r="F55" s="410" t="s">
        <v>74</v>
      </c>
      <c r="G55" s="410"/>
      <c r="H55" s="410"/>
      <c r="I55" s="410"/>
      <c r="J55" s="410"/>
      <c r="K55" s="307"/>
      <c r="L55" s="307"/>
    </row>
    <row r="56" spans="3:12">
      <c r="C56" s="48"/>
      <c r="D56" s="48"/>
      <c r="E56" s="48"/>
      <c r="F56" s="410"/>
      <c r="G56" s="410"/>
      <c r="H56" s="410"/>
      <c r="I56" s="410"/>
      <c r="J56" s="410"/>
      <c r="K56" s="307"/>
      <c r="L56" s="307"/>
    </row>
    <row r="57" spans="3:12">
      <c r="C57" s="48" t="s">
        <v>221</v>
      </c>
      <c r="D57" s="42"/>
      <c r="E57" s="44" t="s">
        <v>350</v>
      </c>
      <c r="F57" s="408" t="s">
        <v>75</v>
      </c>
      <c r="G57" s="409"/>
      <c r="H57" s="409"/>
      <c r="I57" s="409"/>
      <c r="J57" s="409"/>
      <c r="K57" s="409"/>
      <c r="L57" s="136"/>
    </row>
    <row r="58" spans="3:12">
      <c r="C58" s="48" t="s">
        <v>222</v>
      </c>
      <c r="D58" s="42"/>
      <c r="E58" s="44" t="s">
        <v>351</v>
      </c>
      <c r="F58" s="408"/>
      <c r="G58" s="409"/>
      <c r="H58" s="409"/>
      <c r="I58" s="409"/>
      <c r="J58" s="409"/>
      <c r="K58" s="409"/>
      <c r="L58" s="136"/>
    </row>
    <row r="59" spans="3:12">
      <c r="C59" s="48" t="s">
        <v>223</v>
      </c>
      <c r="D59" s="42"/>
      <c r="E59" s="44"/>
      <c r="F59" s="43" t="s">
        <v>76</v>
      </c>
      <c r="G59" s="136"/>
      <c r="H59" s="136"/>
      <c r="I59" s="136"/>
      <c r="J59" s="136"/>
      <c r="K59" s="136"/>
      <c r="L59" s="136"/>
    </row>
    <row r="60" spans="3:12">
      <c r="C60" s="136"/>
      <c r="D60" s="83"/>
      <c r="E60" s="136"/>
      <c r="F60" s="43"/>
      <c r="G60" s="136"/>
      <c r="H60" s="136"/>
      <c r="I60" s="136"/>
      <c r="J60" s="136"/>
      <c r="K60" s="136"/>
      <c r="L60" s="136"/>
    </row>
    <row r="61" spans="3:12">
      <c r="C61" s="136"/>
      <c r="D61" s="83"/>
      <c r="E61" s="136"/>
      <c r="F61" s="43"/>
      <c r="G61" s="136"/>
      <c r="H61" s="136"/>
      <c r="I61" s="136"/>
      <c r="J61" s="136"/>
      <c r="K61" s="136"/>
      <c r="L61" s="136"/>
    </row>
    <row r="62" spans="3:12">
      <c r="C62" s="136"/>
      <c r="D62" s="83"/>
      <c r="E62" s="136"/>
      <c r="F62" s="43"/>
      <c r="G62" s="136"/>
      <c r="H62" s="136"/>
      <c r="I62" s="136"/>
      <c r="J62" s="136"/>
      <c r="K62" s="136"/>
      <c r="L62" s="136"/>
    </row>
    <row r="63" spans="3:12">
      <c r="C63" s="136"/>
      <c r="D63" s="83"/>
      <c r="E63" s="136"/>
      <c r="F63" s="43"/>
      <c r="G63" s="136"/>
      <c r="H63" s="136"/>
      <c r="I63" s="136"/>
      <c r="J63" s="136"/>
      <c r="K63" s="136"/>
      <c r="L63" s="136"/>
    </row>
    <row r="66" spans="2:14">
      <c r="C66" s="7"/>
      <c r="D66" s="7"/>
      <c r="E66" s="7"/>
      <c r="F66" s="7"/>
      <c r="G66" s="7"/>
      <c r="H66" s="7"/>
      <c r="I66" s="7"/>
      <c r="J66" s="7"/>
      <c r="K66" s="7"/>
      <c r="L66" s="7"/>
    </row>
    <row r="67" spans="2:14">
      <c r="C67" s="65"/>
      <c r="D67" s="65"/>
      <c r="E67" s="65"/>
      <c r="F67" s="65"/>
      <c r="G67" s="65"/>
      <c r="H67" s="65"/>
      <c r="I67" s="65"/>
      <c r="J67" s="65"/>
      <c r="K67" s="65"/>
      <c r="L67" s="65"/>
      <c r="M67" s="65"/>
      <c r="N67" s="65"/>
    </row>
    <row r="68" spans="2:14" ht="15" customHeight="1">
      <c r="C68" s="406" t="s">
        <v>224</v>
      </c>
      <c r="D68" s="406"/>
      <c r="E68" s="406"/>
      <c r="F68" s="406"/>
      <c r="G68" s="406"/>
      <c r="H68" s="406"/>
      <c r="I68" s="406"/>
      <c r="J68" s="406"/>
      <c r="K68" s="406"/>
      <c r="L68" s="406"/>
      <c r="M68" s="406"/>
      <c r="N68" s="406"/>
    </row>
    <row r="69" spans="2:14">
      <c r="C69" s="406"/>
      <c r="D69" s="406"/>
      <c r="E69" s="406"/>
      <c r="F69" s="406"/>
      <c r="G69" s="406"/>
      <c r="H69" s="406"/>
      <c r="I69" s="406"/>
      <c r="J69" s="406"/>
      <c r="K69" s="406"/>
      <c r="L69" s="406"/>
      <c r="M69" s="406"/>
      <c r="N69" s="406"/>
    </row>
    <row r="70" spans="2:14" s="1" customFormat="1" ht="85.95" customHeight="1">
      <c r="B70" s="405" t="e" vm="1">
        <v>#VALUE!</v>
      </c>
      <c r="C70" s="405"/>
      <c r="D70" s="405"/>
      <c r="E70" s="405"/>
      <c r="F70" s="405"/>
      <c r="G70" s="405"/>
      <c r="H70" s="405"/>
      <c r="I70" s="405"/>
      <c r="J70" s="405"/>
      <c r="K70" s="405"/>
      <c r="L70" s="405"/>
      <c r="M70" s="405"/>
      <c r="N70" s="405"/>
    </row>
  </sheetData>
  <sheetProtection algorithmName="SHA-512" hashValue="4NoPnzzsXKJV4cOIQhPZbzxuNg9aTJZyQAZOD/F5reEZDv5hMJgquJG7jIIfRAMepcdY8wv4QezNunUn/j+hWQ==" saltValue="YjL0cm/yPCU3Blpx+C8dNw==" spinCount="100000" sheet="1" objects="1" scenarios="1" formatCells="0" formatColumns="0" formatRows="0"/>
  <protectedRanges>
    <protectedRange sqref="E9:E26 E28:E32 E37:E41 E51:E54 E56 E59:E64" name="Intervalo2"/>
    <protectedRange sqref="E27" name="Intervalo2_1"/>
    <protectedRange sqref="E33:E36" name="Intervalo2_2"/>
    <protectedRange sqref="E42:E50" name="Intervalo2_3"/>
    <protectedRange sqref="E55" name="Intervalo2_4"/>
    <protectedRange sqref="E57:E58" name="Intervalo2_5"/>
  </protectedRanges>
  <mergeCells count="8">
    <mergeCell ref="B70:N70"/>
    <mergeCell ref="C68:N69"/>
    <mergeCell ref="C27:C28"/>
    <mergeCell ref="F8:I8"/>
    <mergeCell ref="F40:J41"/>
    <mergeCell ref="F31:K32"/>
    <mergeCell ref="F55:J56"/>
    <mergeCell ref="F57:K58"/>
  </mergeCells>
  <phoneticPr fontId="2" type="noConversion"/>
  <conditionalFormatting sqref="E51">
    <cfRule type="expression" dxfId="101" priority="3" stopIfTrue="1">
      <formula>$E$40&lt;D51</formula>
    </cfRule>
  </conditionalFormatting>
  <conditionalFormatting sqref="E34:E36">
    <cfRule type="expression" dxfId="100" priority="2">
      <formula>$E$31&lt;D34</formula>
    </cfRule>
  </conditionalFormatting>
  <conditionalFormatting sqref="E43:E50">
    <cfRule type="expression" dxfId="99" priority="1" stopIfTrue="1">
      <formula>$E$40&lt;D43</formula>
    </cfRule>
  </conditionalFormatting>
  <dataValidations count="2">
    <dataValidation type="list" allowBlank="1" showInputMessage="1" showErrorMessage="1" sqref="E31" xr:uid="{002524FC-CAD6-491E-9DDB-3B3214DCB9EF}">
      <formula1>$Q$5:$Q$8</formula1>
    </dataValidation>
    <dataValidation type="list" allowBlank="1" showInputMessage="1" showErrorMessage="1" sqref="E40" xr:uid="{0F1A0210-B0E6-4BCD-A10C-84A0CDA1BFA3}">
      <formula1>$Q$5:$Q$14</formula1>
    </dataValidation>
  </dataValidations>
  <pageMargins left="0.511811024" right="0.511811024" top="0.78740157499999996" bottom="0.78740157499999996" header="0.31496062000000002" footer="0.31496062000000002"/>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E63D5-D22D-4DA2-93AE-98035830CD08}">
  <sheetPr codeName="Planilha11">
    <tabColor rgb="FFDDCFAD"/>
  </sheetPr>
  <dimension ref="A1:Z269"/>
  <sheetViews>
    <sheetView showGridLines="0" showRowColHeaders="0" zoomScaleNormal="100" workbookViewId="0">
      <selection activeCell="H59" sqref="H59"/>
    </sheetView>
  </sheetViews>
  <sheetFormatPr defaultColWidth="8.77734375" defaultRowHeight="14.4"/>
  <cols>
    <col min="1" max="1" width="6.77734375" style="3" customWidth="1"/>
    <col min="2" max="2" width="21.6640625" style="3" customWidth="1"/>
    <col min="3" max="7" width="13.44140625" style="3" customWidth="1"/>
    <col min="8" max="8" width="33.77734375" style="182" customWidth="1"/>
    <col min="9" max="9" width="8.77734375" style="3" customWidth="1"/>
    <col min="10" max="14" width="15.109375" style="3" hidden="1" customWidth="1"/>
    <col min="15" max="15" width="8.77734375" style="3" hidden="1" customWidth="1"/>
    <col min="16" max="16" width="13" style="172" hidden="1" customWidth="1"/>
    <col min="17" max="18" width="8.77734375" style="3" hidden="1" customWidth="1"/>
    <col min="19" max="38" width="8.77734375" style="3" customWidth="1"/>
    <col min="39" max="16384" width="8.77734375" style="3"/>
  </cols>
  <sheetData>
    <row r="1" spans="1:20" s="157" customFormat="1" ht="33.6">
      <c r="A1" s="153"/>
      <c r="B1" s="154" t="str">
        <f>Definitions!$E$8</f>
        <v>Budget impact analysis of Intrauterine device levonorgestrel for treatment of Leiomioma presenting with heavy bleeding</v>
      </c>
      <c r="C1" s="154"/>
      <c r="D1" s="155"/>
      <c r="E1" s="153"/>
      <c r="F1" s="153"/>
      <c r="G1" s="153"/>
      <c r="H1" s="156"/>
      <c r="I1" s="153"/>
      <c r="J1" s="153"/>
      <c r="K1" s="153"/>
      <c r="L1" s="153"/>
      <c r="M1" s="153"/>
      <c r="N1" s="153"/>
      <c r="O1" s="153"/>
      <c r="P1" s="153"/>
      <c r="Q1" s="153"/>
      <c r="R1" s="153"/>
      <c r="S1" s="153"/>
      <c r="T1" s="153"/>
    </row>
    <row r="2" spans="1:20" s="157" customFormat="1" ht="18">
      <c r="A2" s="153"/>
      <c r="B2" s="158"/>
      <c r="C2" s="158"/>
      <c r="D2" s="159"/>
      <c r="E2" s="160"/>
      <c r="F2" s="160"/>
      <c r="G2" s="160"/>
      <c r="H2" s="161"/>
      <c r="I2" s="160"/>
      <c r="J2" s="160"/>
      <c r="K2" s="160"/>
      <c r="L2" s="160"/>
      <c r="M2" s="153"/>
      <c r="N2" s="153"/>
      <c r="O2" s="153"/>
      <c r="P2" s="153"/>
      <c r="Q2" s="153"/>
      <c r="R2" s="153"/>
      <c r="S2" s="153"/>
      <c r="T2" s="153"/>
    </row>
    <row r="3" spans="1:20" s="134" customFormat="1" ht="2.25" customHeight="1">
      <c r="D3" s="135"/>
      <c r="H3" s="162"/>
    </row>
    <row r="4" spans="1:20" s="142" customFormat="1">
      <c r="A4" s="136"/>
      <c r="B4" s="136"/>
      <c r="C4" s="136"/>
      <c r="D4" s="163"/>
      <c r="E4" s="136"/>
      <c r="F4" s="43"/>
      <c r="G4" s="136"/>
      <c r="H4" s="136"/>
      <c r="I4" s="136"/>
      <c r="J4" s="136"/>
      <c r="K4" s="136"/>
      <c r="L4" s="136"/>
      <c r="M4" s="136"/>
      <c r="N4" s="136"/>
      <c r="O4" s="136"/>
      <c r="P4" s="136"/>
      <c r="Q4" s="136"/>
      <c r="R4" s="136"/>
      <c r="S4" s="136"/>
      <c r="T4" s="136"/>
    </row>
    <row r="5" spans="1:20" s="137" customFormat="1" ht="18">
      <c r="A5" s="136"/>
      <c r="B5" s="140" t="s">
        <v>78</v>
      </c>
      <c r="D5" s="138"/>
      <c r="F5" s="43"/>
    </row>
    <row r="6" spans="1:20" s="137" customFormat="1">
      <c r="A6" s="136"/>
      <c r="B6" s="136" t="s">
        <v>84</v>
      </c>
      <c r="D6" s="138"/>
      <c r="F6" s="43"/>
    </row>
    <row r="7" spans="1:20" s="142" customFormat="1">
      <c r="A7" s="136"/>
      <c r="B7" s="136"/>
      <c r="C7" s="136"/>
      <c r="D7" s="163"/>
      <c r="E7" s="136"/>
      <c r="F7" s="43"/>
      <c r="G7" s="136"/>
      <c r="H7" s="136"/>
      <c r="I7" s="136"/>
      <c r="J7" s="136"/>
      <c r="K7" s="136"/>
      <c r="L7" s="136"/>
      <c r="M7" s="136"/>
      <c r="N7" s="136"/>
      <c r="O7" s="136"/>
      <c r="P7" s="136"/>
      <c r="Q7" s="136"/>
      <c r="R7" s="136"/>
      <c r="S7" s="136"/>
      <c r="T7" s="136"/>
    </row>
    <row r="8" spans="1:20" s="142" customFormat="1">
      <c r="A8" s="136"/>
      <c r="B8" s="136"/>
      <c r="C8" s="42" t="s">
        <v>80</v>
      </c>
      <c r="D8" s="83"/>
      <c r="E8" s="164" t="s">
        <v>79</v>
      </c>
      <c r="F8" s="43" t="s">
        <v>86</v>
      </c>
      <c r="G8" s="136"/>
      <c r="I8" s="136"/>
      <c r="J8" s="136"/>
      <c r="K8" s="136"/>
      <c r="L8" s="136"/>
      <c r="M8" s="139">
        <f>IF(E8="5 anos",5,IF(E8="4 anos",4,3))</f>
        <v>3</v>
      </c>
      <c r="N8" s="136"/>
      <c r="O8" s="136"/>
      <c r="P8" s="136"/>
      <c r="Q8" s="136"/>
      <c r="R8" s="136"/>
      <c r="S8" s="136"/>
      <c r="T8" s="136"/>
    </row>
    <row r="9" spans="1:20" s="142" customFormat="1">
      <c r="A9" s="136"/>
      <c r="B9" s="136"/>
      <c r="C9" s="136"/>
      <c r="D9" s="83"/>
      <c r="E9" s="136"/>
      <c r="F9" s="43"/>
      <c r="G9" s="136"/>
      <c r="H9" s="136"/>
      <c r="I9" s="136"/>
      <c r="J9" s="136"/>
      <c r="K9" s="136"/>
      <c r="L9" s="136"/>
      <c r="M9" s="136"/>
      <c r="N9" s="136"/>
      <c r="O9" s="136"/>
      <c r="P9" s="136"/>
      <c r="Q9" s="136"/>
      <c r="R9" s="136"/>
      <c r="S9" s="136"/>
      <c r="T9" s="136"/>
    </row>
    <row r="10" spans="1:20" s="142" customFormat="1">
      <c r="A10" s="136"/>
      <c r="B10" s="136"/>
      <c r="C10" s="42" t="s">
        <v>87</v>
      </c>
      <c r="D10" s="83"/>
      <c r="E10" s="44">
        <v>2026</v>
      </c>
      <c r="F10" s="43" t="s">
        <v>85</v>
      </c>
      <c r="G10" s="136"/>
      <c r="H10" s="136"/>
      <c r="I10" s="136"/>
      <c r="J10" s="136"/>
      <c r="K10" s="136"/>
      <c r="L10" s="136"/>
      <c r="M10" s="136"/>
      <c r="N10" s="136"/>
      <c r="O10" s="136"/>
      <c r="P10" s="136"/>
      <c r="Q10" s="136"/>
      <c r="R10" s="136"/>
      <c r="S10" s="136"/>
      <c r="T10" s="136"/>
    </row>
    <row r="11" spans="1:20" s="142" customFormat="1">
      <c r="A11" s="136"/>
      <c r="B11" s="136"/>
      <c r="C11" s="136"/>
      <c r="D11" s="83"/>
      <c r="E11" s="136"/>
      <c r="F11" s="43"/>
      <c r="G11" s="136"/>
      <c r="H11" s="136"/>
      <c r="I11" s="136"/>
      <c r="J11" s="136"/>
      <c r="K11" s="136"/>
      <c r="L11" s="136"/>
      <c r="M11" s="136"/>
      <c r="N11" s="136"/>
      <c r="O11" s="136"/>
      <c r="P11" s="136"/>
      <c r="Q11" s="136"/>
      <c r="R11" s="136"/>
      <c r="S11" s="136"/>
      <c r="T11" s="136"/>
    </row>
    <row r="12" spans="1:20" customFormat="1">
      <c r="B12" s="63"/>
      <c r="C12" s="63"/>
      <c r="D12" s="7"/>
      <c r="E12" s="7"/>
      <c r="F12" s="7"/>
      <c r="G12" s="7"/>
      <c r="H12" s="7"/>
      <c r="I12" s="7"/>
      <c r="J12" s="7"/>
      <c r="K12" s="7"/>
      <c r="L12" s="7"/>
      <c r="M12" s="7"/>
      <c r="N12" s="7"/>
      <c r="O12" s="7"/>
      <c r="P12" s="7"/>
      <c r="Q12" s="7"/>
      <c r="R12" s="7"/>
      <c r="S12" s="7"/>
      <c r="T12" s="7"/>
    </row>
    <row r="13" spans="1:20" customFormat="1">
      <c r="B13" s="64"/>
      <c r="C13" s="64"/>
      <c r="D13" s="65"/>
      <c r="E13" s="65"/>
      <c r="F13" s="65"/>
      <c r="G13" s="65"/>
      <c r="H13" s="65"/>
      <c r="I13" s="65"/>
      <c r="J13" s="65"/>
      <c r="K13" s="65"/>
      <c r="L13" s="65"/>
      <c r="M13" s="65"/>
      <c r="N13" s="65"/>
      <c r="O13" s="7"/>
      <c r="P13" s="7"/>
      <c r="Q13" s="7"/>
      <c r="R13" s="7"/>
      <c r="S13" s="7"/>
      <c r="T13" s="7"/>
    </row>
    <row r="14" spans="1:20" s="142" customFormat="1">
      <c r="A14" s="136"/>
      <c r="B14" s="136"/>
      <c r="C14" s="136"/>
      <c r="D14" s="163"/>
      <c r="E14" s="136"/>
      <c r="F14" s="43"/>
      <c r="G14" s="136"/>
      <c r="H14" s="136"/>
      <c r="I14" s="136"/>
      <c r="J14" s="136"/>
      <c r="K14" s="136"/>
      <c r="L14" s="136"/>
      <c r="M14" s="136"/>
      <c r="N14" s="136"/>
      <c r="O14" s="136"/>
      <c r="P14" s="136"/>
      <c r="Q14" s="136"/>
      <c r="R14" s="136"/>
      <c r="S14" s="136"/>
      <c r="T14" s="136"/>
    </row>
    <row r="15" spans="1:20" s="137" customFormat="1" ht="18">
      <c r="A15" s="136"/>
      <c r="B15" s="140" t="s">
        <v>2</v>
      </c>
      <c r="D15" s="138"/>
      <c r="F15" s="43"/>
    </row>
    <row r="16" spans="1:20" s="137" customFormat="1">
      <c r="A16" s="136"/>
      <c r="B16" s="136" t="s">
        <v>88</v>
      </c>
      <c r="D16" s="138"/>
      <c r="F16" s="43"/>
    </row>
    <row r="17" spans="1:18" s="142" customFormat="1">
      <c r="A17" s="136"/>
      <c r="B17" s="136" t="s">
        <v>339</v>
      </c>
      <c r="C17" s="136"/>
      <c r="D17" s="163"/>
      <c r="E17" s="136"/>
      <c r="F17" s="43"/>
      <c r="G17" s="136"/>
      <c r="H17" s="136"/>
      <c r="I17" s="136"/>
      <c r="J17" s="136"/>
      <c r="K17" s="136"/>
      <c r="L17" s="136"/>
      <c r="M17" s="136"/>
      <c r="N17" s="136"/>
      <c r="O17" s="136"/>
      <c r="P17" s="136"/>
      <c r="Q17" s="136"/>
      <c r="R17" s="136"/>
    </row>
    <row r="18" spans="1:18" s="142" customFormat="1" ht="15.6">
      <c r="A18" s="136"/>
      <c r="B18" s="136" t="s">
        <v>340</v>
      </c>
      <c r="C18" s="83"/>
      <c r="D18" s="83"/>
      <c r="E18" s="83"/>
      <c r="F18" s="43"/>
      <c r="G18" s="136"/>
      <c r="H18" s="136"/>
      <c r="I18" s="136"/>
      <c r="J18" s="165" t="s">
        <v>3</v>
      </c>
      <c r="K18" s="136"/>
      <c r="L18" s="136"/>
      <c r="M18" s="136"/>
      <c r="N18" s="136"/>
      <c r="O18" s="136"/>
      <c r="P18" s="136"/>
      <c r="Q18" s="136"/>
      <c r="R18" s="136"/>
    </row>
    <row r="19" spans="1:18" s="166" customFormat="1" ht="18">
      <c r="B19" s="167" t="s">
        <v>83</v>
      </c>
      <c r="C19" s="168" t="str">
        <f>cen_atual</f>
        <v>Without IUD-LNG</v>
      </c>
      <c r="D19" s="140"/>
      <c r="E19" s="140"/>
      <c r="F19" s="169"/>
      <c r="G19" s="140"/>
      <c r="H19" s="170"/>
      <c r="J19" s="171" t="str">
        <f>cen_atual</f>
        <v>Without IUD-LNG</v>
      </c>
      <c r="K19" s="9"/>
      <c r="L19" s="9"/>
      <c r="M19" s="9"/>
      <c r="N19" s="9"/>
      <c r="O19" s="9"/>
      <c r="P19" s="172"/>
      <c r="Q19" s="9"/>
      <c r="R19" s="9"/>
    </row>
    <row r="20" spans="1:18">
      <c r="A20" s="9"/>
      <c r="B20" s="9"/>
      <c r="C20" s="9"/>
      <c r="D20" s="9"/>
      <c r="E20" s="9"/>
      <c r="F20" s="9"/>
      <c r="G20" s="9"/>
      <c r="H20" s="173"/>
      <c r="I20" s="9"/>
      <c r="J20" s="9"/>
      <c r="K20" s="9"/>
      <c r="L20" s="9"/>
      <c r="M20" s="9"/>
      <c r="N20" s="9"/>
      <c r="O20" s="9"/>
      <c r="Q20" s="9"/>
      <c r="R20" s="9"/>
    </row>
    <row r="21" spans="1:18">
      <c r="A21" s="9"/>
      <c r="B21" s="174" t="s">
        <v>81</v>
      </c>
      <c r="C21" s="174">
        <f>ano_1</f>
        <v>2026</v>
      </c>
      <c r="D21" s="174">
        <f>ano_1+1</f>
        <v>2027</v>
      </c>
      <c r="E21" s="174">
        <f>ano_1+2</f>
        <v>2028</v>
      </c>
      <c r="F21" s="174">
        <f>ano_1+3</f>
        <v>2029</v>
      </c>
      <c r="G21" s="174">
        <f>ano_1+4</f>
        <v>2030</v>
      </c>
      <c r="H21" s="173" t="s">
        <v>93</v>
      </c>
      <c r="I21" s="9"/>
      <c r="J21" s="174">
        <f>ano_1</f>
        <v>2026</v>
      </c>
      <c r="K21" s="174">
        <f>ano_1+1</f>
        <v>2027</v>
      </c>
      <c r="L21" s="174">
        <f>ano_1+2</f>
        <v>2028</v>
      </c>
      <c r="M21" s="174">
        <f>ano_1+3</f>
        <v>2029</v>
      </c>
      <c r="N21" s="174">
        <f>ano_1+4</f>
        <v>2030</v>
      </c>
      <c r="O21" s="9"/>
      <c r="P21" s="174" t="s">
        <v>4</v>
      </c>
      <c r="Q21" s="9"/>
      <c r="R21" s="9"/>
    </row>
    <row r="22" spans="1:18" ht="15" customHeight="1">
      <c r="A22" s="412" t="s">
        <v>91</v>
      </c>
      <c r="B22" s="175" t="str">
        <f>IF(intervencao1=0,"Do not fill this line",intervencao1)</f>
        <v>Intrauterine device levonorgestrel</v>
      </c>
      <c r="C22" s="51"/>
      <c r="D22" s="51"/>
      <c r="E22" s="51"/>
      <c r="F22" s="51"/>
      <c r="G22" s="51"/>
      <c r="H22" s="411" t="s">
        <v>95</v>
      </c>
      <c r="I22" s="9"/>
      <c r="J22" s="164">
        <f>C22*Results!$D$9</f>
        <v>0</v>
      </c>
      <c r="K22" s="164">
        <f>D22*Results!$E$9</f>
        <v>0</v>
      </c>
      <c r="L22" s="164">
        <f>E22*Results!$F$9</f>
        <v>0</v>
      </c>
      <c r="M22" s="164">
        <f>F22*Results!$G$9</f>
        <v>0</v>
      </c>
      <c r="N22" s="164">
        <f>G22*Results!$H$9</f>
        <v>0</v>
      </c>
      <c r="O22" s="9"/>
      <c r="P22" s="176" t="str">
        <f t="shared" ref="P22:P37" si="0">IF(B22="Do not fill this line","Não","Sim")</f>
        <v>Sim</v>
      </c>
      <c r="Q22" s="9"/>
      <c r="R22" s="9"/>
    </row>
    <row r="23" spans="1:18">
      <c r="A23" s="412"/>
      <c r="B23" s="175" t="str">
        <f>IF(intervencao2=0,"Do not fill this line",intervencao2)</f>
        <v>Do not fill this line</v>
      </c>
      <c r="C23" s="51"/>
      <c r="D23" s="51"/>
      <c r="E23" s="51"/>
      <c r="F23" s="51"/>
      <c r="G23" s="51"/>
      <c r="H23" s="411"/>
      <c r="I23" s="9"/>
      <c r="J23" s="164">
        <f>C23*Results!$D$9</f>
        <v>0</v>
      </c>
      <c r="K23" s="164">
        <f>D23*Results!$E$9</f>
        <v>0</v>
      </c>
      <c r="L23" s="164">
        <f>E23*Results!$F$9</f>
        <v>0</v>
      </c>
      <c r="M23" s="164">
        <f>F23*Results!$G$9</f>
        <v>0</v>
      </c>
      <c r="N23" s="164">
        <f>G23*Results!$H$9</f>
        <v>0</v>
      </c>
      <c r="O23" s="9"/>
      <c r="P23" s="176" t="str">
        <f t="shared" si="0"/>
        <v>Não</v>
      </c>
      <c r="Q23" s="9"/>
      <c r="R23" s="9"/>
    </row>
    <row r="24" spans="1:18">
      <c r="A24" s="412"/>
      <c r="B24" s="175" t="str">
        <f>IF(intervencao3=0,"Do not fill this line",intervencao3)</f>
        <v>Do not fill this line</v>
      </c>
      <c r="C24" s="51"/>
      <c r="D24" s="51"/>
      <c r="E24" s="51"/>
      <c r="F24" s="51"/>
      <c r="G24" s="51"/>
      <c r="H24" s="411"/>
      <c r="I24" s="9"/>
      <c r="J24" s="164">
        <f>C24*Results!$D$9</f>
        <v>0</v>
      </c>
      <c r="K24" s="164">
        <f>D24*Results!$E$9</f>
        <v>0</v>
      </c>
      <c r="L24" s="164">
        <f>E24*Results!$F$9</f>
        <v>0</v>
      </c>
      <c r="M24" s="164">
        <f>F24*Results!$G$9</f>
        <v>0</v>
      </c>
      <c r="N24" s="164">
        <f>G24*Results!$H$9</f>
        <v>0</v>
      </c>
      <c r="O24" s="9"/>
      <c r="P24" s="176" t="str">
        <f t="shared" si="0"/>
        <v>Não</v>
      </c>
      <c r="Q24" s="9"/>
      <c r="R24" s="9"/>
    </row>
    <row r="25" spans="1:18">
      <c r="A25" s="412"/>
      <c r="B25" s="175" t="str">
        <f>IF(intervencao4=0,"Do not fill this line",intervencao4)</f>
        <v>Do not fill this line</v>
      </c>
      <c r="C25" s="51"/>
      <c r="D25" s="51"/>
      <c r="E25" s="51"/>
      <c r="F25" s="51"/>
      <c r="G25" s="51"/>
      <c r="H25" s="411"/>
      <c r="I25" s="9"/>
      <c r="J25" s="164">
        <f>C25*Results!$D$9</f>
        <v>0</v>
      </c>
      <c r="K25" s="164">
        <f>D25*Results!$E$9</f>
        <v>0</v>
      </c>
      <c r="L25" s="164">
        <f>E25*Results!$F$9</f>
        <v>0</v>
      </c>
      <c r="M25" s="164">
        <f>F25*Results!$G$9</f>
        <v>0</v>
      </c>
      <c r="N25" s="164">
        <f>G25*Results!$H$9</f>
        <v>0</v>
      </c>
      <c r="O25" s="9"/>
      <c r="P25" s="176" t="str">
        <f t="shared" si="0"/>
        <v>Não</v>
      </c>
      <c r="Q25" s="9"/>
      <c r="R25" s="9"/>
    </row>
    <row r="26" spans="1:18" ht="15" customHeight="1">
      <c r="A26" s="413" t="s">
        <v>92</v>
      </c>
      <c r="B26" s="11" t="str">
        <f>IF(comparador1=0,"Do not fill this line",comparador1)</f>
        <v>Oral contraceptive</v>
      </c>
      <c r="C26" s="385">
        <v>1</v>
      </c>
      <c r="D26" s="385">
        <v>1</v>
      </c>
      <c r="E26" s="385">
        <v>1</v>
      </c>
      <c r="F26" s="385">
        <v>1</v>
      </c>
      <c r="G26" s="385">
        <v>1</v>
      </c>
      <c r="H26" s="173"/>
      <c r="I26" s="9"/>
      <c r="J26" s="164">
        <f>C26*Results!$D$9</f>
        <v>311080.53998220514</v>
      </c>
      <c r="K26" s="164">
        <f>D26*Results!$E$9</f>
        <v>309959.50471967034</v>
      </c>
      <c r="L26" s="164">
        <f>E26*Results!$F$9</f>
        <v>308747.1600436939</v>
      </c>
      <c r="M26" s="164">
        <f>F26*Results!$G$9</f>
        <v>307292.69308336981</v>
      </c>
      <c r="N26" s="164">
        <f>G26*Results!$H$9</f>
        <v>305462.50005901721</v>
      </c>
      <c r="O26" s="9"/>
      <c r="P26" s="176" t="str">
        <f t="shared" si="0"/>
        <v>Sim</v>
      </c>
      <c r="Q26" s="9"/>
      <c r="R26" s="9"/>
    </row>
    <row r="27" spans="1:18">
      <c r="A27" s="413"/>
      <c r="B27" s="11" t="str">
        <f>IF(comparador2=0,"Do not fill this line",comparador2)</f>
        <v>Do not fill this line</v>
      </c>
      <c r="C27" s="385"/>
      <c r="D27" s="385"/>
      <c r="E27" s="385"/>
      <c r="F27" s="385"/>
      <c r="G27" s="385"/>
      <c r="H27" s="177"/>
      <c r="I27" s="9"/>
      <c r="J27" s="164">
        <f>C27*Results!$D$9</f>
        <v>0</v>
      </c>
      <c r="K27" s="164">
        <f>D27*Results!$E$9</f>
        <v>0</v>
      </c>
      <c r="L27" s="164">
        <f>E27*Results!$F$9</f>
        <v>0</v>
      </c>
      <c r="M27" s="164">
        <f>F27*Results!$G$9</f>
        <v>0</v>
      </c>
      <c r="N27" s="164">
        <f>G27*Results!$H$9</f>
        <v>0</v>
      </c>
      <c r="O27" s="9"/>
      <c r="P27" s="176" t="str">
        <f t="shared" si="0"/>
        <v>Não</v>
      </c>
      <c r="Q27" s="9"/>
      <c r="R27" s="9"/>
    </row>
    <row r="28" spans="1:18">
      <c r="A28" s="413"/>
      <c r="B28" s="11" t="str">
        <f>IF(comparador3=0,"Do not fill this line",comparador3)</f>
        <v>Do not fill this line</v>
      </c>
      <c r="C28" s="385"/>
      <c r="D28" s="385"/>
      <c r="E28" s="385"/>
      <c r="F28" s="385"/>
      <c r="G28" s="385"/>
      <c r="H28" s="173"/>
      <c r="I28" s="9"/>
      <c r="J28" s="164">
        <f>C28*Results!$D$9</f>
        <v>0</v>
      </c>
      <c r="K28" s="164">
        <f>D28*Results!$E$9</f>
        <v>0</v>
      </c>
      <c r="L28" s="164">
        <f>E28*Results!$F$9</f>
        <v>0</v>
      </c>
      <c r="M28" s="164">
        <f>F28*Results!$G$9</f>
        <v>0</v>
      </c>
      <c r="N28" s="164">
        <f>G28*Results!$H$9</f>
        <v>0</v>
      </c>
      <c r="O28" s="9"/>
      <c r="P28" s="176" t="str">
        <f t="shared" si="0"/>
        <v>Não</v>
      </c>
      <c r="Q28" s="9"/>
      <c r="R28" s="9"/>
    </row>
    <row r="29" spans="1:18">
      <c r="A29" s="413"/>
      <c r="B29" s="11" t="str">
        <f>IF(comparador4=0,"Do not fill this line",comparador4)</f>
        <v>Do not fill this line</v>
      </c>
      <c r="C29" s="385"/>
      <c r="D29" s="385"/>
      <c r="E29" s="385"/>
      <c r="F29" s="385"/>
      <c r="G29" s="385"/>
      <c r="H29" s="173"/>
      <c r="I29" s="9"/>
      <c r="J29" s="164">
        <f>C29*Results!$D$9</f>
        <v>0</v>
      </c>
      <c r="K29" s="164">
        <f>D29*Results!$E$9</f>
        <v>0</v>
      </c>
      <c r="L29" s="164">
        <f>E29*Results!$F$9</f>
        <v>0</v>
      </c>
      <c r="M29" s="164">
        <f>F29*Results!$G$9</f>
        <v>0</v>
      </c>
      <c r="N29" s="164">
        <f>G29*Results!$H$9</f>
        <v>0</v>
      </c>
      <c r="O29" s="9"/>
      <c r="P29" s="176" t="str">
        <f t="shared" si="0"/>
        <v>Não</v>
      </c>
      <c r="Q29" s="9"/>
      <c r="R29" s="9"/>
    </row>
    <row r="30" spans="1:18">
      <c r="A30" s="413"/>
      <c r="B30" s="11" t="str">
        <f>IF(comparador5=0,"Do not fill this line",comparador5)</f>
        <v>Do not fill this line</v>
      </c>
      <c r="C30" s="385"/>
      <c r="D30" s="385"/>
      <c r="E30" s="385"/>
      <c r="F30" s="385"/>
      <c r="G30" s="385"/>
      <c r="H30" s="173"/>
      <c r="I30" s="9"/>
      <c r="J30" s="164">
        <f>C30*Results!$D$9</f>
        <v>0</v>
      </c>
      <c r="K30" s="164">
        <f>D30*Results!$E$9</f>
        <v>0</v>
      </c>
      <c r="L30" s="164">
        <f>E30*Results!$F$9</f>
        <v>0</v>
      </c>
      <c r="M30" s="164">
        <f>F30*Results!$G$9</f>
        <v>0</v>
      </c>
      <c r="N30" s="164">
        <f>G30*Results!$H$9</f>
        <v>0</v>
      </c>
      <c r="O30" s="9"/>
      <c r="P30" s="176" t="str">
        <f t="shared" si="0"/>
        <v>Não</v>
      </c>
      <c r="Q30" s="9"/>
      <c r="R30" s="9"/>
    </row>
    <row r="31" spans="1:18">
      <c r="A31" s="413"/>
      <c r="B31" s="11" t="str">
        <f>IF(comparador6=0,"Do not fill this line",comparador6)</f>
        <v>Do not fill this line</v>
      </c>
      <c r="C31" s="385"/>
      <c r="D31" s="385"/>
      <c r="E31" s="385"/>
      <c r="F31" s="385"/>
      <c r="G31" s="385"/>
      <c r="H31" s="173"/>
      <c r="I31" s="9"/>
      <c r="J31" s="164">
        <f>C31*Results!$D$9</f>
        <v>0</v>
      </c>
      <c r="K31" s="164">
        <f>D31*Results!$E$9</f>
        <v>0</v>
      </c>
      <c r="L31" s="164">
        <f>E31*Results!$F$9</f>
        <v>0</v>
      </c>
      <c r="M31" s="164">
        <f>F31*Results!$G$9</f>
        <v>0</v>
      </c>
      <c r="N31" s="164">
        <f>G31*Results!$H$9</f>
        <v>0</v>
      </c>
      <c r="O31" s="9"/>
      <c r="P31" s="176" t="str">
        <f t="shared" si="0"/>
        <v>Não</v>
      </c>
      <c r="Q31" s="9"/>
      <c r="R31" s="9"/>
    </row>
    <row r="32" spans="1:18">
      <c r="A32" s="413"/>
      <c r="B32" s="11" t="str">
        <f>IF(comparador7=0,"Do not fill this line",comparador7)</f>
        <v>Do not fill this line</v>
      </c>
      <c r="C32" s="385"/>
      <c r="D32" s="385"/>
      <c r="E32" s="385"/>
      <c r="F32" s="385"/>
      <c r="G32" s="385"/>
      <c r="H32" s="173"/>
      <c r="I32" s="9"/>
      <c r="J32" s="164">
        <f>C32*Results!$D$9</f>
        <v>0</v>
      </c>
      <c r="K32" s="164">
        <f>D32*Results!$E$9</f>
        <v>0</v>
      </c>
      <c r="L32" s="164">
        <f>E32*Results!$F$9</f>
        <v>0</v>
      </c>
      <c r="M32" s="164">
        <f>F32*Results!$G$9</f>
        <v>0</v>
      </c>
      <c r="N32" s="164">
        <f>G32*Results!$H$9</f>
        <v>0</v>
      </c>
      <c r="O32" s="9"/>
      <c r="P32" s="176" t="str">
        <f t="shared" si="0"/>
        <v>Não</v>
      </c>
      <c r="Q32" s="9"/>
      <c r="R32" s="9"/>
    </row>
    <row r="33" spans="1:18">
      <c r="A33" s="413"/>
      <c r="B33" s="11" t="str">
        <f>IF(comparador8=0,"Do not fill this line",comparador8)</f>
        <v>Do not fill this line</v>
      </c>
      <c r="C33" s="385"/>
      <c r="D33" s="385"/>
      <c r="E33" s="385"/>
      <c r="F33" s="385"/>
      <c r="G33" s="385"/>
      <c r="H33" s="173"/>
      <c r="I33" s="9"/>
      <c r="J33" s="164">
        <f>C33*Results!$D$9</f>
        <v>0</v>
      </c>
      <c r="K33" s="164">
        <f>D33*Results!$E$9</f>
        <v>0</v>
      </c>
      <c r="L33" s="164">
        <f>E33*Results!$F$9</f>
        <v>0</v>
      </c>
      <c r="M33" s="164">
        <f>F33*Results!$G$9</f>
        <v>0</v>
      </c>
      <c r="N33" s="164">
        <f>G33*Results!$H$9</f>
        <v>0</v>
      </c>
      <c r="O33" s="9"/>
      <c r="P33" s="176" t="str">
        <f t="shared" si="0"/>
        <v>Não</v>
      </c>
      <c r="Q33" s="9"/>
      <c r="R33" s="9"/>
    </row>
    <row r="34" spans="1:18">
      <c r="A34" s="413"/>
      <c r="B34" s="11" t="str">
        <f>IF(comparador9=0,"Do not fill this line",comparador9)</f>
        <v>Do not fill this line</v>
      </c>
      <c r="C34" s="385"/>
      <c r="D34" s="385"/>
      <c r="E34" s="385"/>
      <c r="F34" s="385"/>
      <c r="G34" s="385"/>
      <c r="H34" s="173"/>
      <c r="I34" s="9"/>
      <c r="J34" s="164">
        <f>C34*Results!$D$9</f>
        <v>0</v>
      </c>
      <c r="K34" s="164">
        <f>D34*Results!$E$9</f>
        <v>0</v>
      </c>
      <c r="L34" s="164">
        <f>E34*Results!$F$9</f>
        <v>0</v>
      </c>
      <c r="M34" s="164">
        <f>F34*Results!$G$9</f>
        <v>0</v>
      </c>
      <c r="N34" s="164">
        <f>G34*Results!$H$9</f>
        <v>0</v>
      </c>
      <c r="O34" s="9"/>
      <c r="P34" s="176" t="str">
        <f t="shared" si="0"/>
        <v>Não</v>
      </c>
      <c r="Q34" s="9"/>
      <c r="R34" s="9"/>
    </row>
    <row r="35" spans="1:18" ht="15" customHeight="1">
      <c r="A35" s="413"/>
      <c r="B35" s="11" t="str">
        <f>IF(comparador10=0,"Do not fill this line",comparador10)</f>
        <v>Do not fill this line</v>
      </c>
      <c r="C35" s="50"/>
      <c r="D35" s="50"/>
      <c r="E35" s="50"/>
      <c r="F35" s="50"/>
      <c r="G35" s="50"/>
      <c r="H35" s="173"/>
      <c r="I35" s="9"/>
      <c r="J35" s="164">
        <f>C35*Results!$D$9</f>
        <v>0</v>
      </c>
      <c r="K35" s="164">
        <f>D35*Results!$E$9</f>
        <v>0</v>
      </c>
      <c r="L35" s="164">
        <f>E35*Results!$F$9</f>
        <v>0</v>
      </c>
      <c r="M35" s="164">
        <f>F35*Results!$G$9</f>
        <v>0</v>
      </c>
      <c r="N35" s="164">
        <f>G35*Results!$H$9</f>
        <v>0</v>
      </c>
      <c r="O35" s="9"/>
      <c r="P35" s="176" t="str">
        <f t="shared" si="0"/>
        <v>Não</v>
      </c>
      <c r="Q35" s="9"/>
      <c r="R35" s="9"/>
    </row>
    <row r="36" spans="1:18">
      <c r="A36" s="9"/>
      <c r="B36" s="9"/>
      <c r="C36" s="178">
        <f>SUM(C22:C35)</f>
        <v>1</v>
      </c>
      <c r="D36" s="178">
        <f t="shared" ref="D36:G36" si="1">SUM(D22:D35)</f>
        <v>1</v>
      </c>
      <c r="E36" s="178">
        <f t="shared" si="1"/>
        <v>1</v>
      </c>
      <c r="F36" s="178">
        <f t="shared" si="1"/>
        <v>1</v>
      </c>
      <c r="G36" s="178">
        <f t="shared" si="1"/>
        <v>1</v>
      </c>
      <c r="H36" s="173"/>
      <c r="I36" s="9"/>
      <c r="J36" s="9"/>
      <c r="K36" s="9"/>
      <c r="L36" s="9"/>
      <c r="M36" s="9"/>
      <c r="N36" s="9"/>
      <c r="O36" s="9"/>
      <c r="P36" s="176" t="str">
        <f t="shared" si="0"/>
        <v>Sim</v>
      </c>
      <c r="Q36" s="9"/>
      <c r="R36" s="9"/>
    </row>
    <row r="37" spans="1:18" ht="15.6">
      <c r="A37" s="9"/>
      <c r="B37" s="9"/>
      <c r="C37" s="179" t="str">
        <f>IF(C36=1,"ok","check")</f>
        <v>ok</v>
      </c>
      <c r="D37" s="179" t="str">
        <f>IF(D36=1,"ok","check")</f>
        <v>ok</v>
      </c>
      <c r="E37" s="179" t="str">
        <f>IF(E36=1,"ok","check")</f>
        <v>ok</v>
      </c>
      <c r="F37" s="179" t="str">
        <f>IF(F36=1,"ok","check")</f>
        <v>ok</v>
      </c>
      <c r="G37" s="179" t="str">
        <f>IF(G36=1,"ok","check")</f>
        <v>ok</v>
      </c>
      <c r="H37" s="173" t="s">
        <v>94</v>
      </c>
      <c r="I37" s="9"/>
      <c r="J37" s="165" t="s">
        <v>3</v>
      </c>
      <c r="K37" s="9"/>
      <c r="L37" s="9"/>
      <c r="M37" s="9"/>
      <c r="N37" s="9"/>
      <c r="O37" s="9"/>
      <c r="P37" s="176" t="str">
        <f t="shared" si="0"/>
        <v>Sim</v>
      </c>
      <c r="Q37" s="9"/>
      <c r="R37" s="9"/>
    </row>
    <row r="38" spans="1:18" ht="15.6">
      <c r="A38" s="9"/>
      <c r="B38" s="9"/>
      <c r="C38" s="179"/>
      <c r="D38" s="179"/>
      <c r="E38" s="179"/>
      <c r="F38" s="179"/>
      <c r="G38" s="179"/>
      <c r="H38" s="173"/>
      <c r="I38" s="9"/>
      <c r="J38" s="165"/>
      <c r="K38" s="9"/>
      <c r="L38" s="9"/>
      <c r="M38" s="9"/>
      <c r="N38" s="9"/>
      <c r="O38" s="9"/>
      <c r="P38" s="176"/>
      <c r="Q38" s="9"/>
      <c r="R38" s="9"/>
    </row>
    <row r="39" spans="1:18" s="166" customFormat="1" ht="18">
      <c r="B39" s="167" t="s">
        <v>82</v>
      </c>
      <c r="C39" s="168" t="str">
        <f>cen_prop1</f>
        <v>With IUD-LNG 5-25%</v>
      </c>
      <c r="D39" s="168"/>
      <c r="E39" s="168"/>
      <c r="F39" s="168"/>
      <c r="G39" s="168"/>
      <c r="H39" s="170"/>
      <c r="J39" s="171" t="str">
        <f>cen_prop1</f>
        <v>With IUD-LNG 5-25%</v>
      </c>
      <c r="K39" s="9"/>
      <c r="L39" s="9"/>
      <c r="M39" s="9"/>
      <c r="N39" s="9"/>
      <c r="O39" s="9"/>
      <c r="P39" s="176" t="str">
        <f t="shared" ref="P39:P57" si="2">IF(B39="Do not fill this line","Não","Sim")</f>
        <v>Sim</v>
      </c>
      <c r="Q39" s="9"/>
      <c r="R39" s="9"/>
    </row>
    <row r="40" spans="1:18">
      <c r="A40" s="9"/>
      <c r="B40" s="9"/>
      <c r="C40" s="9"/>
      <c r="D40" s="9"/>
      <c r="E40" s="9"/>
      <c r="F40" s="9"/>
      <c r="G40" s="9"/>
      <c r="H40" s="173"/>
      <c r="I40" s="9"/>
      <c r="J40" s="9"/>
      <c r="K40" s="9"/>
      <c r="L40" s="9"/>
      <c r="M40" s="9"/>
      <c r="N40" s="9"/>
      <c r="O40" s="9"/>
      <c r="P40" s="176" t="str">
        <f t="shared" si="2"/>
        <v>Sim</v>
      </c>
      <c r="Q40" s="9"/>
      <c r="R40" s="9"/>
    </row>
    <row r="41" spans="1:18">
      <c r="A41" s="9"/>
      <c r="B41" s="174" t="s">
        <v>81</v>
      </c>
      <c r="C41" s="174">
        <f>ano_1</f>
        <v>2026</v>
      </c>
      <c r="D41" s="174">
        <f>ano_1+1</f>
        <v>2027</v>
      </c>
      <c r="E41" s="174">
        <f>ano_1+2</f>
        <v>2028</v>
      </c>
      <c r="F41" s="174">
        <f>ano_1+3</f>
        <v>2029</v>
      </c>
      <c r="G41" s="174">
        <f>ano_1+4</f>
        <v>2030</v>
      </c>
      <c r="H41" s="173" t="s">
        <v>93</v>
      </c>
      <c r="I41" s="9"/>
      <c r="J41" s="174">
        <f>ano_1</f>
        <v>2026</v>
      </c>
      <c r="K41" s="174">
        <f>ano_1+1</f>
        <v>2027</v>
      </c>
      <c r="L41" s="174">
        <f>ano_1+2</f>
        <v>2028</v>
      </c>
      <c r="M41" s="174">
        <f>ano_1+3</f>
        <v>2029</v>
      </c>
      <c r="N41" s="174">
        <f>ano_1+4</f>
        <v>2030</v>
      </c>
      <c r="O41" s="9"/>
      <c r="P41" s="176" t="str">
        <f t="shared" si="2"/>
        <v>Sim</v>
      </c>
      <c r="Q41" s="9"/>
      <c r="R41" s="9"/>
    </row>
    <row r="42" spans="1:18" ht="15" customHeight="1">
      <c r="A42" s="412" t="s">
        <v>91</v>
      </c>
      <c r="B42" s="175" t="str">
        <f>IF(intervencao1=0,"Do not fill this line",intervencao1)</f>
        <v>Intrauterine device levonorgestrel</v>
      </c>
      <c r="C42" s="385">
        <v>0.05</v>
      </c>
      <c r="D42" s="385">
        <v>0.1</v>
      </c>
      <c r="E42" s="385">
        <v>0.15</v>
      </c>
      <c r="F42" s="385">
        <v>0.2</v>
      </c>
      <c r="G42" s="385">
        <v>0.25</v>
      </c>
      <c r="H42" s="173"/>
      <c r="I42" s="9"/>
      <c r="J42" s="164">
        <f>C42*Results!$D$9</f>
        <v>15554.026999110258</v>
      </c>
      <c r="K42" s="164">
        <f>D42*Results!$E$9</f>
        <v>30995.950471967037</v>
      </c>
      <c r="L42" s="164">
        <f>E42*Results!$F$9</f>
        <v>46312.074006554081</v>
      </c>
      <c r="M42" s="164">
        <f>F42*Results!$G$9</f>
        <v>61458.538616673963</v>
      </c>
      <c r="N42" s="164">
        <f>G42*Results!$H$9</f>
        <v>76365.625014754303</v>
      </c>
      <c r="O42" s="9"/>
      <c r="P42" s="176" t="str">
        <f t="shared" si="2"/>
        <v>Sim</v>
      </c>
      <c r="Q42" s="9"/>
      <c r="R42" s="9"/>
    </row>
    <row r="43" spans="1:18">
      <c r="A43" s="412"/>
      <c r="B43" s="175" t="str">
        <f>IF(intervencao2=0,"Do not fill this line",intervencao2)</f>
        <v>Do not fill this line</v>
      </c>
      <c r="C43" s="385"/>
      <c r="D43" s="385"/>
      <c r="E43" s="385"/>
      <c r="F43" s="385"/>
      <c r="G43" s="385"/>
      <c r="H43" s="173"/>
      <c r="I43" s="9"/>
      <c r="J43" s="164">
        <f>C43*Results!$D$9</f>
        <v>0</v>
      </c>
      <c r="K43" s="164">
        <f>D43*Results!$E$9</f>
        <v>0</v>
      </c>
      <c r="L43" s="164">
        <f>E43*Results!$F$9</f>
        <v>0</v>
      </c>
      <c r="M43" s="164">
        <f>F43*Results!$G$9</f>
        <v>0</v>
      </c>
      <c r="N43" s="164">
        <f>G43*Results!$H$9</f>
        <v>0</v>
      </c>
      <c r="O43" s="9"/>
      <c r="P43" s="176" t="str">
        <f t="shared" si="2"/>
        <v>Não</v>
      </c>
      <c r="Q43" s="9"/>
      <c r="R43" s="9"/>
    </row>
    <row r="44" spans="1:18">
      <c r="A44" s="412"/>
      <c r="B44" s="175" t="str">
        <f>IF(intervencao3=0,"Do not fill this line",intervencao3)</f>
        <v>Do not fill this line</v>
      </c>
      <c r="C44" s="385"/>
      <c r="D44" s="385"/>
      <c r="E44" s="385"/>
      <c r="F44" s="385"/>
      <c r="G44" s="385"/>
      <c r="H44" s="173"/>
      <c r="I44" s="9"/>
      <c r="J44" s="164">
        <f>C44*Results!$D$9</f>
        <v>0</v>
      </c>
      <c r="K44" s="164">
        <f>D44*Results!$E$9</f>
        <v>0</v>
      </c>
      <c r="L44" s="164">
        <f>E44*Results!$F$9</f>
        <v>0</v>
      </c>
      <c r="M44" s="164">
        <f>F44*Results!$G$9</f>
        <v>0</v>
      </c>
      <c r="N44" s="164">
        <f>G44*Results!$H$9</f>
        <v>0</v>
      </c>
      <c r="O44" s="9"/>
      <c r="P44" s="176" t="str">
        <f t="shared" si="2"/>
        <v>Não</v>
      </c>
      <c r="Q44" s="9"/>
      <c r="R44" s="9"/>
    </row>
    <row r="45" spans="1:18">
      <c r="A45" s="412"/>
      <c r="B45" s="175" t="str">
        <f>IF(intervencao4=0,"Do not fill this line",intervencao4)</f>
        <v>Do not fill this line</v>
      </c>
      <c r="C45" s="385"/>
      <c r="D45" s="385"/>
      <c r="E45" s="385"/>
      <c r="F45" s="385"/>
      <c r="G45" s="385"/>
      <c r="H45" s="173"/>
      <c r="I45" s="9"/>
      <c r="J45" s="164">
        <f>C45*Results!$D$9</f>
        <v>0</v>
      </c>
      <c r="K45" s="164">
        <f>D45*Results!$E$9</f>
        <v>0</v>
      </c>
      <c r="L45" s="164">
        <f>E45*Results!$F$9</f>
        <v>0</v>
      </c>
      <c r="M45" s="164">
        <f>F45*Results!$G$9</f>
        <v>0</v>
      </c>
      <c r="N45" s="164">
        <f>G45*Results!$H$9</f>
        <v>0</v>
      </c>
      <c r="O45" s="9"/>
      <c r="P45" s="176" t="str">
        <f t="shared" si="2"/>
        <v>Não</v>
      </c>
      <c r="Q45" s="9"/>
      <c r="R45" s="9"/>
    </row>
    <row r="46" spans="1:18" s="180" customFormat="1" ht="15" customHeight="1">
      <c r="A46" s="413" t="s">
        <v>92</v>
      </c>
      <c r="B46" s="11" t="str">
        <f>IF(comparador1=0,"Do not fill this line",comparador1)</f>
        <v>Oral contraceptive</v>
      </c>
      <c r="C46" s="385">
        <f>1-C42</f>
        <v>0.95</v>
      </c>
      <c r="D46" s="385">
        <f t="shared" ref="D46:G46" si="3">1-D42</f>
        <v>0.9</v>
      </c>
      <c r="E46" s="385">
        <f t="shared" si="3"/>
        <v>0.85</v>
      </c>
      <c r="F46" s="385">
        <f t="shared" si="3"/>
        <v>0.8</v>
      </c>
      <c r="G46" s="385">
        <f t="shared" si="3"/>
        <v>0.75</v>
      </c>
      <c r="H46" s="173"/>
      <c r="I46" s="7"/>
      <c r="J46" s="164">
        <f>C46*Results!$D$9</f>
        <v>295526.51298309484</v>
      </c>
      <c r="K46" s="164">
        <f>D46*Results!$E$9</f>
        <v>278963.55424770329</v>
      </c>
      <c r="L46" s="164">
        <f>E46*Results!$F$9</f>
        <v>262435.08603713982</v>
      </c>
      <c r="M46" s="164">
        <f>F46*Results!$G$9</f>
        <v>245834.15446669585</v>
      </c>
      <c r="N46" s="164">
        <f>G46*Results!$H$9</f>
        <v>229096.87504426291</v>
      </c>
      <c r="O46" s="7"/>
      <c r="P46" s="176" t="str">
        <f t="shared" si="2"/>
        <v>Sim</v>
      </c>
      <c r="Q46" s="7"/>
      <c r="R46" s="7"/>
    </row>
    <row r="47" spans="1:18" s="180" customFormat="1">
      <c r="A47" s="413"/>
      <c r="B47" s="11" t="str">
        <f>IF(comparador2=0,"Do not fill this line",comparador2)</f>
        <v>Do not fill this line</v>
      </c>
      <c r="C47" s="385"/>
      <c r="D47" s="385"/>
      <c r="E47" s="385"/>
      <c r="F47" s="385"/>
      <c r="G47" s="385"/>
      <c r="H47" s="177"/>
      <c r="I47" s="7"/>
      <c r="J47" s="164">
        <f>C47*Results!$D$9</f>
        <v>0</v>
      </c>
      <c r="K47" s="164">
        <f>D47*Results!$E$9</f>
        <v>0</v>
      </c>
      <c r="L47" s="164">
        <f>E47*Results!$F$9</f>
        <v>0</v>
      </c>
      <c r="M47" s="164">
        <f>F47*Results!$G$9</f>
        <v>0</v>
      </c>
      <c r="N47" s="164">
        <f>G47*Results!$H$9</f>
        <v>0</v>
      </c>
      <c r="O47" s="7"/>
      <c r="P47" s="176" t="str">
        <f t="shared" si="2"/>
        <v>Não</v>
      </c>
      <c r="Q47" s="7"/>
      <c r="R47" s="7"/>
    </row>
    <row r="48" spans="1:18">
      <c r="A48" s="413"/>
      <c r="B48" s="11" t="str">
        <f>IF(comparador3=0,"Do not fill this line",comparador3)</f>
        <v>Do not fill this line</v>
      </c>
      <c r="C48" s="385"/>
      <c r="D48" s="385"/>
      <c r="E48" s="385"/>
      <c r="F48" s="385"/>
      <c r="G48" s="385"/>
      <c r="H48" s="173"/>
      <c r="I48" s="9"/>
      <c r="J48" s="164">
        <f>C48*Results!$D$9</f>
        <v>0</v>
      </c>
      <c r="K48" s="164">
        <f>D48*Results!$E$9</f>
        <v>0</v>
      </c>
      <c r="L48" s="164">
        <f>E48*Results!$F$9</f>
        <v>0</v>
      </c>
      <c r="M48" s="164">
        <f>F48*Results!$G$9</f>
        <v>0</v>
      </c>
      <c r="N48" s="164">
        <f>G48*Results!$H$9</f>
        <v>0</v>
      </c>
      <c r="O48" s="9"/>
      <c r="P48" s="176" t="str">
        <f t="shared" si="2"/>
        <v>Não</v>
      </c>
      <c r="Q48" s="9"/>
      <c r="R48" s="9"/>
    </row>
    <row r="49" spans="1:18">
      <c r="A49" s="413"/>
      <c r="B49" s="11" t="str">
        <f>IF(comparador4=0,"Do not fill this line",comparador4)</f>
        <v>Do not fill this line</v>
      </c>
      <c r="C49" s="385"/>
      <c r="D49" s="385"/>
      <c r="E49" s="385"/>
      <c r="F49" s="385"/>
      <c r="G49" s="385"/>
      <c r="H49" s="173"/>
      <c r="I49" s="9"/>
      <c r="J49" s="164">
        <f>C49*Results!$D$9</f>
        <v>0</v>
      </c>
      <c r="K49" s="164">
        <f>D49*Results!$E$9</f>
        <v>0</v>
      </c>
      <c r="L49" s="164">
        <f>E49*Results!$F$9</f>
        <v>0</v>
      </c>
      <c r="M49" s="164">
        <f>F49*Results!$G$9</f>
        <v>0</v>
      </c>
      <c r="N49" s="164">
        <f>G49*Results!$H$9</f>
        <v>0</v>
      </c>
      <c r="O49" s="9"/>
      <c r="P49" s="176" t="str">
        <f t="shared" si="2"/>
        <v>Não</v>
      </c>
      <c r="Q49" s="9"/>
      <c r="R49" s="9"/>
    </row>
    <row r="50" spans="1:18">
      <c r="A50" s="413"/>
      <c r="B50" s="11" t="str">
        <f>IF(comparador5=0,"Do not fill this line",comparador5)</f>
        <v>Do not fill this line</v>
      </c>
      <c r="C50" s="385"/>
      <c r="D50" s="385"/>
      <c r="E50" s="385"/>
      <c r="F50" s="385"/>
      <c r="G50" s="385"/>
      <c r="H50" s="173"/>
      <c r="I50" s="9"/>
      <c r="J50" s="164">
        <f>C50*Results!$D$9</f>
        <v>0</v>
      </c>
      <c r="K50" s="164">
        <f>D50*Results!$E$9</f>
        <v>0</v>
      </c>
      <c r="L50" s="164">
        <f>E50*Results!$F$9</f>
        <v>0</v>
      </c>
      <c r="M50" s="164">
        <f>F50*Results!$G$9</f>
        <v>0</v>
      </c>
      <c r="N50" s="164">
        <f>G50*Results!$H$9</f>
        <v>0</v>
      </c>
      <c r="O50" s="9"/>
      <c r="P50" s="176" t="str">
        <f t="shared" si="2"/>
        <v>Não</v>
      </c>
      <c r="Q50" s="9"/>
      <c r="R50" s="9"/>
    </row>
    <row r="51" spans="1:18">
      <c r="A51" s="413"/>
      <c r="B51" s="11" t="str">
        <f>IF(comparador6=0,"Do not fill this line",comparador6)</f>
        <v>Do not fill this line</v>
      </c>
      <c r="C51" s="385"/>
      <c r="D51" s="385"/>
      <c r="E51" s="385"/>
      <c r="F51" s="385"/>
      <c r="G51" s="385"/>
      <c r="H51" s="173"/>
      <c r="I51" s="9"/>
      <c r="J51" s="164">
        <f>C51*Results!$D$9</f>
        <v>0</v>
      </c>
      <c r="K51" s="164">
        <f>D51*Results!$E$9</f>
        <v>0</v>
      </c>
      <c r="L51" s="164">
        <f>E51*Results!$F$9</f>
        <v>0</v>
      </c>
      <c r="M51" s="164">
        <f>F51*Results!$G$9</f>
        <v>0</v>
      </c>
      <c r="N51" s="164">
        <f>G51*Results!$H$9</f>
        <v>0</v>
      </c>
      <c r="O51" s="9"/>
      <c r="P51" s="176" t="str">
        <f t="shared" si="2"/>
        <v>Não</v>
      </c>
      <c r="Q51" s="9"/>
      <c r="R51" s="9"/>
    </row>
    <row r="52" spans="1:18">
      <c r="A52" s="413"/>
      <c r="B52" s="11" t="str">
        <f>IF(comparador7=0,"Do not fill this line",comparador7)</f>
        <v>Do not fill this line</v>
      </c>
      <c r="C52" s="385"/>
      <c r="D52" s="385"/>
      <c r="E52" s="385"/>
      <c r="F52" s="385"/>
      <c r="G52" s="385"/>
      <c r="H52" s="173"/>
      <c r="I52" s="9"/>
      <c r="J52" s="164">
        <f>C52*Results!$D$9</f>
        <v>0</v>
      </c>
      <c r="K52" s="164">
        <f>D52*Results!$E$9</f>
        <v>0</v>
      </c>
      <c r="L52" s="164">
        <f>E52*Results!$F$9</f>
        <v>0</v>
      </c>
      <c r="M52" s="164">
        <f>F52*Results!$G$9</f>
        <v>0</v>
      </c>
      <c r="N52" s="164">
        <f>G52*Results!$H$9</f>
        <v>0</v>
      </c>
      <c r="O52" s="9"/>
      <c r="P52" s="176" t="str">
        <f t="shared" si="2"/>
        <v>Não</v>
      </c>
      <c r="Q52" s="9"/>
      <c r="R52" s="9"/>
    </row>
    <row r="53" spans="1:18">
      <c r="A53" s="413"/>
      <c r="B53" s="11" t="str">
        <f>IF(comparador8=0,"Do not fill this line",comparador8)</f>
        <v>Do not fill this line</v>
      </c>
      <c r="C53" s="385"/>
      <c r="D53" s="385"/>
      <c r="E53" s="385"/>
      <c r="F53" s="385"/>
      <c r="G53" s="385"/>
      <c r="H53" s="173"/>
      <c r="I53" s="9"/>
      <c r="J53" s="164">
        <f>C53*Results!$D$9</f>
        <v>0</v>
      </c>
      <c r="K53" s="164">
        <f>D53*Results!$E$9</f>
        <v>0</v>
      </c>
      <c r="L53" s="164">
        <f>E53*Results!$F$9</f>
        <v>0</v>
      </c>
      <c r="M53" s="164">
        <f>F53*Results!$G$9</f>
        <v>0</v>
      </c>
      <c r="N53" s="164">
        <f>G53*Results!$H$9</f>
        <v>0</v>
      </c>
      <c r="O53" s="9"/>
      <c r="P53" s="176" t="str">
        <f t="shared" si="2"/>
        <v>Não</v>
      </c>
      <c r="Q53" s="9"/>
      <c r="R53" s="9"/>
    </row>
    <row r="54" spans="1:18">
      <c r="A54" s="413"/>
      <c r="B54" s="11" t="str">
        <f>IF(comparador9=0,"Do not fill this line",comparador9)</f>
        <v>Do not fill this line</v>
      </c>
      <c r="C54" s="385"/>
      <c r="D54" s="385"/>
      <c r="E54" s="385"/>
      <c r="F54" s="385"/>
      <c r="G54" s="385"/>
      <c r="H54" s="173"/>
      <c r="I54" s="9"/>
      <c r="J54" s="164">
        <f>C54*Results!$D$9</f>
        <v>0</v>
      </c>
      <c r="K54" s="164">
        <f>D54*Results!$E$9</f>
        <v>0</v>
      </c>
      <c r="L54" s="164">
        <f>E54*Results!$F$9</f>
        <v>0</v>
      </c>
      <c r="M54" s="164">
        <f>F54*Results!$G$9</f>
        <v>0</v>
      </c>
      <c r="N54" s="164">
        <f>G54*Results!$H$9</f>
        <v>0</v>
      </c>
      <c r="O54" s="9"/>
      <c r="P54" s="176" t="str">
        <f t="shared" si="2"/>
        <v>Não</v>
      </c>
      <c r="Q54" s="9"/>
      <c r="R54" s="9"/>
    </row>
    <row r="55" spans="1:18">
      <c r="A55" s="413"/>
      <c r="B55" s="11" t="str">
        <f>IF(comparador10=0,"Do not fill this line",comparador10)</f>
        <v>Do not fill this line</v>
      </c>
      <c r="C55" s="50"/>
      <c r="D55" s="50"/>
      <c r="E55" s="50"/>
      <c r="F55" s="50"/>
      <c r="G55" s="50"/>
      <c r="H55" s="173"/>
      <c r="I55" s="9"/>
      <c r="J55" s="164">
        <f>C55*Results!$D$9</f>
        <v>0</v>
      </c>
      <c r="K55" s="164">
        <f>D55*Results!$E$9</f>
        <v>0</v>
      </c>
      <c r="L55" s="164">
        <f>E55*Results!$F$9</f>
        <v>0</v>
      </c>
      <c r="M55" s="164">
        <f>F55*Results!$G$9</f>
        <v>0</v>
      </c>
      <c r="N55" s="164">
        <f>G55*Results!$H$9</f>
        <v>0</v>
      </c>
      <c r="O55" s="9"/>
      <c r="P55" s="176" t="str">
        <f t="shared" si="2"/>
        <v>Não</v>
      </c>
      <c r="Q55" s="9"/>
      <c r="R55" s="9"/>
    </row>
    <row r="56" spans="1:18">
      <c r="A56" s="9"/>
      <c r="B56" s="9"/>
      <c r="C56" s="178">
        <f>SUM(C42:C55)</f>
        <v>1</v>
      </c>
      <c r="D56" s="178">
        <f t="shared" ref="D56:G56" si="4">SUM(D42:D55)</f>
        <v>1</v>
      </c>
      <c r="E56" s="178">
        <f t="shared" si="4"/>
        <v>1</v>
      </c>
      <c r="F56" s="178">
        <f t="shared" si="4"/>
        <v>1</v>
      </c>
      <c r="G56" s="178">
        <f t="shared" si="4"/>
        <v>1</v>
      </c>
      <c r="H56" s="173"/>
      <c r="I56" s="9"/>
      <c r="J56" s="9"/>
      <c r="K56" s="9"/>
      <c r="L56" s="9"/>
      <c r="M56" s="9"/>
      <c r="N56" s="9"/>
      <c r="O56" s="9"/>
      <c r="P56" s="176" t="str">
        <f t="shared" si="2"/>
        <v>Sim</v>
      </c>
      <c r="Q56" s="9"/>
      <c r="R56" s="9"/>
    </row>
    <row r="57" spans="1:18" ht="15.6">
      <c r="A57" s="9"/>
      <c r="B57" s="9"/>
      <c r="C57" s="179" t="str">
        <f>IF(C56=1,"ok","check")</f>
        <v>ok</v>
      </c>
      <c r="D57" s="179" t="str">
        <f>IF(D56=1,"ok","check")</f>
        <v>ok</v>
      </c>
      <c r="E57" s="179" t="str">
        <f>IF(E56=1,"ok","check")</f>
        <v>ok</v>
      </c>
      <c r="F57" s="179" t="str">
        <f>IF(F56=1,"ok","check")</f>
        <v>ok</v>
      </c>
      <c r="G57" s="179" t="str">
        <f>IF(G56=1,"ok","check")</f>
        <v>ok</v>
      </c>
      <c r="H57" s="173" t="s">
        <v>94</v>
      </c>
      <c r="I57" s="9"/>
      <c r="J57" s="165" t="s">
        <v>3</v>
      </c>
      <c r="K57" s="9"/>
      <c r="L57" s="9"/>
      <c r="M57" s="9"/>
      <c r="N57" s="9"/>
      <c r="O57" s="9"/>
      <c r="P57" s="176" t="str">
        <f t="shared" si="2"/>
        <v>Sim</v>
      </c>
      <c r="Q57" s="9"/>
      <c r="R57" s="9"/>
    </row>
    <row r="58" spans="1:18" ht="15.6">
      <c r="A58" s="9"/>
      <c r="B58" s="9"/>
      <c r="C58" s="179"/>
      <c r="D58" s="179"/>
      <c r="E58" s="179"/>
      <c r="F58" s="179"/>
      <c r="G58" s="179"/>
      <c r="H58" s="173"/>
      <c r="I58" s="9"/>
      <c r="J58" s="165"/>
      <c r="K58" s="9"/>
      <c r="L58" s="9"/>
      <c r="M58" s="9"/>
      <c r="N58" s="9"/>
      <c r="O58" s="9"/>
      <c r="P58" s="176"/>
      <c r="Q58" s="9"/>
      <c r="R58" s="9"/>
    </row>
    <row r="59" spans="1:18" s="166" customFormat="1" ht="18">
      <c r="B59" s="167" t="s">
        <v>89</v>
      </c>
      <c r="C59" s="168" t="str">
        <f>cen_prop2</f>
        <v>With IUD-LNG 10-50%</v>
      </c>
      <c r="D59" s="168"/>
      <c r="E59" s="168"/>
      <c r="F59" s="168"/>
      <c r="G59" s="168"/>
      <c r="H59" s="170"/>
      <c r="J59" s="171" t="str">
        <f>cen_prop2</f>
        <v>With IUD-LNG 10-50%</v>
      </c>
      <c r="K59" s="9"/>
      <c r="L59" s="9"/>
      <c r="M59" s="9"/>
      <c r="N59" s="9"/>
      <c r="O59" s="9"/>
      <c r="P59" s="176" t="str">
        <f t="shared" ref="P59:P76" si="5">IF(B59="Do not fill this line","Não","Sim")</f>
        <v>Sim</v>
      </c>
      <c r="Q59" s="9"/>
      <c r="R59" s="9"/>
    </row>
    <row r="60" spans="1:18">
      <c r="A60" s="9"/>
      <c r="B60" s="9"/>
      <c r="C60" s="9"/>
      <c r="D60" s="9"/>
      <c r="E60" s="9"/>
      <c r="F60" s="9"/>
      <c r="G60" s="9"/>
      <c r="H60" s="173"/>
      <c r="I60" s="9"/>
      <c r="J60" s="9"/>
      <c r="K60" s="9"/>
      <c r="L60" s="9"/>
      <c r="M60" s="9"/>
      <c r="N60" s="9"/>
      <c r="O60" s="9"/>
      <c r="P60" s="176" t="str">
        <f t="shared" si="5"/>
        <v>Sim</v>
      </c>
      <c r="Q60" s="9"/>
      <c r="R60" s="9"/>
    </row>
    <row r="61" spans="1:18">
      <c r="A61" s="9"/>
      <c r="B61" s="174" t="s">
        <v>81</v>
      </c>
      <c r="C61" s="174">
        <f>ano_1</f>
        <v>2026</v>
      </c>
      <c r="D61" s="174">
        <f>ano_1+1</f>
        <v>2027</v>
      </c>
      <c r="E61" s="174">
        <f>ano_1+2</f>
        <v>2028</v>
      </c>
      <c r="F61" s="174">
        <f>ano_1+3</f>
        <v>2029</v>
      </c>
      <c r="G61" s="174">
        <f>ano_1+4</f>
        <v>2030</v>
      </c>
      <c r="H61" s="173" t="s">
        <v>93</v>
      </c>
      <c r="I61" s="9"/>
      <c r="J61" s="174">
        <f>ano_1</f>
        <v>2026</v>
      </c>
      <c r="K61" s="174">
        <f>ano_1+1</f>
        <v>2027</v>
      </c>
      <c r="L61" s="174">
        <f>ano_1+2</f>
        <v>2028</v>
      </c>
      <c r="M61" s="174">
        <f>ano_1+3</f>
        <v>2029</v>
      </c>
      <c r="N61" s="174">
        <f>ano_1+4</f>
        <v>2030</v>
      </c>
      <c r="O61" s="9"/>
      <c r="P61" s="176" t="str">
        <f t="shared" si="5"/>
        <v>Sim</v>
      </c>
      <c r="Q61" s="9"/>
      <c r="R61" s="9"/>
    </row>
    <row r="62" spans="1:18" ht="15" customHeight="1">
      <c r="A62" s="412" t="s">
        <v>91</v>
      </c>
      <c r="B62" s="175" t="str">
        <f>IF(intervencao1=0,"Do not fill this line",intervencao1)</f>
        <v>Intrauterine device levonorgestrel</v>
      </c>
      <c r="C62" s="385">
        <v>0.1</v>
      </c>
      <c r="D62" s="385">
        <v>0.2</v>
      </c>
      <c r="E62" s="385">
        <v>0.3</v>
      </c>
      <c r="F62" s="385">
        <v>0.4</v>
      </c>
      <c r="G62" s="385">
        <v>0.5</v>
      </c>
      <c r="H62" s="173"/>
      <c r="I62" s="9"/>
      <c r="J62" s="164">
        <f>C62*Results!$D$9</f>
        <v>31108.053998220515</v>
      </c>
      <c r="K62" s="164">
        <f>D62*Results!$E$9</f>
        <v>61991.900943934073</v>
      </c>
      <c r="L62" s="164">
        <f>E62*Results!$F$9</f>
        <v>92624.148013108163</v>
      </c>
      <c r="M62" s="164">
        <f>F62*Results!$G$9</f>
        <v>122917.07723334793</v>
      </c>
      <c r="N62" s="164">
        <f>G62*Results!$H$9</f>
        <v>152731.25002950861</v>
      </c>
      <c r="O62" s="9"/>
      <c r="P62" s="176" t="str">
        <f t="shared" si="5"/>
        <v>Sim</v>
      </c>
      <c r="Q62" s="9"/>
      <c r="R62" s="9"/>
    </row>
    <row r="63" spans="1:18">
      <c r="A63" s="412"/>
      <c r="B63" s="175" t="str">
        <f>IF(intervencao2=0,"Do not fill this line",intervencao2)</f>
        <v>Do not fill this line</v>
      </c>
      <c r="C63" s="385"/>
      <c r="D63" s="385"/>
      <c r="E63" s="385"/>
      <c r="F63" s="385"/>
      <c r="G63" s="385"/>
      <c r="H63" s="173"/>
      <c r="I63" s="9"/>
      <c r="J63" s="164">
        <f>C63*Results!$D$9</f>
        <v>0</v>
      </c>
      <c r="K63" s="164">
        <f>D63*Results!$E$9</f>
        <v>0</v>
      </c>
      <c r="L63" s="164">
        <f>E63*Results!$F$9</f>
        <v>0</v>
      </c>
      <c r="M63" s="164">
        <f>F63*Results!$G$9</f>
        <v>0</v>
      </c>
      <c r="N63" s="164">
        <f>G63*Results!$H$9</f>
        <v>0</v>
      </c>
      <c r="O63" s="9"/>
      <c r="P63" s="176" t="str">
        <f t="shared" si="5"/>
        <v>Não</v>
      </c>
      <c r="Q63" s="9"/>
      <c r="R63" s="9"/>
    </row>
    <row r="64" spans="1:18">
      <c r="A64" s="412"/>
      <c r="B64" s="175" t="str">
        <f>IF(intervencao3=0,"Do not fill this line",intervencao3)</f>
        <v>Do not fill this line</v>
      </c>
      <c r="C64" s="385"/>
      <c r="D64" s="385"/>
      <c r="E64" s="385"/>
      <c r="F64" s="385"/>
      <c r="G64" s="385"/>
      <c r="H64" s="173"/>
      <c r="I64" s="9"/>
      <c r="J64" s="164">
        <f>C64*Results!$D$9</f>
        <v>0</v>
      </c>
      <c r="K64" s="164">
        <f>D64*Results!$E$9</f>
        <v>0</v>
      </c>
      <c r="L64" s="164">
        <f>E64*Results!$F$9</f>
        <v>0</v>
      </c>
      <c r="M64" s="164">
        <f>F64*Results!$G$9</f>
        <v>0</v>
      </c>
      <c r="N64" s="164">
        <f>G64*Results!$H$9</f>
        <v>0</v>
      </c>
      <c r="O64" s="9"/>
      <c r="P64" s="176" t="str">
        <f t="shared" si="5"/>
        <v>Não</v>
      </c>
      <c r="Q64" s="9"/>
      <c r="R64" s="9"/>
    </row>
    <row r="65" spans="1:18">
      <c r="A65" s="412"/>
      <c r="B65" s="175" t="str">
        <f>IF(intervencao4=0,"Do not fill this line",intervencao4)</f>
        <v>Do not fill this line</v>
      </c>
      <c r="C65" s="385"/>
      <c r="D65" s="385"/>
      <c r="E65" s="385"/>
      <c r="F65" s="385"/>
      <c r="G65" s="385"/>
      <c r="H65" s="173"/>
      <c r="I65" s="9"/>
      <c r="J65" s="164">
        <f>C65*Results!$D$9</f>
        <v>0</v>
      </c>
      <c r="K65" s="164">
        <f>D65*Results!$E$9</f>
        <v>0</v>
      </c>
      <c r="L65" s="164">
        <f>E65*Results!$F$9</f>
        <v>0</v>
      </c>
      <c r="M65" s="164">
        <f>F65*Results!$G$9</f>
        <v>0</v>
      </c>
      <c r="N65" s="164">
        <f>G65*Results!$H$9</f>
        <v>0</v>
      </c>
      <c r="O65" s="9"/>
      <c r="P65" s="176" t="str">
        <f t="shared" si="5"/>
        <v>Não</v>
      </c>
      <c r="Q65" s="9"/>
      <c r="R65" s="9"/>
    </row>
    <row r="66" spans="1:18" s="180" customFormat="1" ht="15" customHeight="1">
      <c r="A66" s="413" t="s">
        <v>92</v>
      </c>
      <c r="B66" s="11" t="str">
        <f>IF(comparador1=0,"Do not fill this line",comparador1)</f>
        <v>Oral contraceptive</v>
      </c>
      <c r="C66" s="385">
        <f>1-C62</f>
        <v>0.9</v>
      </c>
      <c r="D66" s="385">
        <f t="shared" ref="D66:G66" si="6">1-D62</f>
        <v>0.8</v>
      </c>
      <c r="E66" s="385">
        <f t="shared" si="6"/>
        <v>0.7</v>
      </c>
      <c r="F66" s="385">
        <f t="shared" si="6"/>
        <v>0.6</v>
      </c>
      <c r="G66" s="385">
        <f t="shared" si="6"/>
        <v>0.5</v>
      </c>
      <c r="H66" s="173"/>
      <c r="I66" s="7"/>
      <c r="J66" s="164">
        <f>C66*Results!$D$9</f>
        <v>279972.48598398466</v>
      </c>
      <c r="K66" s="164">
        <f>D66*Results!$E$9</f>
        <v>247967.60377573629</v>
      </c>
      <c r="L66" s="164">
        <f>E66*Results!$F$9</f>
        <v>216123.01203058573</v>
      </c>
      <c r="M66" s="164">
        <f>F66*Results!$G$9</f>
        <v>184375.61585002189</v>
      </c>
      <c r="N66" s="164">
        <f>G66*Results!$H$9</f>
        <v>152731.25002950861</v>
      </c>
      <c r="O66" s="7"/>
      <c r="P66" s="176" t="str">
        <f t="shared" si="5"/>
        <v>Sim</v>
      </c>
      <c r="Q66" s="7"/>
      <c r="R66" s="7"/>
    </row>
    <row r="67" spans="1:18" s="180" customFormat="1">
      <c r="A67" s="413"/>
      <c r="B67" s="11" t="str">
        <f>IF(comparador2=0,"Do not fill this line",comparador2)</f>
        <v>Do not fill this line</v>
      </c>
      <c r="C67" s="385"/>
      <c r="D67" s="385"/>
      <c r="E67" s="385"/>
      <c r="F67" s="385"/>
      <c r="G67" s="385"/>
      <c r="H67" s="177"/>
      <c r="I67" s="7"/>
      <c r="J67" s="164">
        <f>C67*Results!$D$9</f>
        <v>0</v>
      </c>
      <c r="K67" s="164">
        <f>D67*Results!$E$9</f>
        <v>0</v>
      </c>
      <c r="L67" s="164">
        <f>E67*Results!$F$9</f>
        <v>0</v>
      </c>
      <c r="M67" s="164">
        <f>F67*Results!$G$9</f>
        <v>0</v>
      </c>
      <c r="N67" s="164">
        <f>G67*Results!$H$9</f>
        <v>0</v>
      </c>
      <c r="O67" s="7"/>
      <c r="P67" s="176" t="str">
        <f t="shared" si="5"/>
        <v>Não</v>
      </c>
      <c r="Q67" s="7"/>
      <c r="R67" s="7"/>
    </row>
    <row r="68" spans="1:18">
      <c r="A68" s="413"/>
      <c r="B68" s="11" t="str">
        <f>IF(comparador3=0,"Do not fill this line",comparador3)</f>
        <v>Do not fill this line</v>
      </c>
      <c r="C68" s="385"/>
      <c r="D68" s="385"/>
      <c r="E68" s="385"/>
      <c r="F68" s="385"/>
      <c r="G68" s="385"/>
      <c r="H68" s="173"/>
      <c r="I68" s="9"/>
      <c r="J68" s="164">
        <f>C68*Results!$D$9</f>
        <v>0</v>
      </c>
      <c r="K68" s="164">
        <f>D68*Results!$E$9</f>
        <v>0</v>
      </c>
      <c r="L68" s="164">
        <f>E68*Results!$F$9</f>
        <v>0</v>
      </c>
      <c r="M68" s="164">
        <f>F68*Results!$G$9</f>
        <v>0</v>
      </c>
      <c r="N68" s="164">
        <f>G68*Results!$H$9</f>
        <v>0</v>
      </c>
      <c r="O68" s="9"/>
      <c r="P68" s="176" t="str">
        <f t="shared" si="5"/>
        <v>Não</v>
      </c>
      <c r="Q68" s="9"/>
      <c r="R68" s="9"/>
    </row>
    <row r="69" spans="1:18">
      <c r="A69" s="413"/>
      <c r="B69" s="11" t="str">
        <f>IF(comparador4=0,"Do not fill this line",comparador4)</f>
        <v>Do not fill this line</v>
      </c>
      <c r="C69" s="385"/>
      <c r="D69" s="385"/>
      <c r="E69" s="385"/>
      <c r="F69" s="385"/>
      <c r="G69" s="385"/>
      <c r="H69" s="173"/>
      <c r="I69" s="9"/>
      <c r="J69" s="164">
        <f>C69*Results!$D$9</f>
        <v>0</v>
      </c>
      <c r="K69" s="164">
        <f>D69*Results!$E$9</f>
        <v>0</v>
      </c>
      <c r="L69" s="164">
        <f>E69*Results!$F$9</f>
        <v>0</v>
      </c>
      <c r="M69" s="164">
        <f>F69*Results!$G$9</f>
        <v>0</v>
      </c>
      <c r="N69" s="164">
        <f>G69*Results!$H$9</f>
        <v>0</v>
      </c>
      <c r="O69" s="9"/>
      <c r="P69" s="176" t="str">
        <f t="shared" si="5"/>
        <v>Não</v>
      </c>
      <c r="Q69" s="9"/>
      <c r="R69" s="9"/>
    </row>
    <row r="70" spans="1:18">
      <c r="A70" s="413"/>
      <c r="B70" s="11" t="str">
        <f>IF(comparador5=0,"Do not fill this line",comparador5)</f>
        <v>Do not fill this line</v>
      </c>
      <c r="C70" s="385"/>
      <c r="D70" s="385"/>
      <c r="E70" s="385"/>
      <c r="F70" s="385"/>
      <c r="G70" s="385"/>
      <c r="H70" s="173"/>
      <c r="I70" s="9"/>
      <c r="J70" s="164">
        <f>C70*Results!$D$9</f>
        <v>0</v>
      </c>
      <c r="K70" s="164">
        <f>D70*Results!$E$9</f>
        <v>0</v>
      </c>
      <c r="L70" s="164">
        <f>E70*Results!$F$9</f>
        <v>0</v>
      </c>
      <c r="M70" s="164">
        <f>F70*Results!$G$9</f>
        <v>0</v>
      </c>
      <c r="N70" s="164">
        <f>G70*Results!$H$9</f>
        <v>0</v>
      </c>
      <c r="O70" s="9"/>
      <c r="P70" s="176" t="str">
        <f t="shared" si="5"/>
        <v>Não</v>
      </c>
      <c r="Q70" s="9"/>
      <c r="R70" s="9"/>
    </row>
    <row r="71" spans="1:18">
      <c r="A71" s="413"/>
      <c r="B71" s="11" t="str">
        <f>IF(comparador6=0,"Do not fill this line",comparador6)</f>
        <v>Do not fill this line</v>
      </c>
      <c r="C71" s="385"/>
      <c r="D71" s="385"/>
      <c r="E71" s="385"/>
      <c r="F71" s="385"/>
      <c r="G71" s="385"/>
      <c r="H71" s="173"/>
      <c r="I71" s="9"/>
      <c r="J71" s="164">
        <f>C71*Results!$D$9</f>
        <v>0</v>
      </c>
      <c r="K71" s="164">
        <f>D71*Results!$E$9</f>
        <v>0</v>
      </c>
      <c r="L71" s="164">
        <f>E71*Results!$F$9</f>
        <v>0</v>
      </c>
      <c r="M71" s="164">
        <f>F71*Results!$G$9</f>
        <v>0</v>
      </c>
      <c r="N71" s="164">
        <f>G71*Results!$H$9</f>
        <v>0</v>
      </c>
      <c r="O71" s="9"/>
      <c r="P71" s="176" t="str">
        <f t="shared" si="5"/>
        <v>Não</v>
      </c>
      <c r="Q71" s="9"/>
      <c r="R71" s="9"/>
    </row>
    <row r="72" spans="1:18">
      <c r="A72" s="413"/>
      <c r="B72" s="11" t="str">
        <f>IF(comparador7=0,"Do not fill this line",comparador7)</f>
        <v>Do not fill this line</v>
      </c>
      <c r="C72" s="385"/>
      <c r="D72" s="385"/>
      <c r="E72" s="385"/>
      <c r="F72" s="385"/>
      <c r="G72" s="385"/>
      <c r="H72" s="173"/>
      <c r="I72" s="9"/>
      <c r="J72" s="164">
        <f>C72*Results!$D$9</f>
        <v>0</v>
      </c>
      <c r="K72" s="164">
        <f>D72*Results!$E$9</f>
        <v>0</v>
      </c>
      <c r="L72" s="164">
        <f>E72*Results!$F$9</f>
        <v>0</v>
      </c>
      <c r="M72" s="164">
        <f>F72*Results!$G$9</f>
        <v>0</v>
      </c>
      <c r="N72" s="164">
        <f>G72*Results!$H$9</f>
        <v>0</v>
      </c>
      <c r="O72" s="9"/>
      <c r="P72" s="176" t="str">
        <f t="shared" si="5"/>
        <v>Não</v>
      </c>
      <c r="Q72" s="9"/>
      <c r="R72" s="9"/>
    </row>
    <row r="73" spans="1:18">
      <c r="A73" s="413"/>
      <c r="B73" s="11" t="str">
        <f>IF(comparador8=0,"Do not fill this line",comparador8)</f>
        <v>Do not fill this line</v>
      </c>
      <c r="C73" s="385"/>
      <c r="D73" s="385"/>
      <c r="E73" s="385"/>
      <c r="F73" s="385"/>
      <c r="G73" s="385"/>
      <c r="H73" s="173"/>
      <c r="I73" s="9"/>
      <c r="J73" s="164">
        <f>C73*Results!$D$9</f>
        <v>0</v>
      </c>
      <c r="K73" s="164">
        <f>D73*Results!$E$9</f>
        <v>0</v>
      </c>
      <c r="L73" s="164">
        <f>E73*Results!$F$9</f>
        <v>0</v>
      </c>
      <c r="M73" s="164">
        <f>F73*Results!$G$9</f>
        <v>0</v>
      </c>
      <c r="N73" s="164">
        <f>G73*Results!$H$9</f>
        <v>0</v>
      </c>
      <c r="O73" s="9"/>
      <c r="P73" s="176" t="str">
        <f t="shared" si="5"/>
        <v>Não</v>
      </c>
      <c r="Q73" s="9"/>
      <c r="R73" s="9"/>
    </row>
    <row r="74" spans="1:18">
      <c r="A74" s="413"/>
      <c r="B74" s="11" t="str">
        <f>IF(comparador9=0,"Do not fill this line",comparador9)</f>
        <v>Do not fill this line</v>
      </c>
      <c r="C74" s="385"/>
      <c r="D74" s="385"/>
      <c r="E74" s="385"/>
      <c r="F74" s="385"/>
      <c r="G74" s="385"/>
      <c r="H74" s="173"/>
      <c r="I74" s="9"/>
      <c r="J74" s="164">
        <f>C74*Results!$D$9</f>
        <v>0</v>
      </c>
      <c r="K74" s="164">
        <f>D74*Results!$E$9</f>
        <v>0</v>
      </c>
      <c r="L74" s="164">
        <f>E74*Results!$F$9</f>
        <v>0</v>
      </c>
      <c r="M74" s="164">
        <f>F74*Results!$G$9</f>
        <v>0</v>
      </c>
      <c r="N74" s="164">
        <f>G74*Results!$H$9</f>
        <v>0</v>
      </c>
      <c r="O74" s="9"/>
      <c r="P74" s="176" t="str">
        <f t="shared" si="5"/>
        <v>Não</v>
      </c>
      <c r="Q74" s="9"/>
      <c r="R74" s="9"/>
    </row>
    <row r="75" spans="1:18">
      <c r="A75" s="413"/>
      <c r="B75" s="11" t="str">
        <f>IF(comparador10=0,"Do not fill this line",comparador10)</f>
        <v>Do not fill this line</v>
      </c>
      <c r="C75" s="50"/>
      <c r="D75" s="50"/>
      <c r="E75" s="50"/>
      <c r="F75" s="50"/>
      <c r="G75" s="50"/>
      <c r="H75" s="173"/>
      <c r="I75" s="9"/>
      <c r="J75" s="164">
        <f>C75*Results!$D$9</f>
        <v>0</v>
      </c>
      <c r="K75" s="164">
        <f>D75*Results!$E$9</f>
        <v>0</v>
      </c>
      <c r="L75" s="164">
        <f>E75*Results!$F$9</f>
        <v>0</v>
      </c>
      <c r="M75" s="164">
        <f>F75*Results!$G$9</f>
        <v>0</v>
      </c>
      <c r="N75" s="164">
        <f>G75*Results!$H$9</f>
        <v>0</v>
      </c>
      <c r="O75" s="9"/>
      <c r="P75" s="176" t="str">
        <f t="shared" si="5"/>
        <v>Não</v>
      </c>
      <c r="Q75" s="9"/>
      <c r="R75" s="9"/>
    </row>
    <row r="76" spans="1:18">
      <c r="A76" s="9"/>
      <c r="B76" s="9"/>
      <c r="C76" s="178">
        <f>SUM(C62:C75)</f>
        <v>1</v>
      </c>
      <c r="D76" s="178">
        <f t="shared" ref="D76:G76" si="7">SUM(D62:D75)</f>
        <v>1</v>
      </c>
      <c r="E76" s="178">
        <f t="shared" si="7"/>
        <v>1</v>
      </c>
      <c r="F76" s="178">
        <f t="shared" si="7"/>
        <v>1</v>
      </c>
      <c r="G76" s="178">
        <f t="shared" si="7"/>
        <v>1</v>
      </c>
      <c r="H76" s="173"/>
      <c r="I76" s="9"/>
      <c r="J76" s="9"/>
      <c r="K76" s="9"/>
      <c r="L76" s="9"/>
      <c r="M76" s="9"/>
      <c r="N76" s="9"/>
      <c r="O76" s="9"/>
      <c r="P76" s="176" t="str">
        <f t="shared" si="5"/>
        <v>Sim</v>
      </c>
      <c r="Q76" s="9"/>
      <c r="R76" s="9"/>
    </row>
    <row r="77" spans="1:18">
      <c r="A77" s="9"/>
      <c r="B77" s="9"/>
      <c r="C77" s="179" t="str">
        <f>IF(C76=1,"ok","check")</f>
        <v>ok</v>
      </c>
      <c r="D77" s="179" t="str">
        <f>IF(D76=1,"ok","check")</f>
        <v>ok</v>
      </c>
      <c r="E77" s="179" t="str">
        <f>IF(E76=1,"ok","check")</f>
        <v>ok</v>
      </c>
      <c r="F77" s="179" t="str">
        <f>IF(F76=1,"ok","check")</f>
        <v>ok</v>
      </c>
      <c r="G77" s="179" t="str">
        <f>IF(G76=1,"ok","check")</f>
        <v>ok</v>
      </c>
      <c r="H77" s="173" t="s">
        <v>94</v>
      </c>
      <c r="I77" s="9"/>
      <c r="J77" s="9"/>
      <c r="K77" s="9"/>
      <c r="L77" s="9"/>
      <c r="M77" s="9"/>
      <c r="N77" s="9"/>
      <c r="O77" s="9"/>
      <c r="P77" s="176"/>
      <c r="Q77" s="9"/>
      <c r="R77" s="9"/>
    </row>
    <row r="78" spans="1:18" ht="15.6">
      <c r="A78" s="9"/>
      <c r="B78" s="9"/>
      <c r="C78" s="9"/>
      <c r="D78" s="9"/>
      <c r="E78" s="9"/>
      <c r="F78" s="9"/>
      <c r="G78" s="9"/>
      <c r="H78" s="173"/>
      <c r="I78" s="9"/>
      <c r="J78" s="165" t="s">
        <v>3</v>
      </c>
      <c r="K78" s="9"/>
      <c r="L78" s="9"/>
      <c r="M78" s="9"/>
      <c r="N78" s="9"/>
      <c r="O78" s="9"/>
      <c r="P78" s="176" t="str">
        <f t="shared" ref="P78:P96" si="8">IF(B78="Do not fill this line","Não","Sim")</f>
        <v>Sim</v>
      </c>
      <c r="Q78" s="9"/>
      <c r="R78" s="9"/>
    </row>
    <row r="79" spans="1:18" s="166" customFormat="1" ht="18">
      <c r="B79" s="167" t="s">
        <v>90</v>
      </c>
      <c r="C79" s="168">
        <f>cen_prop3</f>
        <v>0</v>
      </c>
      <c r="D79" s="168"/>
      <c r="E79" s="168"/>
      <c r="F79" s="168"/>
      <c r="G79" s="168"/>
      <c r="H79" s="170"/>
      <c r="J79" s="171">
        <f>cen_prop3</f>
        <v>0</v>
      </c>
      <c r="K79" s="9"/>
      <c r="L79" s="9"/>
      <c r="M79" s="9"/>
      <c r="N79" s="9"/>
      <c r="O79" s="9"/>
      <c r="P79" s="176" t="str">
        <f t="shared" si="8"/>
        <v>Sim</v>
      </c>
      <c r="Q79" s="9"/>
      <c r="R79" s="9"/>
    </row>
    <row r="80" spans="1:18" ht="15.6">
      <c r="A80" s="9"/>
      <c r="B80" s="181"/>
      <c r="C80" s="181"/>
      <c r="D80" s="9"/>
      <c r="E80" s="9"/>
      <c r="F80" s="9"/>
      <c r="G80" s="9"/>
      <c r="H80" s="173"/>
      <c r="I80" s="9"/>
      <c r="J80" s="9"/>
      <c r="K80" s="9"/>
      <c r="L80" s="9"/>
      <c r="M80" s="9"/>
      <c r="N80" s="9"/>
      <c r="O80" s="9"/>
      <c r="P80" s="176" t="str">
        <f t="shared" si="8"/>
        <v>Sim</v>
      </c>
      <c r="Q80" s="9"/>
      <c r="R80" s="9"/>
    </row>
    <row r="81" spans="1:16">
      <c r="A81" s="9"/>
      <c r="B81" s="174" t="s">
        <v>81</v>
      </c>
      <c r="C81" s="174">
        <f>ano_1</f>
        <v>2026</v>
      </c>
      <c r="D81" s="174">
        <f>ano_1+1</f>
        <v>2027</v>
      </c>
      <c r="E81" s="174">
        <f>ano_1+2</f>
        <v>2028</v>
      </c>
      <c r="F81" s="174">
        <f>ano_1+3</f>
        <v>2029</v>
      </c>
      <c r="G81" s="174">
        <f>ano_1+4</f>
        <v>2030</v>
      </c>
      <c r="H81" s="173" t="s">
        <v>93</v>
      </c>
      <c r="I81" s="9"/>
      <c r="J81" s="174">
        <f>ano_1</f>
        <v>2026</v>
      </c>
      <c r="K81" s="174">
        <f>ano_1+1</f>
        <v>2027</v>
      </c>
      <c r="L81" s="174">
        <f>ano_1+2</f>
        <v>2028</v>
      </c>
      <c r="M81" s="174">
        <f>ano_1+3</f>
        <v>2029</v>
      </c>
      <c r="N81" s="174">
        <f>ano_1+4</f>
        <v>2030</v>
      </c>
      <c r="O81" s="9"/>
      <c r="P81" s="176" t="str">
        <f t="shared" si="8"/>
        <v>Sim</v>
      </c>
    </row>
    <row r="82" spans="1:16">
      <c r="A82" s="412" t="s">
        <v>91</v>
      </c>
      <c r="B82" s="175" t="str">
        <f>IF(intervencao1=0,"Do not fill this line",intervencao1)</f>
        <v>Intrauterine device levonorgestrel</v>
      </c>
      <c r="C82" s="50"/>
      <c r="D82" s="50"/>
      <c r="E82" s="50"/>
      <c r="F82" s="50"/>
      <c r="G82" s="50"/>
      <c r="H82" s="173"/>
      <c r="I82" s="9"/>
      <c r="J82" s="164">
        <f>C82*Results!$D$9</f>
        <v>0</v>
      </c>
      <c r="K82" s="164">
        <f>D82*Results!$E$9</f>
        <v>0</v>
      </c>
      <c r="L82" s="164">
        <f>E82*Results!$F$9</f>
        <v>0</v>
      </c>
      <c r="M82" s="164">
        <f>F82*Results!$G$9</f>
        <v>0</v>
      </c>
      <c r="N82" s="164">
        <f>G82*Results!$H$9</f>
        <v>0</v>
      </c>
      <c r="O82" s="9"/>
      <c r="P82" s="176" t="str">
        <f t="shared" si="8"/>
        <v>Sim</v>
      </c>
    </row>
    <row r="83" spans="1:16">
      <c r="A83" s="412"/>
      <c r="B83" s="175" t="str">
        <f>IF(intervencao2=0,"Do not fill this line",intervencao2)</f>
        <v>Do not fill this line</v>
      </c>
      <c r="C83" s="50"/>
      <c r="D83" s="50"/>
      <c r="E83" s="50"/>
      <c r="F83" s="50"/>
      <c r="G83" s="50"/>
      <c r="H83" s="173"/>
      <c r="I83" s="9"/>
      <c r="J83" s="164">
        <f>C83*Results!$D$9</f>
        <v>0</v>
      </c>
      <c r="K83" s="164">
        <f>D83*Results!$E$9</f>
        <v>0</v>
      </c>
      <c r="L83" s="164">
        <f>E83*Results!$F$9</f>
        <v>0</v>
      </c>
      <c r="M83" s="164">
        <f>F83*Results!$G$9</f>
        <v>0</v>
      </c>
      <c r="N83" s="164">
        <f>G83*Results!$H$9</f>
        <v>0</v>
      </c>
      <c r="O83" s="9"/>
      <c r="P83" s="176" t="str">
        <f t="shared" si="8"/>
        <v>Não</v>
      </c>
    </row>
    <row r="84" spans="1:16">
      <c r="A84" s="412"/>
      <c r="B84" s="175" t="str">
        <f>IF(intervencao3=0,"Do not fill this line",intervencao3)</f>
        <v>Do not fill this line</v>
      </c>
      <c r="C84" s="50"/>
      <c r="D84" s="50"/>
      <c r="E84" s="50"/>
      <c r="F84" s="50"/>
      <c r="G84" s="50"/>
      <c r="H84" s="173"/>
      <c r="I84" s="9"/>
      <c r="J84" s="164">
        <f>C84*Results!$D$9</f>
        <v>0</v>
      </c>
      <c r="K84" s="164">
        <f>D84*Results!$E$9</f>
        <v>0</v>
      </c>
      <c r="L84" s="164">
        <f>E84*Results!$F$9</f>
        <v>0</v>
      </c>
      <c r="M84" s="164">
        <f>F84*Results!$G$9</f>
        <v>0</v>
      </c>
      <c r="N84" s="164">
        <f>G84*Results!$H$9</f>
        <v>0</v>
      </c>
      <c r="O84" s="9"/>
      <c r="P84" s="176" t="str">
        <f t="shared" si="8"/>
        <v>Não</v>
      </c>
    </row>
    <row r="85" spans="1:16">
      <c r="A85" s="412"/>
      <c r="B85" s="175" t="str">
        <f>IF(intervencao4=0,"Do not fill this line",intervencao4)</f>
        <v>Do not fill this line</v>
      </c>
      <c r="C85" s="50"/>
      <c r="D85" s="50"/>
      <c r="E85" s="50"/>
      <c r="F85" s="50"/>
      <c r="G85" s="50"/>
      <c r="H85" s="173"/>
      <c r="I85" s="9"/>
      <c r="J85" s="164">
        <f>C85*Results!$D$9</f>
        <v>0</v>
      </c>
      <c r="K85" s="164">
        <f>D85*Results!$E$9</f>
        <v>0</v>
      </c>
      <c r="L85" s="164">
        <f>E85*Results!$F$9</f>
        <v>0</v>
      </c>
      <c r="M85" s="164">
        <f>F85*Results!$G$9</f>
        <v>0</v>
      </c>
      <c r="N85" s="164">
        <f>G85*Results!$H$9</f>
        <v>0</v>
      </c>
      <c r="O85" s="9"/>
      <c r="P85" s="176" t="str">
        <f t="shared" si="8"/>
        <v>Não</v>
      </c>
    </row>
    <row r="86" spans="1:16" s="180" customFormat="1">
      <c r="A86" s="413" t="s">
        <v>92</v>
      </c>
      <c r="B86" s="11" t="str">
        <f>IF(comparador1=0,"Do not fill this line",comparador1)</f>
        <v>Oral contraceptive</v>
      </c>
      <c r="C86" s="50"/>
      <c r="D86" s="50"/>
      <c r="E86" s="50"/>
      <c r="F86" s="50"/>
      <c r="G86" s="50"/>
      <c r="H86" s="173"/>
      <c r="I86" s="7"/>
      <c r="J86" s="164">
        <f>C86*Results!$D$9</f>
        <v>0</v>
      </c>
      <c r="K86" s="164">
        <f>D86*Results!$E$9</f>
        <v>0</v>
      </c>
      <c r="L86" s="164">
        <f>E86*Results!$F$9</f>
        <v>0</v>
      </c>
      <c r="M86" s="164">
        <f>F86*Results!$G$9</f>
        <v>0</v>
      </c>
      <c r="N86" s="164">
        <f>G86*Results!$H$9</f>
        <v>0</v>
      </c>
      <c r="O86" s="7"/>
      <c r="P86" s="176" t="str">
        <f t="shared" si="8"/>
        <v>Sim</v>
      </c>
    </row>
    <row r="87" spans="1:16" s="180" customFormat="1">
      <c r="A87" s="413"/>
      <c r="B87" s="11" t="str">
        <f>IF(comparador2=0,"Do not fill this line",comparador2)</f>
        <v>Do not fill this line</v>
      </c>
      <c r="C87" s="50"/>
      <c r="D87" s="50"/>
      <c r="E87" s="50"/>
      <c r="F87" s="50"/>
      <c r="G87" s="50"/>
      <c r="H87" s="177"/>
      <c r="I87" s="7"/>
      <c r="J87" s="164">
        <f>C87*Results!$D$9</f>
        <v>0</v>
      </c>
      <c r="K87" s="164">
        <f>D87*Results!$E$9</f>
        <v>0</v>
      </c>
      <c r="L87" s="164">
        <f>E87*Results!$F$9</f>
        <v>0</v>
      </c>
      <c r="M87" s="164">
        <f>F87*Results!$G$9</f>
        <v>0</v>
      </c>
      <c r="N87" s="164">
        <f>G87*Results!$H$9</f>
        <v>0</v>
      </c>
      <c r="O87" s="7"/>
      <c r="P87" s="176" t="str">
        <f t="shared" si="8"/>
        <v>Não</v>
      </c>
    </row>
    <row r="88" spans="1:16">
      <c r="A88" s="413"/>
      <c r="B88" s="11" t="str">
        <f>IF(comparador3=0,"Do not fill this line",comparador3)</f>
        <v>Do not fill this line</v>
      </c>
      <c r="C88" s="50"/>
      <c r="D88" s="50"/>
      <c r="E88" s="50"/>
      <c r="F88" s="50"/>
      <c r="G88" s="50"/>
      <c r="H88" s="173"/>
      <c r="I88" s="9"/>
      <c r="J88" s="164">
        <f>C88*Results!$D$9</f>
        <v>0</v>
      </c>
      <c r="K88" s="164">
        <f>D88*Results!$E$9</f>
        <v>0</v>
      </c>
      <c r="L88" s="164">
        <f>E88*Results!$F$9</f>
        <v>0</v>
      </c>
      <c r="M88" s="164">
        <f>F88*Results!$G$9</f>
        <v>0</v>
      </c>
      <c r="N88" s="164">
        <f>G88*Results!$H$9</f>
        <v>0</v>
      </c>
      <c r="O88" s="9"/>
      <c r="P88" s="176" t="str">
        <f t="shared" si="8"/>
        <v>Não</v>
      </c>
    </row>
    <row r="89" spans="1:16">
      <c r="A89" s="413"/>
      <c r="B89" s="11" t="str">
        <f>IF(comparador4=0,"Do not fill this line",comparador4)</f>
        <v>Do not fill this line</v>
      </c>
      <c r="C89" s="50"/>
      <c r="D89" s="50"/>
      <c r="E89" s="50"/>
      <c r="F89" s="50"/>
      <c r="G89" s="50"/>
      <c r="H89" s="173"/>
      <c r="I89" s="9"/>
      <c r="J89" s="164">
        <f>C89*Results!$D$9</f>
        <v>0</v>
      </c>
      <c r="K89" s="164">
        <f>D89*Results!$E$9</f>
        <v>0</v>
      </c>
      <c r="L89" s="164">
        <f>E89*Results!$F$9</f>
        <v>0</v>
      </c>
      <c r="M89" s="164">
        <f>F89*Results!$G$9</f>
        <v>0</v>
      </c>
      <c r="N89" s="164">
        <f>G89*Results!$H$9</f>
        <v>0</v>
      </c>
      <c r="O89" s="9"/>
      <c r="P89" s="176" t="str">
        <f t="shared" si="8"/>
        <v>Não</v>
      </c>
    </row>
    <row r="90" spans="1:16">
      <c r="A90" s="413"/>
      <c r="B90" s="11" t="str">
        <f>IF(comparador5=0,"Do not fill this line",comparador5)</f>
        <v>Do not fill this line</v>
      </c>
      <c r="C90" s="50"/>
      <c r="D90" s="50"/>
      <c r="E90" s="50"/>
      <c r="F90" s="50"/>
      <c r="G90" s="50"/>
      <c r="H90" s="173"/>
      <c r="I90" s="9"/>
      <c r="J90" s="164">
        <f>C90*Results!$D$9</f>
        <v>0</v>
      </c>
      <c r="K90" s="164">
        <f>D90*Results!$E$9</f>
        <v>0</v>
      </c>
      <c r="L90" s="164">
        <f>E90*Results!$F$9</f>
        <v>0</v>
      </c>
      <c r="M90" s="164">
        <f>F90*Results!$G$9</f>
        <v>0</v>
      </c>
      <c r="N90" s="164">
        <f>G90*Results!$H$9</f>
        <v>0</v>
      </c>
      <c r="O90" s="9"/>
      <c r="P90" s="176" t="str">
        <f t="shared" si="8"/>
        <v>Não</v>
      </c>
    </row>
    <row r="91" spans="1:16">
      <c r="A91" s="413"/>
      <c r="B91" s="11" t="str">
        <f>IF(comparador6=0,"Do not fill this line",comparador6)</f>
        <v>Do not fill this line</v>
      </c>
      <c r="C91" s="50"/>
      <c r="D91" s="50"/>
      <c r="E91" s="50"/>
      <c r="F91" s="50"/>
      <c r="G91" s="50"/>
      <c r="H91" s="173"/>
      <c r="I91" s="9"/>
      <c r="J91" s="164">
        <f>C91*Results!$D$9</f>
        <v>0</v>
      </c>
      <c r="K91" s="164">
        <f>D91*Results!$E$9</f>
        <v>0</v>
      </c>
      <c r="L91" s="164">
        <f>E91*Results!$F$9</f>
        <v>0</v>
      </c>
      <c r="M91" s="164">
        <f>F91*Results!$G$9</f>
        <v>0</v>
      </c>
      <c r="N91" s="164">
        <f>G91*Results!$H$9</f>
        <v>0</v>
      </c>
      <c r="O91" s="9"/>
      <c r="P91" s="176" t="str">
        <f t="shared" si="8"/>
        <v>Não</v>
      </c>
    </row>
    <row r="92" spans="1:16">
      <c r="A92" s="413"/>
      <c r="B92" s="11" t="str">
        <f>IF(comparador7=0,"Do not fill this line",comparador7)</f>
        <v>Do not fill this line</v>
      </c>
      <c r="C92" s="50"/>
      <c r="D92" s="50"/>
      <c r="E92" s="50"/>
      <c r="F92" s="50"/>
      <c r="G92" s="50"/>
      <c r="H92" s="173"/>
      <c r="I92" s="9"/>
      <c r="J92" s="164">
        <f>C92*Results!$D$9</f>
        <v>0</v>
      </c>
      <c r="K92" s="164">
        <f>D92*Results!$E$9</f>
        <v>0</v>
      </c>
      <c r="L92" s="164">
        <f>E92*Results!$F$9</f>
        <v>0</v>
      </c>
      <c r="M92" s="164">
        <f>F92*Results!$G$9</f>
        <v>0</v>
      </c>
      <c r="N92" s="164">
        <f>G92*Results!$H$9</f>
        <v>0</v>
      </c>
      <c r="O92" s="9"/>
      <c r="P92" s="176" t="str">
        <f t="shared" si="8"/>
        <v>Não</v>
      </c>
    </row>
    <row r="93" spans="1:16">
      <c r="A93" s="413"/>
      <c r="B93" s="11" t="str">
        <f>IF(comparador8=0,"Do not fill this line",comparador8)</f>
        <v>Do not fill this line</v>
      </c>
      <c r="C93" s="50"/>
      <c r="D93" s="50"/>
      <c r="E93" s="50"/>
      <c r="F93" s="50"/>
      <c r="G93" s="50"/>
      <c r="H93" s="173"/>
      <c r="I93" s="9"/>
      <c r="J93" s="164">
        <f>C93*Results!$D$9</f>
        <v>0</v>
      </c>
      <c r="K93" s="164">
        <f>D93*Results!$E$9</f>
        <v>0</v>
      </c>
      <c r="L93" s="164">
        <f>E93*Results!$F$9</f>
        <v>0</v>
      </c>
      <c r="M93" s="164">
        <f>F93*Results!$G$9</f>
        <v>0</v>
      </c>
      <c r="N93" s="164">
        <f>G93*Results!$H$9</f>
        <v>0</v>
      </c>
      <c r="O93" s="9"/>
      <c r="P93" s="176" t="str">
        <f t="shared" si="8"/>
        <v>Não</v>
      </c>
    </row>
    <row r="94" spans="1:16">
      <c r="A94" s="413"/>
      <c r="B94" s="11" t="str">
        <f>IF(comparador9=0,"Do not fill this line",comparador9)</f>
        <v>Do not fill this line</v>
      </c>
      <c r="C94" s="50"/>
      <c r="D94" s="50"/>
      <c r="E94" s="50"/>
      <c r="F94" s="50"/>
      <c r="G94" s="50"/>
      <c r="H94" s="173"/>
      <c r="I94" s="9"/>
      <c r="J94" s="164">
        <f>C94*Results!$D$9</f>
        <v>0</v>
      </c>
      <c r="K94" s="164">
        <f>D94*Results!$E$9</f>
        <v>0</v>
      </c>
      <c r="L94" s="164">
        <f>E94*Results!$F$9</f>
        <v>0</v>
      </c>
      <c r="M94" s="164">
        <f>F94*Results!$G$9</f>
        <v>0</v>
      </c>
      <c r="N94" s="164">
        <f>G94*Results!$H$9</f>
        <v>0</v>
      </c>
      <c r="O94" s="9"/>
      <c r="P94" s="176" t="str">
        <f t="shared" si="8"/>
        <v>Não</v>
      </c>
    </row>
    <row r="95" spans="1:16">
      <c r="A95" s="413"/>
      <c r="B95" s="11" t="str">
        <f>IF(comparador10=0,"Do not fill this line",comparador10)</f>
        <v>Do not fill this line</v>
      </c>
      <c r="C95" s="50"/>
      <c r="D95" s="50"/>
      <c r="E95" s="50"/>
      <c r="F95" s="50"/>
      <c r="G95" s="50"/>
      <c r="H95" s="173"/>
      <c r="I95" s="9"/>
      <c r="J95" s="164">
        <f>C95*Results!$D$9</f>
        <v>0</v>
      </c>
      <c r="K95" s="164">
        <f>D95*Results!$E$9</f>
        <v>0</v>
      </c>
      <c r="L95" s="164">
        <f>E95*Results!$F$9</f>
        <v>0</v>
      </c>
      <c r="M95" s="164">
        <f>F95*Results!$G$9</f>
        <v>0</v>
      </c>
      <c r="N95" s="164">
        <f>G95*Results!$H$9</f>
        <v>0</v>
      </c>
      <c r="O95" s="9"/>
      <c r="P95" s="176" t="str">
        <f t="shared" si="8"/>
        <v>Não</v>
      </c>
    </row>
    <row r="96" spans="1:16">
      <c r="A96" s="9"/>
      <c r="B96" s="9"/>
      <c r="C96" s="178">
        <f>SUM(C82:C95)</f>
        <v>0</v>
      </c>
      <c r="D96" s="178">
        <f t="shared" ref="D96:G96" si="9">SUM(D82:D95)</f>
        <v>0</v>
      </c>
      <c r="E96" s="178">
        <f t="shared" si="9"/>
        <v>0</v>
      </c>
      <c r="F96" s="178">
        <f t="shared" si="9"/>
        <v>0</v>
      </c>
      <c r="G96" s="178">
        <f t="shared" si="9"/>
        <v>0</v>
      </c>
      <c r="H96" s="173"/>
      <c r="I96" s="9"/>
      <c r="J96" s="9"/>
      <c r="K96" s="9"/>
      <c r="L96" s="9"/>
      <c r="M96" s="9"/>
      <c r="N96" s="9"/>
      <c r="O96" s="9"/>
      <c r="P96" s="176" t="str">
        <f t="shared" si="8"/>
        <v>Sim</v>
      </c>
    </row>
    <row r="97" spans="2:26">
      <c r="C97" s="179" t="str">
        <f>IF(C96=1,"ok","check")</f>
        <v>check</v>
      </c>
      <c r="D97" s="179" t="str">
        <f>IF(D96=1,"ok","check")</f>
        <v>check</v>
      </c>
      <c r="E97" s="179" t="str">
        <f>IF(E96=1,"ok","check")</f>
        <v>check</v>
      </c>
      <c r="F97" s="179" t="str">
        <f>IF(F96=1,"ok","check")</f>
        <v>check</v>
      </c>
      <c r="G97" s="179" t="str">
        <f>IF(G96=1,"ok","check")</f>
        <v>check</v>
      </c>
      <c r="H97" s="173" t="s">
        <v>94</v>
      </c>
      <c r="I97" s="9"/>
      <c r="J97" s="9"/>
      <c r="K97" s="9"/>
      <c r="L97" s="9"/>
      <c r="M97" s="9"/>
      <c r="N97" s="9"/>
      <c r="O97" s="9"/>
      <c r="P97" s="176"/>
    </row>
    <row r="98" spans="2:26">
      <c r="C98" s="9"/>
      <c r="D98" s="9"/>
      <c r="E98" s="9"/>
      <c r="F98" s="9"/>
      <c r="G98" s="9"/>
      <c r="H98" s="173"/>
      <c r="I98" s="9"/>
      <c r="J98" s="9"/>
      <c r="K98" s="9"/>
      <c r="L98" s="9"/>
      <c r="M98" s="9"/>
      <c r="N98" s="9"/>
      <c r="O98" s="9"/>
      <c r="P98" s="176"/>
    </row>
    <row r="99" spans="2:26">
      <c r="C99" s="9"/>
      <c r="D99" s="9"/>
      <c r="E99" s="9"/>
      <c r="F99" s="9"/>
      <c r="G99" s="9"/>
      <c r="H99" s="173"/>
      <c r="I99" s="9"/>
      <c r="J99" s="9"/>
      <c r="K99" s="9"/>
      <c r="L99" s="9"/>
      <c r="M99" s="9"/>
      <c r="N99" s="9"/>
      <c r="O99" s="9"/>
      <c r="P99" s="176"/>
    </row>
    <row r="100" spans="2:26">
      <c r="C100" s="9"/>
      <c r="D100" s="9"/>
      <c r="E100" s="9"/>
      <c r="F100" s="9"/>
      <c r="G100" s="9"/>
      <c r="H100" s="173"/>
      <c r="I100" s="9"/>
      <c r="J100" s="9"/>
      <c r="K100" s="9"/>
      <c r="L100" s="9"/>
      <c r="M100" s="9"/>
      <c r="N100" s="9"/>
      <c r="O100" s="9"/>
      <c r="P100" s="176"/>
    </row>
    <row r="101" spans="2:26">
      <c r="C101" s="9"/>
      <c r="D101" s="9"/>
      <c r="E101" s="9"/>
      <c r="F101" s="9"/>
      <c r="G101" s="9"/>
      <c r="H101" s="173"/>
      <c r="I101" s="9"/>
      <c r="J101" s="9"/>
      <c r="K101" s="9"/>
      <c r="L101" s="9"/>
      <c r="M101" s="9"/>
      <c r="N101" s="9"/>
      <c r="O101" s="9"/>
      <c r="P101" s="176"/>
    </row>
    <row r="102" spans="2:26">
      <c r="C102" s="9"/>
      <c r="D102" s="9"/>
      <c r="E102" s="9"/>
      <c r="F102" s="9"/>
      <c r="G102" s="9"/>
      <c r="H102" s="173"/>
      <c r="I102" s="9"/>
      <c r="J102" s="9"/>
      <c r="K102" s="9"/>
      <c r="L102" s="9"/>
      <c r="M102" s="9"/>
      <c r="N102" s="9"/>
      <c r="O102" s="9"/>
      <c r="P102" s="176"/>
    </row>
    <row r="103" spans="2:26">
      <c r="C103" s="9"/>
      <c r="D103" s="9"/>
      <c r="E103" s="9"/>
      <c r="F103" s="9"/>
      <c r="G103" s="9"/>
      <c r="H103" s="173"/>
      <c r="I103" s="9"/>
      <c r="J103" s="9"/>
      <c r="K103" s="9"/>
      <c r="L103" s="9"/>
      <c r="M103" s="9"/>
      <c r="N103" s="9"/>
      <c r="O103" s="9"/>
      <c r="P103" s="176"/>
    </row>
    <row r="104" spans="2:26">
      <c r="C104" s="9"/>
      <c r="D104" s="9"/>
      <c r="E104" s="9"/>
      <c r="F104" s="9"/>
      <c r="G104" s="9"/>
      <c r="H104" s="173"/>
      <c r="I104" s="9"/>
      <c r="J104" s="9"/>
      <c r="K104" s="9"/>
      <c r="L104" s="9"/>
      <c r="M104" s="9"/>
      <c r="N104" s="9"/>
      <c r="O104" s="9"/>
      <c r="P104" s="176"/>
    </row>
    <row r="105" spans="2:26">
      <c r="C105" s="9"/>
      <c r="D105" s="9"/>
      <c r="E105" s="9"/>
      <c r="F105" s="9"/>
      <c r="G105" s="9"/>
      <c r="H105" s="173"/>
      <c r="I105" s="9"/>
      <c r="J105" s="9"/>
      <c r="K105" s="9"/>
      <c r="L105" s="9"/>
      <c r="M105" s="9"/>
      <c r="N105" s="9"/>
      <c r="O105" s="9"/>
      <c r="P105" s="176"/>
    </row>
    <row r="106" spans="2:26" s="142" customFormat="1">
      <c r="C106" s="7"/>
      <c r="D106" s="7"/>
      <c r="E106" s="7"/>
      <c r="F106" s="7"/>
      <c r="G106" s="7"/>
      <c r="H106" s="7"/>
      <c r="I106" s="7"/>
      <c r="J106" s="7"/>
      <c r="K106" s="7"/>
      <c r="L106" s="7"/>
    </row>
    <row r="107" spans="2:26" s="142" customFormat="1">
      <c r="B107" s="65"/>
      <c r="C107" s="65"/>
      <c r="D107" s="65"/>
      <c r="E107" s="65"/>
      <c r="F107" s="65"/>
      <c r="G107" s="65"/>
      <c r="H107" s="65"/>
      <c r="I107" s="65"/>
      <c r="J107" s="65"/>
      <c r="K107" s="65"/>
      <c r="L107" s="65"/>
      <c r="M107" s="65"/>
      <c r="N107" s="65"/>
      <c r="O107" s="65"/>
      <c r="P107" s="65"/>
      <c r="Q107" s="65"/>
      <c r="R107" s="65"/>
      <c r="S107" s="65"/>
      <c r="T107" s="65"/>
      <c r="U107" s="65"/>
      <c r="V107" s="65"/>
      <c r="W107" s="65"/>
      <c r="X107" s="65"/>
      <c r="Y107" s="65"/>
      <c r="Z107" s="65"/>
    </row>
    <row r="108" spans="2:26" s="142" customFormat="1" ht="15" customHeight="1">
      <c r="B108" s="406" t="s">
        <v>224</v>
      </c>
      <c r="C108" s="406"/>
      <c r="D108" s="406"/>
      <c r="E108" s="406"/>
      <c r="F108" s="406"/>
      <c r="G108" s="406"/>
      <c r="H108" s="406"/>
      <c r="I108" s="406"/>
      <c r="J108" s="406"/>
      <c r="K108" s="406"/>
      <c r="L108" s="406"/>
      <c r="M108" s="406"/>
      <c r="N108" s="406"/>
    </row>
    <row r="109" spans="2:26" s="142" customFormat="1">
      <c r="B109" s="406"/>
      <c r="C109" s="406"/>
      <c r="D109" s="406"/>
      <c r="E109" s="406"/>
      <c r="F109" s="406"/>
      <c r="G109" s="406"/>
      <c r="H109" s="406"/>
      <c r="I109" s="406"/>
      <c r="J109" s="406"/>
      <c r="K109" s="406"/>
      <c r="L109" s="406"/>
      <c r="M109" s="406"/>
      <c r="N109" s="406"/>
    </row>
    <row r="110" spans="2:26" s="1" customFormat="1" ht="85.95" customHeight="1">
      <c r="B110" s="405" t="e" vm="1">
        <v>#VALUE!</v>
      </c>
      <c r="C110" s="405"/>
      <c r="D110" s="405"/>
      <c r="E110" s="405"/>
      <c r="F110" s="405"/>
      <c r="G110" s="405"/>
      <c r="H110" s="405"/>
      <c r="I110" s="405"/>
      <c r="J110" s="405"/>
      <c r="K110" s="405"/>
      <c r="L110" s="405"/>
      <c r="M110" s="405"/>
    </row>
    <row r="111" spans="2:26">
      <c r="C111" s="9"/>
      <c r="D111" s="9"/>
      <c r="E111" s="9"/>
      <c r="F111" s="9"/>
      <c r="G111" s="9"/>
      <c r="H111" s="173"/>
      <c r="I111" s="9"/>
      <c r="J111" s="9"/>
      <c r="K111" s="9"/>
      <c r="L111" s="9"/>
      <c r="M111" s="9"/>
      <c r="N111" s="9"/>
      <c r="O111" s="9"/>
      <c r="P111" s="176"/>
    </row>
    <row r="112" spans="2:26">
      <c r="C112" s="9"/>
      <c r="D112" s="9"/>
      <c r="E112" s="9"/>
      <c r="F112" s="9"/>
      <c r="G112" s="9"/>
      <c r="H112" s="173"/>
      <c r="I112" s="9"/>
      <c r="J112" s="9"/>
      <c r="K112" s="9"/>
      <c r="L112" s="9"/>
      <c r="M112" s="9"/>
      <c r="N112" s="9"/>
      <c r="O112" s="9"/>
      <c r="P112" s="176"/>
    </row>
    <row r="113" spans="8:16">
      <c r="H113" s="173"/>
      <c r="I113" s="9"/>
      <c r="J113" s="9"/>
      <c r="K113" s="9"/>
      <c r="L113" s="9"/>
      <c r="M113" s="9"/>
      <c r="N113" s="9"/>
      <c r="O113" s="9"/>
      <c r="P113" s="176"/>
    </row>
    <row r="114" spans="8:16">
      <c r="H114" s="173"/>
      <c r="I114" s="9"/>
      <c r="J114" s="9"/>
      <c r="K114" s="9"/>
      <c r="L114" s="9"/>
      <c r="M114" s="9"/>
      <c r="N114" s="9"/>
      <c r="O114" s="9"/>
      <c r="P114" s="176"/>
    </row>
    <row r="115" spans="8:16">
      <c r="H115" s="173"/>
      <c r="I115" s="9"/>
      <c r="J115" s="9"/>
      <c r="K115" s="9"/>
      <c r="L115" s="9"/>
      <c r="M115" s="9"/>
      <c r="N115" s="9"/>
      <c r="O115" s="9"/>
      <c r="P115" s="176"/>
    </row>
    <row r="116" spans="8:16">
      <c r="H116" s="173"/>
      <c r="I116" s="9"/>
      <c r="J116" s="9"/>
      <c r="K116" s="9"/>
      <c r="L116" s="9"/>
      <c r="M116" s="9"/>
      <c r="N116" s="9"/>
      <c r="O116" s="9"/>
      <c r="P116" s="176"/>
    </row>
    <row r="117" spans="8:16">
      <c r="H117" s="173"/>
      <c r="I117" s="9"/>
      <c r="J117" s="9"/>
      <c r="K117" s="9"/>
      <c r="L117" s="9"/>
      <c r="M117" s="9"/>
      <c r="N117" s="9"/>
      <c r="O117" s="9"/>
      <c r="P117" s="176"/>
    </row>
    <row r="118" spans="8:16">
      <c r="H118" s="173"/>
      <c r="I118" s="9"/>
      <c r="J118" s="9"/>
      <c r="K118" s="9"/>
      <c r="L118" s="9"/>
      <c r="M118" s="9"/>
      <c r="N118" s="9"/>
      <c r="O118" s="9"/>
      <c r="P118" s="176"/>
    </row>
    <row r="119" spans="8:16">
      <c r="H119" s="173"/>
      <c r="I119" s="9"/>
      <c r="J119" s="9"/>
      <c r="K119" s="9"/>
      <c r="L119" s="9"/>
      <c r="M119" s="9"/>
      <c r="N119" s="9"/>
      <c r="O119" s="9"/>
      <c r="P119" s="176"/>
    </row>
    <row r="120" spans="8:16">
      <c r="H120" s="173"/>
      <c r="I120" s="9"/>
      <c r="J120" s="9"/>
      <c r="K120" s="9"/>
      <c r="L120" s="9"/>
      <c r="M120" s="9"/>
      <c r="N120" s="9"/>
      <c r="O120" s="9"/>
      <c r="P120" s="176"/>
    </row>
    <row r="121" spans="8:16">
      <c r="H121" s="173"/>
      <c r="I121" s="9"/>
      <c r="J121" s="9"/>
      <c r="K121" s="9"/>
      <c r="L121" s="9"/>
      <c r="M121" s="9"/>
      <c r="N121" s="9"/>
      <c r="O121" s="9"/>
      <c r="P121" s="176"/>
    </row>
    <row r="122" spans="8:16">
      <c r="H122" s="173"/>
      <c r="I122" s="9"/>
      <c r="J122" s="9"/>
      <c r="K122" s="9"/>
      <c r="L122" s="9"/>
      <c r="M122" s="9"/>
      <c r="N122" s="9"/>
      <c r="O122" s="9"/>
      <c r="P122" s="176"/>
    </row>
    <row r="123" spans="8:16">
      <c r="H123" s="173"/>
      <c r="I123" s="9"/>
      <c r="J123" s="9"/>
      <c r="K123" s="9"/>
      <c r="L123" s="9"/>
      <c r="M123" s="9"/>
      <c r="N123" s="9"/>
      <c r="O123" s="9"/>
      <c r="P123" s="176"/>
    </row>
    <row r="124" spans="8:16">
      <c r="H124" s="173"/>
      <c r="I124" s="9"/>
      <c r="J124" s="9"/>
      <c r="K124" s="9"/>
      <c r="L124" s="9"/>
      <c r="M124" s="9"/>
      <c r="N124" s="9"/>
      <c r="O124" s="9"/>
      <c r="P124" s="176"/>
    </row>
    <row r="125" spans="8:16">
      <c r="H125" s="173"/>
      <c r="I125" s="9"/>
      <c r="J125" s="9"/>
      <c r="K125" s="9"/>
      <c r="L125" s="9"/>
      <c r="M125" s="9"/>
      <c r="N125" s="9"/>
      <c r="O125" s="9"/>
      <c r="P125" s="176"/>
    </row>
    <row r="126" spans="8:16">
      <c r="H126" s="173"/>
      <c r="I126" s="9"/>
      <c r="J126" s="9"/>
      <c r="K126" s="9"/>
      <c r="L126" s="9"/>
      <c r="M126" s="9"/>
      <c r="N126" s="9"/>
      <c r="O126" s="9"/>
      <c r="P126" s="176"/>
    </row>
    <row r="127" spans="8:16">
      <c r="H127" s="173"/>
      <c r="I127" s="9"/>
      <c r="J127" s="9"/>
      <c r="K127" s="9"/>
      <c r="L127" s="9"/>
      <c r="M127" s="9"/>
      <c r="N127" s="9"/>
      <c r="O127" s="9"/>
      <c r="P127" s="176"/>
    </row>
    <row r="128" spans="8:16">
      <c r="H128" s="173"/>
      <c r="I128" s="9"/>
      <c r="J128" s="9"/>
      <c r="K128" s="9"/>
      <c r="L128" s="9"/>
      <c r="M128" s="9"/>
      <c r="N128" s="9"/>
      <c r="O128" s="9"/>
      <c r="P128" s="176"/>
    </row>
    <row r="129" spans="8:16">
      <c r="H129" s="173"/>
      <c r="I129" s="9"/>
      <c r="J129" s="9"/>
      <c r="K129" s="9"/>
      <c r="L129" s="9"/>
      <c r="M129" s="9"/>
      <c r="N129" s="9"/>
      <c r="O129" s="9"/>
      <c r="P129" s="176"/>
    </row>
    <row r="130" spans="8:16">
      <c r="H130" s="173"/>
      <c r="I130" s="9"/>
      <c r="J130" s="9"/>
      <c r="K130" s="9"/>
      <c r="L130" s="9"/>
      <c r="M130" s="9"/>
      <c r="N130" s="9"/>
      <c r="O130" s="9"/>
      <c r="P130" s="176"/>
    </row>
    <row r="131" spans="8:16">
      <c r="H131" s="173"/>
      <c r="I131" s="9"/>
      <c r="J131" s="9"/>
      <c r="K131" s="9"/>
      <c r="L131" s="9"/>
      <c r="M131" s="9"/>
      <c r="N131" s="9"/>
      <c r="O131" s="9"/>
      <c r="P131" s="176"/>
    </row>
    <row r="132" spans="8:16">
      <c r="H132" s="173"/>
      <c r="I132" s="9"/>
      <c r="J132" s="9"/>
      <c r="K132" s="9"/>
      <c r="L132" s="9"/>
      <c r="M132" s="9"/>
      <c r="N132" s="9"/>
      <c r="O132" s="9"/>
      <c r="P132" s="176"/>
    </row>
    <row r="133" spans="8:16">
      <c r="H133" s="173"/>
      <c r="I133" s="9"/>
      <c r="J133" s="9"/>
      <c r="K133" s="9"/>
      <c r="L133" s="9"/>
      <c r="M133" s="9"/>
      <c r="N133" s="9"/>
      <c r="O133" s="9"/>
      <c r="P133" s="176"/>
    </row>
    <row r="134" spans="8:16">
      <c r="H134" s="173"/>
      <c r="I134" s="9"/>
      <c r="J134" s="9"/>
      <c r="K134" s="9"/>
      <c r="L134" s="9"/>
      <c r="M134" s="9"/>
      <c r="N134" s="9"/>
      <c r="O134" s="9"/>
      <c r="P134" s="176"/>
    </row>
    <row r="135" spans="8:16">
      <c r="H135" s="173"/>
      <c r="I135" s="9"/>
      <c r="J135" s="9"/>
      <c r="K135" s="9"/>
      <c r="L135" s="9"/>
      <c r="M135" s="9"/>
      <c r="N135" s="9"/>
      <c r="O135" s="9"/>
      <c r="P135" s="176"/>
    </row>
    <row r="136" spans="8:16">
      <c r="H136" s="173"/>
      <c r="I136" s="9"/>
      <c r="J136" s="9"/>
      <c r="K136" s="9"/>
      <c r="L136" s="9"/>
      <c r="M136" s="9"/>
      <c r="N136" s="9"/>
      <c r="O136" s="9"/>
      <c r="P136" s="176"/>
    </row>
    <row r="137" spans="8:16">
      <c r="H137" s="173"/>
      <c r="I137" s="9"/>
      <c r="J137" s="9"/>
      <c r="K137" s="9"/>
      <c r="L137" s="9"/>
      <c r="M137" s="9"/>
      <c r="N137" s="9"/>
      <c r="O137" s="9"/>
      <c r="P137" s="176"/>
    </row>
    <row r="138" spans="8:16">
      <c r="H138" s="173"/>
      <c r="I138" s="9"/>
      <c r="J138" s="9"/>
      <c r="K138" s="9"/>
      <c r="L138" s="9"/>
      <c r="M138" s="9"/>
      <c r="N138" s="9"/>
      <c r="O138" s="9"/>
      <c r="P138" s="176"/>
    </row>
    <row r="139" spans="8:16">
      <c r="H139" s="173"/>
      <c r="I139" s="9"/>
      <c r="J139" s="9"/>
      <c r="K139" s="9"/>
      <c r="L139" s="9"/>
      <c r="M139" s="9"/>
      <c r="N139" s="9"/>
      <c r="O139" s="9"/>
      <c r="P139" s="176"/>
    </row>
    <row r="140" spans="8:16">
      <c r="H140" s="173"/>
      <c r="I140" s="9"/>
      <c r="J140" s="9"/>
      <c r="K140" s="9"/>
      <c r="L140" s="9"/>
      <c r="M140" s="9"/>
      <c r="N140" s="9"/>
      <c r="O140" s="9"/>
      <c r="P140" s="176"/>
    </row>
    <row r="141" spans="8:16">
      <c r="H141" s="173"/>
      <c r="I141" s="9"/>
      <c r="J141" s="9"/>
      <c r="K141" s="9"/>
      <c r="L141" s="9"/>
      <c r="M141" s="9"/>
      <c r="N141" s="9"/>
      <c r="O141" s="9"/>
      <c r="P141" s="176"/>
    </row>
    <row r="142" spans="8:16">
      <c r="H142" s="173"/>
      <c r="I142" s="9"/>
      <c r="J142" s="9"/>
      <c r="K142" s="9"/>
      <c r="L142" s="9"/>
      <c r="M142" s="9"/>
      <c r="N142" s="9"/>
      <c r="O142" s="9"/>
      <c r="P142" s="176"/>
    </row>
    <row r="143" spans="8:16">
      <c r="H143" s="173"/>
      <c r="I143" s="9"/>
      <c r="J143" s="9"/>
      <c r="K143" s="9"/>
      <c r="L143" s="9"/>
      <c r="M143" s="9"/>
      <c r="N143" s="9"/>
      <c r="O143" s="9"/>
      <c r="P143" s="176"/>
    </row>
    <row r="144" spans="8:16">
      <c r="H144" s="173"/>
      <c r="I144" s="9"/>
      <c r="J144" s="9"/>
      <c r="K144" s="9"/>
      <c r="L144" s="9"/>
      <c r="M144" s="9"/>
      <c r="N144" s="9"/>
      <c r="O144" s="9"/>
      <c r="P144" s="176"/>
    </row>
    <row r="145" spans="8:16">
      <c r="H145" s="173"/>
      <c r="I145" s="9"/>
      <c r="J145" s="9"/>
      <c r="K145" s="9"/>
      <c r="L145" s="9"/>
      <c r="M145" s="9"/>
      <c r="N145" s="9"/>
      <c r="O145" s="9"/>
      <c r="P145" s="176"/>
    </row>
    <row r="146" spans="8:16">
      <c r="H146" s="173"/>
      <c r="I146" s="9"/>
      <c r="J146" s="9"/>
      <c r="K146" s="9"/>
      <c r="L146" s="9"/>
      <c r="M146" s="9"/>
      <c r="N146" s="9"/>
      <c r="O146" s="9"/>
      <c r="P146" s="176"/>
    </row>
    <row r="147" spans="8:16">
      <c r="H147" s="173"/>
      <c r="I147" s="9"/>
      <c r="J147" s="9"/>
      <c r="K147" s="9"/>
      <c r="L147" s="9"/>
      <c r="M147" s="9"/>
      <c r="N147" s="9"/>
      <c r="O147" s="9"/>
      <c r="P147" s="176"/>
    </row>
    <row r="148" spans="8:16">
      <c r="H148" s="173"/>
      <c r="I148" s="9"/>
      <c r="J148" s="9"/>
      <c r="K148" s="9"/>
      <c r="L148" s="9"/>
      <c r="M148" s="9"/>
      <c r="N148" s="9"/>
      <c r="O148" s="9"/>
      <c r="P148" s="176"/>
    </row>
    <row r="149" spans="8:16">
      <c r="H149" s="173"/>
      <c r="I149" s="9"/>
      <c r="J149" s="9"/>
      <c r="K149" s="9"/>
      <c r="L149" s="9"/>
      <c r="M149" s="9"/>
      <c r="N149" s="9"/>
      <c r="O149" s="9"/>
      <c r="P149" s="176"/>
    </row>
    <row r="150" spans="8:16">
      <c r="H150" s="173"/>
      <c r="I150" s="9"/>
      <c r="J150" s="9"/>
      <c r="K150" s="9"/>
      <c r="L150" s="9"/>
      <c r="M150" s="9"/>
      <c r="N150" s="9"/>
      <c r="O150" s="9"/>
      <c r="P150" s="176"/>
    </row>
    <row r="151" spans="8:16">
      <c r="H151" s="173"/>
      <c r="I151" s="9"/>
      <c r="J151" s="9"/>
      <c r="K151" s="9"/>
      <c r="L151" s="9"/>
      <c r="M151" s="9"/>
      <c r="N151" s="9"/>
      <c r="O151" s="9"/>
      <c r="P151" s="176"/>
    </row>
    <row r="152" spans="8:16">
      <c r="H152" s="173"/>
      <c r="I152" s="9"/>
      <c r="J152" s="9"/>
      <c r="K152" s="9"/>
      <c r="L152" s="9"/>
      <c r="M152" s="9"/>
      <c r="N152" s="9"/>
      <c r="O152" s="9"/>
      <c r="P152" s="176"/>
    </row>
    <row r="153" spans="8:16">
      <c r="H153" s="173"/>
      <c r="I153" s="9"/>
      <c r="J153" s="9"/>
      <c r="K153" s="9"/>
      <c r="L153" s="9"/>
      <c r="M153" s="9"/>
      <c r="N153" s="9"/>
      <c r="O153" s="9"/>
      <c r="P153" s="176"/>
    </row>
    <row r="154" spans="8:16">
      <c r="H154" s="173"/>
      <c r="I154" s="9"/>
      <c r="J154" s="9"/>
      <c r="K154" s="9"/>
      <c r="L154" s="9"/>
      <c r="M154" s="9"/>
      <c r="N154" s="9"/>
      <c r="O154" s="9"/>
      <c r="P154" s="176"/>
    </row>
    <row r="155" spans="8:16">
      <c r="H155" s="173"/>
      <c r="I155" s="9"/>
      <c r="J155" s="9"/>
      <c r="K155" s="9"/>
      <c r="L155" s="9"/>
      <c r="M155" s="9"/>
      <c r="N155" s="9"/>
      <c r="O155" s="9"/>
      <c r="P155" s="176"/>
    </row>
    <row r="156" spans="8:16">
      <c r="H156" s="173"/>
      <c r="I156" s="9"/>
      <c r="J156" s="9"/>
      <c r="K156" s="9"/>
      <c r="L156" s="9"/>
      <c r="M156" s="9"/>
      <c r="N156" s="9"/>
      <c r="O156" s="9"/>
      <c r="P156" s="176"/>
    </row>
    <row r="157" spans="8:16">
      <c r="H157" s="173"/>
      <c r="I157" s="9"/>
      <c r="J157" s="9"/>
      <c r="K157" s="9"/>
      <c r="L157" s="9"/>
      <c r="M157" s="9"/>
      <c r="N157" s="9"/>
      <c r="O157" s="9"/>
      <c r="P157" s="176"/>
    </row>
    <row r="158" spans="8:16">
      <c r="H158" s="173"/>
      <c r="I158" s="9"/>
      <c r="J158" s="9"/>
      <c r="K158" s="9"/>
      <c r="L158" s="9"/>
      <c r="M158" s="9"/>
      <c r="N158" s="9"/>
      <c r="O158" s="9"/>
      <c r="P158" s="176"/>
    </row>
    <row r="159" spans="8:16">
      <c r="H159" s="173"/>
      <c r="I159" s="9"/>
      <c r="J159" s="9"/>
      <c r="K159" s="9"/>
      <c r="L159" s="9"/>
      <c r="M159" s="9"/>
      <c r="N159" s="9"/>
      <c r="O159" s="9"/>
      <c r="P159" s="176"/>
    </row>
    <row r="160" spans="8:16">
      <c r="H160" s="173"/>
      <c r="I160" s="9"/>
      <c r="J160" s="9"/>
      <c r="K160" s="9"/>
      <c r="L160" s="9"/>
      <c r="M160" s="9"/>
      <c r="N160" s="9"/>
      <c r="O160" s="9"/>
      <c r="P160" s="176"/>
    </row>
    <row r="161" spans="8:16">
      <c r="H161" s="173"/>
      <c r="I161" s="9"/>
      <c r="J161" s="9"/>
      <c r="K161" s="9"/>
      <c r="L161" s="9"/>
      <c r="M161" s="9"/>
      <c r="N161" s="9"/>
      <c r="O161" s="9"/>
      <c r="P161" s="176"/>
    </row>
    <row r="162" spans="8:16">
      <c r="H162" s="173"/>
      <c r="I162" s="9"/>
      <c r="J162" s="9"/>
      <c r="K162" s="9"/>
      <c r="L162" s="9"/>
      <c r="M162" s="9"/>
      <c r="N162" s="9"/>
      <c r="O162" s="9"/>
      <c r="P162" s="176"/>
    </row>
    <row r="163" spans="8:16">
      <c r="H163" s="173"/>
      <c r="I163" s="9"/>
      <c r="J163" s="9"/>
      <c r="K163" s="9"/>
      <c r="L163" s="9"/>
      <c r="M163" s="9"/>
      <c r="N163" s="9"/>
      <c r="O163" s="9"/>
      <c r="P163" s="176"/>
    </row>
    <row r="164" spans="8:16">
      <c r="H164" s="173"/>
      <c r="I164" s="9"/>
      <c r="J164" s="9"/>
      <c r="K164" s="9"/>
      <c r="L164" s="9"/>
      <c r="M164" s="9"/>
      <c r="N164" s="9"/>
      <c r="O164" s="9"/>
      <c r="P164" s="176"/>
    </row>
    <row r="165" spans="8:16">
      <c r="H165" s="173"/>
      <c r="I165" s="9"/>
      <c r="J165" s="9"/>
      <c r="K165" s="9"/>
      <c r="L165" s="9"/>
      <c r="M165" s="9"/>
      <c r="N165" s="9"/>
      <c r="O165" s="9"/>
      <c r="P165" s="176"/>
    </row>
    <row r="166" spans="8:16">
      <c r="H166" s="173"/>
      <c r="I166" s="9"/>
      <c r="J166" s="9"/>
      <c r="K166" s="9"/>
      <c r="L166" s="9"/>
      <c r="M166" s="9"/>
      <c r="N166" s="9"/>
      <c r="O166" s="9"/>
      <c r="P166" s="176"/>
    </row>
    <row r="167" spans="8:16">
      <c r="H167" s="173"/>
      <c r="I167" s="9"/>
      <c r="J167" s="9"/>
      <c r="K167" s="9"/>
      <c r="L167" s="9"/>
      <c r="M167" s="9"/>
      <c r="N167" s="9"/>
      <c r="O167" s="9"/>
      <c r="P167" s="176"/>
    </row>
    <row r="168" spans="8:16">
      <c r="H168" s="173"/>
      <c r="I168" s="9"/>
      <c r="J168" s="9"/>
      <c r="K168" s="9"/>
      <c r="L168" s="9"/>
      <c r="M168" s="9"/>
      <c r="N168" s="9"/>
      <c r="O168" s="9"/>
      <c r="P168" s="176"/>
    </row>
    <row r="169" spans="8:16">
      <c r="H169" s="173"/>
      <c r="I169" s="9"/>
      <c r="J169" s="9"/>
      <c r="K169" s="9"/>
      <c r="L169" s="9"/>
      <c r="M169" s="9"/>
      <c r="N169" s="9"/>
      <c r="O169" s="9"/>
      <c r="P169" s="176"/>
    </row>
    <row r="170" spans="8:16">
      <c r="H170" s="173"/>
      <c r="I170" s="9"/>
      <c r="J170" s="9"/>
      <c r="K170" s="9"/>
      <c r="L170" s="9"/>
      <c r="M170" s="9"/>
      <c r="N170" s="9"/>
      <c r="O170" s="9"/>
      <c r="P170" s="176"/>
    </row>
    <row r="171" spans="8:16">
      <c r="H171" s="173"/>
      <c r="I171" s="9"/>
      <c r="J171" s="9"/>
      <c r="K171" s="9"/>
      <c r="L171" s="9"/>
      <c r="M171" s="9"/>
      <c r="N171" s="9"/>
      <c r="O171" s="9"/>
      <c r="P171" s="176"/>
    </row>
    <row r="172" spans="8:16">
      <c r="H172" s="173"/>
      <c r="I172" s="9"/>
      <c r="J172" s="9"/>
      <c r="K172" s="9"/>
      <c r="L172" s="9"/>
      <c r="M172" s="9"/>
      <c r="N172" s="9"/>
      <c r="O172" s="9"/>
      <c r="P172" s="176"/>
    </row>
    <row r="173" spans="8:16">
      <c r="H173" s="173"/>
      <c r="I173" s="9"/>
      <c r="J173" s="9"/>
      <c r="K173" s="9"/>
      <c r="L173" s="9"/>
      <c r="M173" s="9"/>
      <c r="N173" s="9"/>
      <c r="O173" s="9"/>
      <c r="P173" s="176"/>
    </row>
    <row r="174" spans="8:16">
      <c r="H174" s="173"/>
      <c r="I174" s="9"/>
      <c r="J174" s="9"/>
      <c r="K174" s="9"/>
      <c r="L174" s="9"/>
      <c r="M174" s="9"/>
      <c r="N174" s="9"/>
      <c r="O174" s="9"/>
      <c r="P174" s="176"/>
    </row>
    <row r="175" spans="8:16">
      <c r="H175" s="173"/>
      <c r="I175" s="9"/>
      <c r="J175" s="9"/>
      <c r="K175" s="9"/>
      <c r="L175" s="9"/>
      <c r="M175" s="9"/>
      <c r="N175" s="9"/>
      <c r="O175" s="9"/>
      <c r="P175" s="176"/>
    </row>
    <row r="176" spans="8:16">
      <c r="H176" s="173"/>
      <c r="I176" s="9"/>
      <c r="J176" s="9"/>
      <c r="K176" s="9"/>
      <c r="L176" s="9"/>
      <c r="M176" s="9"/>
      <c r="N176" s="9"/>
      <c r="O176" s="9"/>
      <c r="P176" s="176"/>
    </row>
    <row r="177" spans="8:16">
      <c r="H177" s="173"/>
      <c r="I177" s="9"/>
      <c r="J177" s="9"/>
      <c r="K177" s="9"/>
      <c r="L177" s="9"/>
      <c r="M177" s="9"/>
      <c r="N177" s="9"/>
      <c r="O177" s="9"/>
      <c r="P177" s="176"/>
    </row>
    <row r="178" spans="8:16">
      <c r="H178" s="173"/>
      <c r="I178" s="9"/>
      <c r="J178" s="9"/>
      <c r="K178" s="9"/>
      <c r="L178" s="9"/>
      <c r="M178" s="9"/>
      <c r="N178" s="9"/>
      <c r="O178" s="9"/>
      <c r="P178" s="176"/>
    </row>
    <row r="179" spans="8:16">
      <c r="H179" s="173"/>
      <c r="I179" s="9"/>
      <c r="J179" s="9"/>
      <c r="K179" s="9"/>
      <c r="L179" s="9"/>
      <c r="M179" s="9"/>
      <c r="N179" s="9"/>
      <c r="O179" s="9"/>
      <c r="P179" s="176"/>
    </row>
    <row r="180" spans="8:16">
      <c r="H180" s="173"/>
      <c r="I180" s="9"/>
      <c r="J180" s="9"/>
      <c r="K180" s="9"/>
      <c r="L180" s="9"/>
      <c r="M180" s="9"/>
      <c r="N180" s="9"/>
      <c r="O180" s="9"/>
      <c r="P180" s="176"/>
    </row>
    <row r="181" spans="8:16">
      <c r="H181" s="173"/>
      <c r="I181" s="9"/>
      <c r="J181" s="9"/>
      <c r="K181" s="9"/>
      <c r="L181" s="9"/>
      <c r="M181" s="9"/>
      <c r="N181" s="9"/>
      <c r="O181" s="9"/>
      <c r="P181" s="176"/>
    </row>
    <row r="182" spans="8:16">
      <c r="H182" s="173"/>
      <c r="I182" s="9"/>
      <c r="J182" s="9"/>
      <c r="K182" s="9"/>
      <c r="L182" s="9"/>
      <c r="M182" s="9"/>
      <c r="N182" s="9"/>
      <c r="O182" s="9"/>
      <c r="P182" s="176"/>
    </row>
    <row r="183" spans="8:16">
      <c r="H183" s="173"/>
      <c r="I183" s="9"/>
      <c r="J183" s="9"/>
      <c r="K183" s="9"/>
      <c r="L183" s="9"/>
      <c r="M183" s="9"/>
      <c r="N183" s="9"/>
      <c r="O183" s="9"/>
      <c r="P183" s="176"/>
    </row>
    <row r="184" spans="8:16">
      <c r="H184" s="173"/>
      <c r="I184" s="9"/>
      <c r="J184" s="9"/>
      <c r="K184" s="9"/>
      <c r="L184" s="9"/>
      <c r="M184" s="9"/>
      <c r="N184" s="9"/>
      <c r="O184" s="9"/>
      <c r="P184" s="176"/>
    </row>
    <row r="185" spans="8:16">
      <c r="H185" s="173"/>
      <c r="I185" s="9"/>
      <c r="J185" s="9"/>
      <c r="K185" s="9"/>
      <c r="L185" s="9"/>
      <c r="M185" s="9"/>
      <c r="N185" s="9"/>
      <c r="O185" s="9"/>
      <c r="P185" s="176"/>
    </row>
    <row r="186" spans="8:16">
      <c r="H186" s="173"/>
      <c r="I186" s="9"/>
      <c r="J186" s="9"/>
      <c r="K186" s="9"/>
      <c r="L186" s="9"/>
      <c r="M186" s="9"/>
      <c r="N186" s="9"/>
      <c r="O186" s="9"/>
      <c r="P186" s="176"/>
    </row>
    <row r="187" spans="8:16">
      <c r="H187" s="173"/>
      <c r="I187" s="9"/>
      <c r="J187" s="9"/>
      <c r="K187" s="9"/>
      <c r="L187" s="9"/>
      <c r="M187" s="9"/>
      <c r="N187" s="9"/>
      <c r="O187" s="9"/>
      <c r="P187" s="176"/>
    </row>
    <row r="188" spans="8:16">
      <c r="H188" s="173"/>
      <c r="I188" s="9"/>
      <c r="J188" s="9"/>
      <c r="K188" s="9"/>
      <c r="L188" s="9"/>
      <c r="M188" s="9"/>
      <c r="N188" s="9"/>
      <c r="O188" s="9"/>
      <c r="P188" s="176"/>
    </row>
    <row r="189" spans="8:16">
      <c r="H189" s="173"/>
      <c r="I189" s="9"/>
      <c r="J189" s="9"/>
      <c r="K189" s="9"/>
      <c r="L189" s="9"/>
      <c r="M189" s="9"/>
      <c r="N189" s="9"/>
      <c r="O189" s="9"/>
      <c r="P189" s="176"/>
    </row>
    <row r="190" spans="8:16">
      <c r="H190" s="173"/>
      <c r="I190" s="9"/>
      <c r="J190" s="9"/>
      <c r="K190" s="9"/>
      <c r="L190" s="9"/>
      <c r="M190" s="9"/>
      <c r="N190" s="9"/>
      <c r="O190" s="9"/>
      <c r="P190" s="176"/>
    </row>
    <row r="191" spans="8:16">
      <c r="H191" s="173"/>
      <c r="I191" s="9"/>
      <c r="J191" s="9"/>
      <c r="K191" s="9"/>
      <c r="L191" s="9"/>
      <c r="M191" s="9"/>
      <c r="N191" s="9"/>
      <c r="O191" s="9"/>
      <c r="P191" s="176"/>
    </row>
    <row r="192" spans="8:16">
      <c r="H192" s="173"/>
      <c r="I192" s="9"/>
      <c r="J192" s="9"/>
      <c r="K192" s="9"/>
      <c r="L192" s="9"/>
      <c r="M192" s="9"/>
      <c r="N192" s="9"/>
      <c r="O192" s="9"/>
      <c r="P192" s="176"/>
    </row>
    <row r="193" spans="8:16">
      <c r="H193" s="173"/>
      <c r="I193" s="9"/>
      <c r="J193" s="9"/>
      <c r="K193" s="9"/>
      <c r="L193" s="9"/>
      <c r="M193" s="9"/>
      <c r="N193" s="9"/>
      <c r="O193" s="9"/>
      <c r="P193" s="176"/>
    </row>
    <row r="194" spans="8:16">
      <c r="H194" s="173"/>
      <c r="I194" s="9"/>
      <c r="J194" s="9"/>
      <c r="K194" s="9"/>
      <c r="L194" s="9"/>
      <c r="M194" s="9"/>
      <c r="N194" s="9"/>
      <c r="O194" s="9"/>
      <c r="P194" s="176"/>
    </row>
    <row r="195" spans="8:16">
      <c r="H195" s="173"/>
      <c r="I195" s="9"/>
      <c r="J195" s="9"/>
      <c r="K195" s="9"/>
      <c r="L195" s="9"/>
      <c r="M195" s="9"/>
      <c r="N195" s="9"/>
      <c r="O195" s="9"/>
      <c r="P195" s="176"/>
    </row>
    <row r="196" spans="8:16">
      <c r="H196" s="173"/>
      <c r="I196" s="9"/>
      <c r="J196" s="9"/>
      <c r="K196" s="9"/>
      <c r="L196" s="9"/>
      <c r="M196" s="9"/>
      <c r="N196" s="9"/>
      <c r="O196" s="9"/>
      <c r="P196" s="176"/>
    </row>
    <row r="197" spans="8:16">
      <c r="H197" s="173"/>
      <c r="I197" s="9"/>
      <c r="J197" s="9"/>
      <c r="K197" s="9"/>
      <c r="L197" s="9"/>
      <c r="M197" s="9"/>
      <c r="N197" s="9"/>
      <c r="O197" s="9"/>
      <c r="P197" s="176"/>
    </row>
    <row r="198" spans="8:16">
      <c r="H198" s="173"/>
      <c r="I198" s="9"/>
      <c r="J198" s="9"/>
      <c r="K198" s="9"/>
      <c r="L198" s="9"/>
      <c r="M198" s="9"/>
      <c r="N198" s="9"/>
      <c r="O198" s="9"/>
      <c r="P198" s="176"/>
    </row>
    <row r="199" spans="8:16">
      <c r="H199" s="173"/>
      <c r="I199" s="9"/>
      <c r="J199" s="9"/>
      <c r="K199" s="9"/>
      <c r="L199" s="9"/>
      <c r="M199" s="9"/>
      <c r="N199" s="9"/>
      <c r="O199" s="9"/>
      <c r="P199" s="176"/>
    </row>
    <row r="200" spans="8:16">
      <c r="H200" s="173"/>
      <c r="I200" s="9"/>
      <c r="J200" s="9"/>
      <c r="K200" s="9"/>
      <c r="L200" s="9"/>
      <c r="M200" s="9"/>
      <c r="N200" s="9"/>
      <c r="O200" s="9"/>
      <c r="P200" s="176"/>
    </row>
    <row r="201" spans="8:16">
      <c r="H201" s="173"/>
      <c r="I201" s="9"/>
      <c r="J201" s="9"/>
      <c r="K201" s="9"/>
      <c r="L201" s="9"/>
      <c r="M201" s="9"/>
      <c r="N201" s="9"/>
      <c r="O201" s="9"/>
      <c r="P201" s="176"/>
    </row>
    <row r="202" spans="8:16">
      <c r="H202" s="173"/>
      <c r="I202" s="9"/>
      <c r="J202" s="9"/>
      <c r="K202" s="9"/>
      <c r="L202" s="9"/>
      <c r="M202" s="9"/>
      <c r="N202" s="9"/>
      <c r="O202" s="9"/>
      <c r="P202" s="176"/>
    </row>
    <row r="203" spans="8:16">
      <c r="H203" s="173"/>
      <c r="I203" s="9"/>
      <c r="J203" s="9"/>
      <c r="K203" s="9"/>
      <c r="L203" s="9"/>
      <c r="M203" s="9"/>
      <c r="N203" s="9"/>
      <c r="O203" s="9"/>
      <c r="P203" s="176"/>
    </row>
    <row r="204" spans="8:16">
      <c r="H204" s="173"/>
      <c r="I204" s="9"/>
      <c r="J204" s="9"/>
      <c r="K204" s="9"/>
      <c r="L204" s="9"/>
      <c r="M204" s="9"/>
      <c r="N204" s="9"/>
      <c r="O204" s="9"/>
      <c r="P204" s="176"/>
    </row>
    <row r="205" spans="8:16">
      <c r="H205" s="173"/>
      <c r="I205" s="9"/>
      <c r="J205" s="9"/>
      <c r="K205" s="9"/>
      <c r="L205" s="9"/>
      <c r="M205" s="9"/>
      <c r="N205" s="9"/>
      <c r="O205" s="9"/>
      <c r="P205" s="176"/>
    </row>
    <row r="206" spans="8:16">
      <c r="H206" s="173"/>
      <c r="I206" s="9"/>
      <c r="J206" s="9"/>
      <c r="K206" s="9"/>
      <c r="L206" s="9"/>
      <c r="M206" s="9"/>
      <c r="N206" s="9"/>
      <c r="O206" s="9"/>
      <c r="P206" s="176"/>
    </row>
    <row r="207" spans="8:16">
      <c r="H207" s="173"/>
      <c r="I207" s="9"/>
      <c r="J207" s="9"/>
      <c r="K207" s="9"/>
      <c r="L207" s="9"/>
      <c r="M207" s="9"/>
      <c r="N207" s="9"/>
      <c r="O207" s="9"/>
      <c r="P207" s="176"/>
    </row>
    <row r="208" spans="8:16">
      <c r="H208" s="173"/>
      <c r="I208" s="9"/>
      <c r="J208" s="9"/>
      <c r="K208" s="9"/>
      <c r="L208" s="9"/>
      <c r="M208" s="9"/>
      <c r="N208" s="9"/>
      <c r="O208" s="9"/>
      <c r="P208" s="176"/>
    </row>
    <row r="209" spans="8:16">
      <c r="H209" s="173"/>
      <c r="I209" s="9"/>
      <c r="J209" s="9"/>
      <c r="K209" s="9"/>
      <c r="L209" s="9"/>
      <c r="M209" s="9"/>
      <c r="N209" s="9"/>
      <c r="O209" s="9"/>
      <c r="P209" s="176"/>
    </row>
    <row r="210" spans="8:16">
      <c r="H210" s="173"/>
      <c r="I210" s="9"/>
      <c r="J210" s="9"/>
      <c r="K210" s="9"/>
      <c r="L210" s="9"/>
      <c r="M210" s="9"/>
      <c r="N210" s="9"/>
      <c r="O210" s="9"/>
      <c r="P210" s="176"/>
    </row>
    <row r="211" spans="8:16">
      <c r="H211" s="173"/>
      <c r="I211" s="9"/>
      <c r="J211" s="9"/>
      <c r="K211" s="9"/>
      <c r="L211" s="9"/>
      <c r="M211" s="9"/>
      <c r="N211" s="9"/>
      <c r="O211" s="9"/>
      <c r="P211" s="176"/>
    </row>
    <row r="212" spans="8:16">
      <c r="H212" s="173"/>
      <c r="I212" s="9"/>
      <c r="J212" s="9"/>
      <c r="K212" s="9"/>
      <c r="L212" s="9"/>
      <c r="M212" s="9"/>
      <c r="N212" s="9"/>
      <c r="O212" s="9"/>
      <c r="P212" s="176"/>
    </row>
    <row r="213" spans="8:16">
      <c r="H213" s="173"/>
      <c r="I213" s="9"/>
      <c r="J213" s="9"/>
      <c r="K213" s="9"/>
      <c r="L213" s="9"/>
      <c r="M213" s="9"/>
      <c r="N213" s="9"/>
      <c r="O213" s="9"/>
      <c r="P213" s="176"/>
    </row>
    <row r="214" spans="8:16">
      <c r="H214" s="173"/>
      <c r="I214" s="9"/>
      <c r="J214" s="9"/>
      <c r="K214" s="9"/>
      <c r="L214" s="9"/>
      <c r="M214" s="9"/>
      <c r="N214" s="9"/>
      <c r="O214" s="9"/>
      <c r="P214" s="176"/>
    </row>
    <row r="215" spans="8:16">
      <c r="H215" s="173"/>
      <c r="I215" s="9"/>
      <c r="J215" s="9"/>
      <c r="K215" s="9"/>
      <c r="L215" s="9"/>
      <c r="M215" s="9"/>
      <c r="N215" s="9"/>
      <c r="O215" s="9"/>
      <c r="P215" s="176"/>
    </row>
    <row r="216" spans="8:16">
      <c r="H216" s="173"/>
      <c r="I216" s="9"/>
      <c r="J216" s="9"/>
      <c r="K216" s="9"/>
      <c r="L216" s="9"/>
      <c r="M216" s="9"/>
      <c r="N216" s="9"/>
      <c r="O216" s="9"/>
      <c r="P216" s="176"/>
    </row>
    <row r="217" spans="8:16">
      <c r="H217" s="173"/>
      <c r="I217" s="9"/>
      <c r="J217" s="9"/>
      <c r="K217" s="9"/>
      <c r="L217" s="9"/>
      <c r="M217" s="9"/>
      <c r="N217" s="9"/>
      <c r="O217" s="9"/>
      <c r="P217" s="176"/>
    </row>
    <row r="218" spans="8:16">
      <c r="H218" s="173"/>
      <c r="I218" s="9"/>
      <c r="J218" s="9"/>
      <c r="K218" s="9"/>
      <c r="L218" s="9"/>
      <c r="M218" s="9"/>
      <c r="N218" s="9"/>
      <c r="O218" s="9"/>
      <c r="P218" s="176"/>
    </row>
    <row r="219" spans="8:16">
      <c r="H219" s="173"/>
      <c r="I219" s="9"/>
      <c r="J219" s="9"/>
      <c r="K219" s="9"/>
      <c r="L219" s="9"/>
      <c r="M219" s="9"/>
      <c r="N219" s="9"/>
      <c r="O219" s="9"/>
      <c r="P219" s="176"/>
    </row>
    <row r="220" spans="8:16">
      <c r="H220" s="173"/>
      <c r="I220" s="9"/>
      <c r="J220" s="9"/>
      <c r="K220" s="9"/>
      <c r="L220" s="9"/>
      <c r="M220" s="9"/>
      <c r="N220" s="9"/>
      <c r="O220" s="9"/>
      <c r="P220" s="176"/>
    </row>
    <row r="221" spans="8:16">
      <c r="H221" s="173"/>
      <c r="I221" s="9"/>
      <c r="J221" s="9"/>
      <c r="K221" s="9"/>
      <c r="L221" s="9"/>
      <c r="M221" s="9"/>
      <c r="N221" s="9"/>
      <c r="O221" s="9"/>
      <c r="P221" s="176"/>
    </row>
    <row r="222" spans="8:16">
      <c r="H222" s="173"/>
      <c r="I222" s="9"/>
      <c r="J222" s="9"/>
      <c r="K222" s="9"/>
      <c r="L222" s="9"/>
      <c r="M222" s="9"/>
      <c r="N222" s="9"/>
      <c r="O222" s="9"/>
      <c r="P222" s="176"/>
    </row>
    <row r="223" spans="8:16">
      <c r="H223" s="173"/>
      <c r="I223" s="9"/>
      <c r="J223" s="9"/>
      <c r="K223" s="9"/>
      <c r="L223" s="9"/>
      <c r="M223" s="9"/>
      <c r="N223" s="9"/>
      <c r="O223" s="9"/>
      <c r="P223" s="176"/>
    </row>
    <row r="224" spans="8:16">
      <c r="H224" s="173"/>
      <c r="I224" s="9"/>
      <c r="J224" s="9"/>
      <c r="K224" s="9"/>
      <c r="L224" s="9"/>
      <c r="M224" s="9"/>
      <c r="N224" s="9"/>
      <c r="O224" s="9"/>
      <c r="P224" s="176"/>
    </row>
    <row r="225" spans="8:16">
      <c r="H225" s="173"/>
      <c r="I225" s="9"/>
      <c r="J225" s="9"/>
      <c r="K225" s="9"/>
      <c r="L225" s="9"/>
      <c r="M225" s="9"/>
      <c r="N225" s="9"/>
      <c r="O225" s="9"/>
      <c r="P225" s="176"/>
    </row>
    <row r="226" spans="8:16">
      <c r="H226" s="173"/>
      <c r="I226" s="9"/>
      <c r="J226" s="9"/>
      <c r="K226" s="9"/>
      <c r="L226" s="9"/>
      <c r="M226" s="9"/>
      <c r="N226" s="9"/>
      <c r="O226" s="9"/>
      <c r="P226" s="176"/>
    </row>
    <row r="227" spans="8:16">
      <c r="H227" s="173"/>
      <c r="I227" s="9"/>
      <c r="J227" s="9"/>
      <c r="K227" s="9"/>
      <c r="L227" s="9"/>
      <c r="M227" s="9"/>
      <c r="N227" s="9"/>
      <c r="O227" s="9"/>
      <c r="P227" s="176"/>
    </row>
    <row r="228" spans="8:16">
      <c r="H228" s="173"/>
      <c r="I228" s="9"/>
      <c r="J228" s="9"/>
      <c r="K228" s="9"/>
      <c r="L228" s="9"/>
      <c r="M228" s="9"/>
      <c r="N228" s="9"/>
      <c r="O228" s="9"/>
      <c r="P228" s="176"/>
    </row>
    <row r="229" spans="8:16">
      <c r="H229" s="173"/>
      <c r="I229" s="9"/>
      <c r="J229" s="9"/>
      <c r="K229" s="9"/>
      <c r="L229" s="9"/>
      <c r="M229" s="9"/>
      <c r="N229" s="9"/>
      <c r="O229" s="9"/>
      <c r="P229" s="176"/>
    </row>
    <row r="230" spans="8:16">
      <c r="H230" s="173"/>
      <c r="I230" s="9"/>
      <c r="J230" s="9"/>
      <c r="K230" s="9"/>
      <c r="L230" s="9"/>
      <c r="M230" s="9"/>
      <c r="N230" s="9"/>
      <c r="O230" s="9"/>
      <c r="P230" s="176"/>
    </row>
    <row r="231" spans="8:16">
      <c r="H231" s="173"/>
      <c r="I231" s="9"/>
      <c r="J231" s="9"/>
      <c r="K231" s="9"/>
      <c r="L231" s="9"/>
      <c r="M231" s="9"/>
      <c r="N231" s="9"/>
      <c r="O231" s="9"/>
      <c r="P231" s="176"/>
    </row>
    <row r="232" spans="8:16">
      <c r="H232" s="173"/>
      <c r="I232" s="9"/>
      <c r="J232" s="9"/>
      <c r="K232" s="9"/>
      <c r="L232" s="9"/>
      <c r="M232" s="9"/>
      <c r="N232" s="9"/>
      <c r="O232" s="9"/>
      <c r="P232" s="176"/>
    </row>
    <row r="233" spans="8:16">
      <c r="H233" s="173"/>
      <c r="I233" s="9"/>
      <c r="J233" s="9"/>
      <c r="K233" s="9"/>
      <c r="L233" s="9"/>
      <c r="M233" s="9"/>
      <c r="N233" s="9"/>
      <c r="O233" s="9"/>
      <c r="P233" s="176"/>
    </row>
    <row r="234" spans="8:16">
      <c r="H234" s="177"/>
      <c r="I234" s="9"/>
      <c r="J234" s="9"/>
      <c r="K234" s="9"/>
      <c r="L234" s="9"/>
      <c r="M234" s="9"/>
      <c r="N234" s="9"/>
      <c r="O234" s="9"/>
      <c r="P234" s="176"/>
    </row>
    <row r="235" spans="8:16">
      <c r="H235" s="177"/>
      <c r="I235" s="9"/>
      <c r="J235" s="9"/>
      <c r="K235" s="9"/>
      <c r="L235" s="9"/>
      <c r="M235" s="9"/>
      <c r="N235" s="9"/>
      <c r="O235" s="9"/>
      <c r="P235" s="176"/>
    </row>
    <row r="236" spans="8:16">
      <c r="H236" s="177"/>
      <c r="I236" s="9"/>
      <c r="J236" s="9"/>
      <c r="K236" s="9"/>
      <c r="L236" s="9"/>
      <c r="M236" s="9"/>
      <c r="N236" s="9"/>
      <c r="O236" s="9"/>
      <c r="P236" s="176"/>
    </row>
    <row r="237" spans="8:16">
      <c r="H237" s="177"/>
      <c r="I237" s="9"/>
      <c r="J237" s="9"/>
      <c r="K237" s="9"/>
      <c r="L237" s="9"/>
      <c r="M237" s="9"/>
      <c r="N237" s="9"/>
      <c r="O237" s="9"/>
      <c r="P237" s="176"/>
    </row>
    <row r="238" spans="8:16">
      <c r="H238" s="177"/>
      <c r="I238" s="9"/>
      <c r="J238" s="9"/>
      <c r="K238" s="9"/>
      <c r="L238" s="9"/>
      <c r="M238" s="9"/>
      <c r="N238" s="9"/>
      <c r="O238" s="9"/>
      <c r="P238" s="176"/>
    </row>
    <row r="239" spans="8:16">
      <c r="H239" s="177"/>
      <c r="I239" s="9"/>
      <c r="J239" s="9"/>
      <c r="K239" s="9"/>
      <c r="L239" s="9"/>
      <c r="M239" s="9"/>
      <c r="N239" s="9"/>
      <c r="O239" s="9"/>
      <c r="P239" s="176"/>
    </row>
    <row r="240" spans="8:16">
      <c r="H240" s="177"/>
      <c r="I240" s="9"/>
      <c r="J240" s="9"/>
      <c r="K240" s="9"/>
      <c r="L240" s="9"/>
      <c r="M240" s="9"/>
      <c r="N240" s="9"/>
      <c r="O240" s="9"/>
      <c r="P240" s="176"/>
    </row>
    <row r="241" spans="16:16">
      <c r="P241" s="176"/>
    </row>
    <row r="242" spans="16:16">
      <c r="P242" s="176"/>
    </row>
    <row r="243" spans="16:16">
      <c r="P243" s="176"/>
    </row>
    <row r="244" spans="16:16">
      <c r="P244" s="176"/>
    </row>
    <row r="245" spans="16:16">
      <c r="P245" s="176"/>
    </row>
    <row r="246" spans="16:16">
      <c r="P246" s="176"/>
    </row>
    <row r="247" spans="16:16">
      <c r="P247" s="176"/>
    </row>
    <row r="248" spans="16:16">
      <c r="P248" s="176"/>
    </row>
    <row r="249" spans="16:16">
      <c r="P249" s="176"/>
    </row>
    <row r="250" spans="16:16">
      <c r="P250" s="176"/>
    </row>
    <row r="251" spans="16:16">
      <c r="P251" s="176"/>
    </row>
    <row r="252" spans="16:16">
      <c r="P252" s="176"/>
    </row>
    <row r="253" spans="16:16">
      <c r="P253" s="176"/>
    </row>
    <row r="254" spans="16:16">
      <c r="P254" s="176"/>
    </row>
    <row r="255" spans="16:16">
      <c r="P255" s="176"/>
    </row>
    <row r="256" spans="16:16">
      <c r="P256" s="176"/>
    </row>
    <row r="257" spans="16:16">
      <c r="P257" s="176"/>
    </row>
    <row r="258" spans="16:16">
      <c r="P258" s="176"/>
    </row>
    <row r="259" spans="16:16">
      <c r="P259" s="176"/>
    </row>
    <row r="260" spans="16:16">
      <c r="P260" s="176"/>
    </row>
    <row r="261" spans="16:16">
      <c r="P261" s="176"/>
    </row>
    <row r="262" spans="16:16">
      <c r="P262" s="176"/>
    </row>
    <row r="263" spans="16:16">
      <c r="P263" s="176"/>
    </row>
    <row r="264" spans="16:16">
      <c r="P264" s="176"/>
    </row>
    <row r="265" spans="16:16">
      <c r="P265" s="176"/>
    </row>
    <row r="266" spans="16:16">
      <c r="P266" s="176"/>
    </row>
    <row r="267" spans="16:16">
      <c r="P267" s="176"/>
    </row>
    <row r="268" spans="16:16">
      <c r="P268" s="176"/>
    </row>
    <row r="269" spans="16:16">
      <c r="P269" s="176"/>
    </row>
  </sheetData>
  <sheetProtection algorithmName="SHA-512" hashValue="KLPPo9KxiXyPR8udzzpDuENqH+o2qy0/ti8vXLqc3E6Wa8HQ0pgrM0dQhdLetyRWtXoUg6TxriW2Xe/GXIImaA==" saltValue="KmYuESoA2qM3N/OcVKSgQg==" spinCount="100000" sheet="1" scenarios="1" formatCells="0" formatColumns="0" formatRows="0"/>
  <mergeCells count="11">
    <mergeCell ref="B110:M110"/>
    <mergeCell ref="H22:H25"/>
    <mergeCell ref="B108:N109"/>
    <mergeCell ref="A62:A65"/>
    <mergeCell ref="A66:A75"/>
    <mergeCell ref="A82:A85"/>
    <mergeCell ref="A86:A95"/>
    <mergeCell ref="A22:A25"/>
    <mergeCell ref="A26:A35"/>
    <mergeCell ref="A42:A45"/>
    <mergeCell ref="A46:A55"/>
  </mergeCells>
  <conditionalFormatting sqref="C35:G35">
    <cfRule type="expression" dxfId="98" priority="80" stopIfTrue="1">
      <formula>$B35="Do not fill this line"</formula>
    </cfRule>
  </conditionalFormatting>
  <conditionalFormatting sqref="C43:G43">
    <cfRule type="expression" dxfId="97" priority="78" stopIfTrue="1">
      <formula>$B43="Do not fill this line"</formula>
    </cfRule>
  </conditionalFormatting>
  <conditionalFormatting sqref="C44:G44">
    <cfRule type="expression" dxfId="96" priority="77" stopIfTrue="1">
      <formula>$B44="Do not fill this line"</formula>
    </cfRule>
  </conditionalFormatting>
  <conditionalFormatting sqref="C45:G45">
    <cfRule type="expression" dxfId="95" priority="76" stopIfTrue="1">
      <formula>$B45="Do not fill this line"</formula>
    </cfRule>
  </conditionalFormatting>
  <conditionalFormatting sqref="C48:G48">
    <cfRule type="expression" dxfId="94" priority="71" stopIfTrue="1">
      <formula>$B48="Do not fill this line"</formula>
    </cfRule>
  </conditionalFormatting>
  <conditionalFormatting sqref="C49:G49">
    <cfRule type="expression" dxfId="93" priority="70" stopIfTrue="1">
      <formula>$B49="Do not fill this line"</formula>
    </cfRule>
  </conditionalFormatting>
  <conditionalFormatting sqref="C50:G50">
    <cfRule type="expression" dxfId="92" priority="69" stopIfTrue="1">
      <formula>$B50="Do not fill this line"</formula>
    </cfRule>
  </conditionalFormatting>
  <conditionalFormatting sqref="C51:G51">
    <cfRule type="expression" dxfId="91" priority="68" stopIfTrue="1">
      <formula>$B51="Do not fill this line"</formula>
    </cfRule>
  </conditionalFormatting>
  <conditionalFormatting sqref="C52:G52">
    <cfRule type="expression" dxfId="90" priority="67" stopIfTrue="1">
      <formula>$B52="Do not fill this line"</formula>
    </cfRule>
  </conditionalFormatting>
  <conditionalFormatting sqref="C53:G53">
    <cfRule type="expression" dxfId="89" priority="66" stopIfTrue="1">
      <formula>$B53="Do not fill this line"</formula>
    </cfRule>
  </conditionalFormatting>
  <conditionalFormatting sqref="C54:G54">
    <cfRule type="expression" dxfId="88" priority="65" stopIfTrue="1">
      <formula>$B54="Do not fill this line"</formula>
    </cfRule>
  </conditionalFormatting>
  <conditionalFormatting sqref="C55:G55">
    <cfRule type="expression" dxfId="87" priority="64" stopIfTrue="1">
      <formula>$B55="Do not fill this line"</formula>
    </cfRule>
  </conditionalFormatting>
  <conditionalFormatting sqref="C64:G64">
    <cfRule type="expression" dxfId="86" priority="61" stopIfTrue="1">
      <formula>$B64="Do not fill this line"</formula>
    </cfRule>
  </conditionalFormatting>
  <conditionalFormatting sqref="C65:G65">
    <cfRule type="expression" dxfId="85" priority="60" stopIfTrue="1">
      <formula>$B65="Do not fill this line"</formula>
    </cfRule>
  </conditionalFormatting>
  <conditionalFormatting sqref="C68:G68">
    <cfRule type="expression" dxfId="84" priority="57" stopIfTrue="1">
      <formula>$B68="Do not fill this line"</formula>
    </cfRule>
  </conditionalFormatting>
  <conditionalFormatting sqref="C69:G69">
    <cfRule type="expression" dxfId="83" priority="56" stopIfTrue="1">
      <formula>$B69="Do not fill this line"</formula>
    </cfRule>
  </conditionalFormatting>
  <conditionalFormatting sqref="C70:G70">
    <cfRule type="expression" dxfId="82" priority="55" stopIfTrue="1">
      <formula>$B70="Do not fill this line"</formula>
    </cfRule>
  </conditionalFormatting>
  <conditionalFormatting sqref="C71:G71">
    <cfRule type="expression" dxfId="81" priority="54" stopIfTrue="1">
      <formula>$B71="Do not fill this line"</formula>
    </cfRule>
  </conditionalFormatting>
  <conditionalFormatting sqref="C72:G72">
    <cfRule type="expression" dxfId="80" priority="53" stopIfTrue="1">
      <formula>$B72="Do not fill this line"</formula>
    </cfRule>
  </conditionalFormatting>
  <conditionalFormatting sqref="C73:G73">
    <cfRule type="expression" dxfId="79" priority="52" stopIfTrue="1">
      <formula>$B73="Do not fill this line"</formula>
    </cfRule>
  </conditionalFormatting>
  <conditionalFormatting sqref="C74:G74">
    <cfRule type="expression" dxfId="78" priority="51" stopIfTrue="1">
      <formula>$B74="Do not fill this line"</formula>
    </cfRule>
  </conditionalFormatting>
  <conditionalFormatting sqref="C75:G75">
    <cfRule type="expression" dxfId="77" priority="50" stopIfTrue="1">
      <formula>$B75="Do not fill this line"</formula>
    </cfRule>
  </conditionalFormatting>
  <conditionalFormatting sqref="C84:G84">
    <cfRule type="expression" dxfId="76" priority="47" stopIfTrue="1">
      <formula>$B84="Do not fill this line"</formula>
    </cfRule>
  </conditionalFormatting>
  <conditionalFormatting sqref="C85:G85">
    <cfRule type="expression" dxfId="75" priority="46" stopIfTrue="1">
      <formula>$B85="Do not fill this line"</formula>
    </cfRule>
  </conditionalFormatting>
  <conditionalFormatting sqref="C88:G88">
    <cfRule type="expression" dxfId="74" priority="43" stopIfTrue="1">
      <formula>$B88="Do not fill this line"</formula>
    </cfRule>
  </conditionalFormatting>
  <conditionalFormatting sqref="C89:G89">
    <cfRule type="expression" dxfId="73" priority="42" stopIfTrue="1">
      <formula>$B89="Do not fill this line"</formula>
    </cfRule>
  </conditionalFormatting>
  <conditionalFormatting sqref="C90:G90">
    <cfRule type="expression" dxfId="72" priority="41" stopIfTrue="1">
      <formula>$B90="Do not fill this line"</formula>
    </cfRule>
  </conditionalFormatting>
  <conditionalFormatting sqref="C91:G91">
    <cfRule type="expression" dxfId="71" priority="40" stopIfTrue="1">
      <formula>$B91="Do not fill this line"</formula>
    </cfRule>
  </conditionalFormatting>
  <conditionalFormatting sqref="C92:G92">
    <cfRule type="expression" dxfId="70" priority="39" stopIfTrue="1">
      <formula>$B92="Do not fill this line"</formula>
    </cfRule>
  </conditionalFormatting>
  <conditionalFormatting sqref="C93:G93">
    <cfRule type="expression" dxfId="69" priority="38" stopIfTrue="1">
      <formula>$B93="Do not fill this line"</formula>
    </cfRule>
  </conditionalFormatting>
  <conditionalFormatting sqref="C94:G94">
    <cfRule type="expression" dxfId="68" priority="37" stopIfTrue="1">
      <formula>$B94="Do not fill this line"</formula>
    </cfRule>
  </conditionalFormatting>
  <conditionalFormatting sqref="C95:G95">
    <cfRule type="expression" dxfId="67" priority="36" stopIfTrue="1">
      <formula>$B95="Do not fill this line"</formula>
    </cfRule>
  </conditionalFormatting>
  <conditionalFormatting sqref="C36:G36">
    <cfRule type="cellIs" dxfId="66" priority="31" operator="notEqual">
      <formula>1</formula>
    </cfRule>
  </conditionalFormatting>
  <conditionalFormatting sqref="C56:G56">
    <cfRule type="cellIs" dxfId="65" priority="30" operator="notEqual">
      <formula>1</formula>
    </cfRule>
  </conditionalFormatting>
  <conditionalFormatting sqref="C76:G76">
    <cfRule type="cellIs" dxfId="64" priority="29" operator="notEqual">
      <formula>1</formula>
    </cfRule>
  </conditionalFormatting>
  <conditionalFormatting sqref="C96:G96">
    <cfRule type="cellIs" dxfId="63" priority="28" operator="notEqual">
      <formula>1</formula>
    </cfRule>
  </conditionalFormatting>
  <conditionalFormatting sqref="C86:G86">
    <cfRule type="expression" dxfId="62" priority="27" stopIfTrue="1">
      <formula>$B86="Do not fill this line"</formula>
    </cfRule>
  </conditionalFormatting>
  <conditionalFormatting sqref="C87:G87">
    <cfRule type="expression" dxfId="61" priority="26" stopIfTrue="1">
      <formula>$B87="Do not fill this line"</formula>
    </cfRule>
  </conditionalFormatting>
  <conditionalFormatting sqref="C47:G47">
    <cfRule type="expression" dxfId="60" priority="22" stopIfTrue="1">
      <formula>$B47="Do not fill this line"</formula>
    </cfRule>
  </conditionalFormatting>
  <conditionalFormatting sqref="C67:G67">
    <cfRule type="expression" dxfId="59" priority="21" stopIfTrue="1">
      <formula>$B67="Do not fill this line"</formula>
    </cfRule>
  </conditionalFormatting>
  <conditionalFormatting sqref="C63:G63">
    <cfRule type="expression" dxfId="58" priority="19" stopIfTrue="1">
      <formula>$B63="Do not fill this line"</formula>
    </cfRule>
  </conditionalFormatting>
  <conditionalFormatting sqref="C82:G82">
    <cfRule type="expression" dxfId="57" priority="16" stopIfTrue="1">
      <formula>$B82="Do not fill this line"</formula>
    </cfRule>
  </conditionalFormatting>
  <conditionalFormatting sqref="C83:G83">
    <cfRule type="expression" dxfId="56" priority="15" stopIfTrue="1">
      <formula>$B83="Do not fill this line"</formula>
    </cfRule>
  </conditionalFormatting>
  <conditionalFormatting sqref="C27:G27">
    <cfRule type="expression" dxfId="55" priority="13" stopIfTrue="1">
      <formula>$B27="Do not fill this line"</formula>
    </cfRule>
  </conditionalFormatting>
  <conditionalFormatting sqref="C28:G28">
    <cfRule type="expression" dxfId="54" priority="12" stopIfTrue="1">
      <formula>$B28="Do not fill this line"</formula>
    </cfRule>
  </conditionalFormatting>
  <conditionalFormatting sqref="C29:G29">
    <cfRule type="expression" dxfId="53" priority="11" stopIfTrue="1">
      <formula>$B29="Do not fill this line"</formula>
    </cfRule>
  </conditionalFormatting>
  <conditionalFormatting sqref="C30:G30">
    <cfRule type="expression" dxfId="52" priority="10" stopIfTrue="1">
      <formula>$B30="Do not fill this line"</formula>
    </cfRule>
  </conditionalFormatting>
  <conditionalFormatting sqref="C31:G31">
    <cfRule type="expression" dxfId="51" priority="9" stopIfTrue="1">
      <formula>$B31="Do not fill this line"</formula>
    </cfRule>
  </conditionalFormatting>
  <conditionalFormatting sqref="C32:G32">
    <cfRule type="expression" dxfId="50" priority="8" stopIfTrue="1">
      <formula>$B32="Do not fill this line"</formula>
    </cfRule>
  </conditionalFormatting>
  <conditionalFormatting sqref="C33:G33">
    <cfRule type="expression" dxfId="49" priority="7" stopIfTrue="1">
      <formula>$B33="Do not fill this line"</formula>
    </cfRule>
  </conditionalFormatting>
  <conditionalFormatting sqref="C34:G34">
    <cfRule type="expression" dxfId="48" priority="6" stopIfTrue="1">
      <formula>$B34="Do not fill this line"</formula>
    </cfRule>
  </conditionalFormatting>
  <conditionalFormatting sqref="C26:G26">
    <cfRule type="expression" dxfId="47" priority="5" stopIfTrue="1">
      <formula>$B26="Do not fill this line"</formula>
    </cfRule>
  </conditionalFormatting>
  <conditionalFormatting sqref="C42:G42">
    <cfRule type="expression" dxfId="46" priority="4" stopIfTrue="1">
      <formula>$B42="Do not fill this line"</formula>
    </cfRule>
  </conditionalFormatting>
  <conditionalFormatting sqref="C46:G46">
    <cfRule type="expression" dxfId="45" priority="3" stopIfTrue="1">
      <formula>$B46="Do not fill this line"</formula>
    </cfRule>
  </conditionalFormatting>
  <conditionalFormatting sqref="C62:G62">
    <cfRule type="expression" dxfId="44" priority="2" stopIfTrue="1">
      <formula>$B62="Do not fill this line"</formula>
    </cfRule>
  </conditionalFormatting>
  <conditionalFormatting sqref="C66:G66">
    <cfRule type="expression" dxfId="43" priority="1" stopIfTrue="1">
      <formula>$B66="Do not fill this line"</formula>
    </cfRule>
  </conditionalFormatting>
  <dataValidations count="1">
    <dataValidation type="decimal" allowBlank="1" showInputMessage="1" showErrorMessage="1" sqref="C62:G75 C82:G95 C42:G55 C22:G35" xr:uid="{092F4021-664E-FA47-B01D-7FFAAB9D8F7D}">
      <formula1>0</formula1>
      <formula2>1</formula2>
    </dataValidation>
  </dataValidations>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C96E3-526F-4527-B814-7C262AEF4C15}">
  <sheetPr codeName="Planilha19">
    <tabColor rgb="FFDDCFAD"/>
  </sheetPr>
  <dimension ref="A1:AE105"/>
  <sheetViews>
    <sheetView showGridLines="0" showRowColHeaders="0" topLeftCell="A59" zoomScaleNormal="100" workbookViewId="0">
      <selection activeCell="K85" sqref="K85:N85"/>
    </sheetView>
  </sheetViews>
  <sheetFormatPr defaultColWidth="8.77734375" defaultRowHeight="14.4"/>
  <cols>
    <col min="1" max="1" width="3.44140625" customWidth="1"/>
    <col min="2" max="2" width="6.77734375" customWidth="1"/>
    <col min="3" max="3" width="35.77734375" customWidth="1"/>
    <col min="4" max="12" width="13.6640625" customWidth="1"/>
    <col min="13" max="14" width="6.109375" customWidth="1"/>
    <col min="15" max="15" width="13.33203125" customWidth="1"/>
    <col min="16" max="16" width="13.33203125" hidden="1" customWidth="1"/>
    <col min="17" max="19" width="13.33203125" customWidth="1"/>
  </cols>
  <sheetData>
    <row r="1" spans="1:24" s="130" customFormat="1" ht="33.6">
      <c r="A1" s="127"/>
      <c r="B1" s="128" t="str">
        <f>Introduction!$B$1</f>
        <v>Budget impact analysis of Intrauterine device levonorgestrel for treatment of Leiomioma presenting with heavy bleeding</v>
      </c>
      <c r="C1" s="128"/>
      <c r="D1" s="129"/>
      <c r="E1" s="127"/>
      <c r="F1" s="127"/>
      <c r="G1" s="127"/>
      <c r="H1" s="127"/>
      <c r="I1" s="127"/>
      <c r="J1" s="127"/>
      <c r="K1" s="127"/>
      <c r="L1" s="127"/>
      <c r="M1" s="127"/>
      <c r="N1" s="127"/>
      <c r="O1" s="127"/>
      <c r="P1" s="127"/>
      <c r="Q1" s="127"/>
      <c r="R1" s="127"/>
      <c r="S1" s="127"/>
      <c r="T1" s="127"/>
      <c r="U1" s="127"/>
      <c r="V1" s="127"/>
      <c r="W1" s="127"/>
      <c r="X1" s="127"/>
    </row>
    <row r="2" spans="1:24" s="130" customFormat="1" ht="18">
      <c r="A2" s="127"/>
      <c r="B2" s="131"/>
      <c r="C2" s="131"/>
      <c r="D2" s="132"/>
      <c r="E2" s="133"/>
      <c r="F2" s="133"/>
      <c r="G2" s="133"/>
      <c r="H2" s="133"/>
      <c r="I2" s="133"/>
      <c r="J2" s="133"/>
      <c r="K2" s="133"/>
      <c r="L2" s="133"/>
      <c r="M2" s="127"/>
      <c r="N2" s="127"/>
      <c r="O2" s="127"/>
      <c r="P2" s="127"/>
      <c r="Q2" s="127"/>
      <c r="R2" s="127"/>
      <c r="S2" s="127"/>
      <c r="T2" s="127"/>
      <c r="U2" s="127"/>
      <c r="V2" s="127"/>
      <c r="W2" s="127"/>
      <c r="X2" s="127"/>
    </row>
    <row r="3" spans="1:24" s="134" customFormat="1" ht="2.25" customHeight="1">
      <c r="D3" s="135"/>
    </row>
    <row r="5" spans="1:24" s="137" customFormat="1" ht="18">
      <c r="A5" s="136"/>
      <c r="C5" s="140" t="s">
        <v>104</v>
      </c>
      <c r="D5" s="138"/>
      <c r="F5" s="43"/>
    </row>
    <row r="6" spans="1:24" s="137" customFormat="1" ht="15" customHeight="1">
      <c r="A6" s="136"/>
      <c r="C6" s="136" t="s">
        <v>105</v>
      </c>
      <c r="D6" s="136"/>
      <c r="E6" s="136"/>
      <c r="F6" s="43"/>
      <c r="N6" s="202"/>
      <c r="O6" s="202"/>
      <c r="P6" s="202"/>
      <c r="Q6" s="202"/>
      <c r="R6" s="202"/>
      <c r="S6" s="202"/>
    </row>
    <row r="7" spans="1:24" s="137" customFormat="1" ht="15" customHeight="1">
      <c r="A7" s="136"/>
      <c r="C7" s="136"/>
      <c r="D7" s="138"/>
      <c r="F7" s="187"/>
      <c r="N7" s="202"/>
      <c r="O7" s="202"/>
      <c r="P7" s="202"/>
      <c r="Q7" s="202"/>
      <c r="R7" s="202"/>
      <c r="S7" s="202"/>
    </row>
    <row r="8" spans="1:24" s="137" customFormat="1">
      <c r="A8" s="136"/>
      <c r="D8" s="138"/>
      <c r="F8" s="43"/>
      <c r="M8" s="139"/>
      <c r="N8" s="202"/>
      <c r="O8" s="202"/>
      <c r="P8" s="202"/>
      <c r="Q8" s="202"/>
      <c r="R8" s="202"/>
      <c r="S8" s="202"/>
    </row>
    <row r="9" spans="1:24" s="137" customFormat="1">
      <c r="A9" s="136"/>
      <c r="C9" s="42" t="s">
        <v>98</v>
      </c>
      <c r="E9" s="420" t="s">
        <v>352</v>
      </c>
      <c r="F9" s="421"/>
      <c r="G9" s="421"/>
      <c r="H9" s="421"/>
      <c r="I9" s="422"/>
      <c r="M9" s="139" t="s">
        <v>184</v>
      </c>
      <c r="N9" s="202"/>
      <c r="O9" s="202"/>
      <c r="P9" s="202"/>
      <c r="Q9" s="202"/>
      <c r="R9" s="202"/>
      <c r="S9" s="202"/>
    </row>
    <row r="10" spans="1:24" s="137" customFormat="1" ht="15" customHeight="1">
      <c r="A10" s="136"/>
      <c r="C10" s="48"/>
      <c r="E10" s="423" t="str">
        <f>IF(demanda="Observed demand",M9,IF(demanda="Epidemiological method",M10,IF(demanda="Mista",M11,M12)))</f>
        <v>In epidemiological methods, population data are used to estimate the total number of eligible patients (e.g. prevalence). Complete section 5.3 below.</v>
      </c>
      <c r="F10" s="423"/>
      <c r="G10" s="423"/>
      <c r="H10" s="423"/>
      <c r="I10" s="423"/>
      <c r="M10" s="139" t="s">
        <v>185</v>
      </c>
      <c r="N10" s="202"/>
      <c r="O10" s="202"/>
      <c r="P10" s="202"/>
      <c r="Q10" s="202"/>
      <c r="R10" s="202"/>
      <c r="S10" s="202"/>
    </row>
    <row r="11" spans="1:24" s="137" customFormat="1">
      <c r="A11" s="136"/>
      <c r="C11" s="48"/>
      <c r="D11" s="188"/>
      <c r="E11" s="424"/>
      <c r="F11" s="424"/>
      <c r="G11" s="424"/>
      <c r="H11" s="424"/>
      <c r="I11" s="424"/>
      <c r="M11" s="139"/>
      <c r="N11" s="202"/>
      <c r="O11" s="202"/>
      <c r="P11" s="202"/>
      <c r="Q11" s="202"/>
      <c r="R11" s="202"/>
      <c r="S11" s="202"/>
    </row>
    <row r="12" spans="1:24" s="137" customFormat="1">
      <c r="A12" s="136"/>
      <c r="C12" s="48"/>
      <c r="D12" s="188"/>
      <c r="E12" s="424"/>
      <c r="F12" s="424"/>
      <c r="G12" s="424"/>
      <c r="H12" s="424"/>
      <c r="I12" s="424"/>
      <c r="M12" s="139" t="s">
        <v>100</v>
      </c>
      <c r="N12" s="202"/>
      <c r="O12" s="202"/>
      <c r="P12" s="202"/>
      <c r="Q12" s="202"/>
      <c r="R12" s="202"/>
      <c r="S12" s="202"/>
    </row>
    <row r="13" spans="1:24" s="137" customFormat="1">
      <c r="A13" s="136"/>
      <c r="C13" s="42"/>
      <c r="D13" s="188"/>
      <c r="E13" s="424"/>
      <c r="F13" s="424"/>
      <c r="G13" s="424"/>
      <c r="H13" s="424"/>
      <c r="I13" s="424"/>
      <c r="N13" s="202"/>
      <c r="O13" s="202"/>
      <c r="P13" s="202"/>
      <c r="Q13" s="202"/>
      <c r="R13" s="202"/>
      <c r="S13" s="202"/>
    </row>
    <row r="14" spans="1:24" s="137" customFormat="1" ht="25.05" customHeight="1">
      <c r="A14" s="136"/>
      <c r="C14" s="427" t="s">
        <v>99</v>
      </c>
      <c r="D14" s="138"/>
      <c r="E14" s="424"/>
      <c r="F14" s="424"/>
      <c r="G14" s="424"/>
      <c r="H14" s="424"/>
      <c r="I14" s="424"/>
      <c r="N14" s="202"/>
      <c r="O14" s="202"/>
      <c r="P14" s="203" t="str">
        <f>IF(E15="Yes, it represents incidence","incidencia","prevalencia")</f>
        <v>incidencia</v>
      </c>
      <c r="Q14" s="202"/>
      <c r="R14" s="202"/>
      <c r="S14" s="202"/>
    </row>
    <row r="15" spans="1:24" s="180" customFormat="1" ht="15" customHeight="1">
      <c r="A15" s="7"/>
      <c r="B15" s="7"/>
      <c r="C15" s="427"/>
      <c r="D15" s="7"/>
      <c r="E15" s="420" t="s">
        <v>337</v>
      </c>
      <c r="F15" s="421"/>
      <c r="G15" s="421"/>
      <c r="H15" s="421"/>
      <c r="I15" s="422"/>
      <c r="J15" s="7"/>
      <c r="K15" s="7"/>
      <c r="L15" s="7"/>
      <c r="M15" s="7"/>
      <c r="N15" s="204"/>
      <c r="O15" s="204"/>
      <c r="P15" s="204"/>
      <c r="Q15" s="204"/>
      <c r="R15" s="204"/>
      <c r="S15" s="204"/>
      <c r="T15" s="7"/>
      <c r="U15" s="7"/>
      <c r="V15" s="7"/>
      <c r="W15" s="7"/>
      <c r="X15" s="7"/>
    </row>
    <row r="16" spans="1:24" s="180" customFormat="1">
      <c r="A16" s="7"/>
      <c r="B16" s="7"/>
      <c r="D16" s="7"/>
      <c r="E16" s="7"/>
      <c r="F16" s="7"/>
      <c r="G16" s="7"/>
      <c r="H16" s="7"/>
      <c r="I16" s="7"/>
      <c r="J16" s="7"/>
      <c r="K16" s="7"/>
      <c r="L16" s="7"/>
      <c r="M16" s="7"/>
      <c r="N16" s="204"/>
      <c r="O16" s="204"/>
      <c r="P16" s="204"/>
      <c r="Q16" s="204"/>
      <c r="R16" s="204"/>
      <c r="S16" s="204"/>
      <c r="T16" s="7"/>
      <c r="U16" s="7"/>
      <c r="V16" s="7"/>
      <c r="W16" s="7"/>
      <c r="X16" s="7"/>
    </row>
    <row r="17" spans="3:25">
      <c r="C17" s="417" t="s">
        <v>318</v>
      </c>
      <c r="N17" s="205"/>
      <c r="O17" s="205"/>
      <c r="P17" s="205"/>
      <c r="Q17" s="205"/>
      <c r="R17" s="205"/>
      <c r="S17" s="205"/>
    </row>
    <row r="18" spans="3:25">
      <c r="C18" s="417"/>
      <c r="D18" s="7"/>
      <c r="E18" s="381" t="s">
        <v>299</v>
      </c>
      <c r="F18" s="290" t="s">
        <v>319</v>
      </c>
      <c r="G18" s="7"/>
      <c r="H18" s="7"/>
      <c r="I18" s="7"/>
      <c r="J18" s="7"/>
      <c r="K18" s="7"/>
      <c r="L18" s="7"/>
      <c r="M18" s="7"/>
      <c r="N18" s="204"/>
      <c r="O18" s="204"/>
      <c r="P18" s="204"/>
      <c r="Q18" s="204"/>
      <c r="R18" s="204"/>
      <c r="S18" s="204"/>
      <c r="T18" s="7"/>
      <c r="U18" s="7"/>
      <c r="V18" s="7"/>
      <c r="W18" s="7"/>
      <c r="X18" s="7"/>
      <c r="Y18" s="7"/>
    </row>
    <row r="19" spans="3:25">
      <c r="C19" s="63"/>
      <c r="D19" s="7"/>
      <c r="E19" s="7"/>
      <c r="F19" s="7"/>
      <c r="G19" s="7"/>
      <c r="H19" s="7"/>
      <c r="I19" s="7"/>
      <c r="J19" s="7"/>
      <c r="K19" s="7"/>
      <c r="L19" s="7"/>
      <c r="M19" s="7"/>
      <c r="N19" s="204"/>
      <c r="O19" s="204"/>
      <c r="P19" s="204"/>
      <c r="Q19" s="204"/>
      <c r="R19" s="204"/>
      <c r="S19" s="204"/>
      <c r="T19" s="7"/>
      <c r="U19" s="7"/>
      <c r="V19" s="7"/>
      <c r="W19" s="7"/>
      <c r="X19" s="7"/>
      <c r="Y19" s="7"/>
    </row>
    <row r="20" spans="3:25">
      <c r="C20" s="63"/>
      <c r="D20" s="7"/>
      <c r="E20" s="7"/>
      <c r="F20" s="7"/>
      <c r="G20" s="7"/>
      <c r="H20" s="7"/>
      <c r="I20" s="7"/>
      <c r="J20" s="7"/>
      <c r="K20" s="7"/>
      <c r="L20" s="7"/>
      <c r="M20" s="7"/>
      <c r="N20" s="204"/>
      <c r="O20" s="204"/>
      <c r="P20" s="204"/>
      <c r="Q20" s="204"/>
      <c r="R20" s="204"/>
      <c r="S20" s="204"/>
      <c r="T20" s="7"/>
      <c r="U20" s="7"/>
      <c r="V20" s="7"/>
      <c r="W20" s="7"/>
      <c r="X20" s="7"/>
      <c r="Y20" s="7"/>
    </row>
    <row r="21" spans="3:25">
      <c r="C21" s="64"/>
      <c r="D21" s="65"/>
      <c r="E21" s="65"/>
      <c r="F21" s="65"/>
      <c r="G21" s="65"/>
      <c r="H21" s="65"/>
      <c r="I21" s="65"/>
      <c r="J21" s="65"/>
      <c r="K21" s="65"/>
      <c r="L21" s="65"/>
      <c r="M21" s="65"/>
      <c r="N21" s="65"/>
      <c r="O21" s="65"/>
      <c r="P21" s="65"/>
      <c r="Q21" s="65"/>
      <c r="R21" s="65"/>
      <c r="S21" s="65"/>
      <c r="T21" s="65"/>
      <c r="U21" s="65"/>
      <c r="V21" s="65"/>
      <c r="W21" s="65"/>
      <c r="X21" s="65"/>
      <c r="Y21" s="65"/>
    </row>
    <row r="23" spans="3:25" ht="18">
      <c r="C23" s="140" t="s">
        <v>106</v>
      </c>
    </row>
    <row r="24" spans="3:25">
      <c r="C24" s="136" t="s">
        <v>107</v>
      </c>
    </row>
    <row r="25" spans="3:25" ht="18">
      <c r="C25" s="140"/>
    </row>
    <row r="26" spans="3:25" ht="30" customHeight="1">
      <c r="C26" s="417" t="str">
        <f>populacao&amp;" - total number of eligible patients per year"</f>
        <v>Leiomioma presenting with heavy bleeding - total number of eligible patients per year</v>
      </c>
      <c r="D26" s="189">
        <f>ano_1</f>
        <v>2026</v>
      </c>
      <c r="E26" s="189">
        <f>ano_1+1</f>
        <v>2027</v>
      </c>
      <c r="F26" s="189">
        <f>ano_1+2</f>
        <v>2028</v>
      </c>
      <c r="G26" s="189">
        <f>ano_1+3</f>
        <v>2029</v>
      </c>
      <c r="H26" s="189">
        <f>ano_1+4</f>
        <v>2030</v>
      </c>
    </row>
    <row r="27" spans="3:25" ht="15" customHeight="1">
      <c r="C27" s="417"/>
      <c r="D27" s="53"/>
      <c r="E27" s="53"/>
      <c r="F27" s="53"/>
      <c r="G27" s="53"/>
      <c r="H27" s="53"/>
    </row>
    <row r="28" spans="3:25" ht="18.75" customHeight="1"/>
    <row r="29" spans="3:25" ht="18.75" customHeight="1"/>
    <row r="30" spans="3:25">
      <c r="C30" s="63"/>
      <c r="D30" s="7"/>
      <c r="E30" s="7"/>
      <c r="F30" s="7"/>
      <c r="G30" s="7"/>
      <c r="H30" s="7"/>
      <c r="I30" s="7"/>
      <c r="J30" s="7"/>
      <c r="K30" s="7"/>
      <c r="L30" s="7"/>
      <c r="M30" s="7"/>
      <c r="N30" s="7"/>
      <c r="O30" s="7"/>
      <c r="P30" s="7"/>
      <c r="Q30" s="7"/>
      <c r="R30" s="7"/>
      <c r="S30" s="7"/>
      <c r="T30" s="7"/>
      <c r="U30" s="7"/>
      <c r="V30" s="7"/>
      <c r="W30" s="7"/>
      <c r="X30" s="7"/>
      <c r="Y30" s="7"/>
    </row>
    <row r="31" spans="3:25">
      <c r="C31" s="64"/>
      <c r="D31" s="65"/>
      <c r="E31" s="65"/>
      <c r="F31" s="65"/>
      <c r="G31" s="65"/>
      <c r="H31" s="65"/>
      <c r="I31" s="65"/>
      <c r="J31" s="65"/>
      <c r="K31" s="65"/>
      <c r="L31" s="65"/>
      <c r="M31" s="65"/>
      <c r="N31" s="65"/>
      <c r="O31" s="65"/>
      <c r="P31" s="65"/>
      <c r="Q31" s="65"/>
      <c r="R31" s="65"/>
      <c r="S31" s="65"/>
      <c r="T31" s="65"/>
      <c r="U31" s="65"/>
      <c r="V31" s="65"/>
      <c r="W31" s="65"/>
      <c r="X31" s="65"/>
      <c r="Y31" s="65"/>
    </row>
    <row r="32" spans="3:25" ht="18">
      <c r="C32" s="140"/>
    </row>
    <row r="33" spans="3:20" ht="18">
      <c r="C33" s="140" t="s">
        <v>108</v>
      </c>
    </row>
    <row r="34" spans="3:20">
      <c r="C34" t="s">
        <v>109</v>
      </c>
    </row>
    <row r="35" spans="3:20">
      <c r="C35" s="190" t="s">
        <v>110</v>
      </c>
    </row>
    <row r="36" spans="3:20">
      <c r="C36" s="7"/>
      <c r="D36" s="191"/>
      <c r="E36" s="191"/>
      <c r="F36" s="7"/>
      <c r="G36" s="7"/>
      <c r="H36" s="7"/>
      <c r="I36" s="7"/>
      <c r="J36" s="7"/>
      <c r="K36" s="7"/>
      <c r="L36" s="7"/>
      <c r="M36" s="7"/>
      <c r="N36" s="7"/>
      <c r="O36" s="7"/>
      <c r="P36" s="7"/>
      <c r="Q36" s="7"/>
      <c r="R36" s="7"/>
      <c r="S36" s="7"/>
      <c r="T36" s="7"/>
    </row>
    <row r="37" spans="3:20">
      <c r="C37" s="7"/>
      <c r="D37" s="191"/>
      <c r="E37" s="191"/>
      <c r="F37" s="7"/>
      <c r="G37" s="7"/>
      <c r="H37" s="7"/>
      <c r="I37" s="7"/>
      <c r="J37" s="7"/>
      <c r="K37" s="7"/>
      <c r="L37" s="7"/>
      <c r="M37" s="7"/>
      <c r="N37" s="7"/>
      <c r="O37" s="7"/>
      <c r="P37" s="7"/>
      <c r="Q37" s="7"/>
      <c r="R37" s="7"/>
      <c r="S37" s="7"/>
      <c r="T37" s="7"/>
    </row>
    <row r="38" spans="3:20">
      <c r="C38" s="42" t="s">
        <v>111</v>
      </c>
      <c r="D38" s="49"/>
      <c r="E38" s="192" t="s">
        <v>131</v>
      </c>
      <c r="F38" s="7"/>
      <c r="G38" s="7"/>
      <c r="H38" s="7"/>
      <c r="I38" s="7"/>
      <c r="J38" s="7"/>
      <c r="K38" s="7"/>
      <c r="L38" s="7"/>
      <c r="M38" s="7"/>
      <c r="N38" s="7"/>
      <c r="O38" s="7"/>
      <c r="P38" s="7"/>
      <c r="Q38" s="7"/>
      <c r="R38" s="7"/>
      <c r="S38" s="7"/>
      <c r="T38" s="7"/>
    </row>
    <row r="39" spans="3:20">
      <c r="C39" s="193"/>
      <c r="D39" s="194"/>
      <c r="E39" s="7"/>
      <c r="F39" s="7"/>
      <c r="G39" s="7"/>
      <c r="H39" s="7"/>
      <c r="I39" s="7"/>
      <c r="J39" s="7"/>
      <c r="K39" s="7"/>
      <c r="L39" s="7"/>
      <c r="M39" s="7"/>
      <c r="N39" s="195" t="s">
        <v>133</v>
      </c>
      <c r="O39" s="7"/>
      <c r="P39" s="7"/>
      <c r="Q39" s="7"/>
      <c r="R39" s="7"/>
      <c r="S39" s="7"/>
      <c r="T39" s="7"/>
    </row>
    <row r="40" spans="3:20">
      <c r="C40" s="42" t="s">
        <v>112</v>
      </c>
      <c r="D40" s="49"/>
      <c r="E40" s="192" t="s">
        <v>132</v>
      </c>
      <c r="F40" s="7"/>
      <c r="G40" s="7"/>
      <c r="H40" s="7"/>
      <c r="I40" s="7"/>
      <c r="J40" s="7"/>
      <c r="K40" s="7"/>
      <c r="L40" s="7"/>
      <c r="M40" s="7"/>
      <c r="N40" s="7"/>
      <c r="O40" s="7"/>
      <c r="P40" s="7"/>
      <c r="Q40" s="7"/>
      <c r="R40" s="7"/>
      <c r="S40" s="196"/>
      <c r="T40" s="7"/>
    </row>
    <row r="41" spans="3:20">
      <c r="C41" s="7"/>
      <c r="E41" s="7"/>
      <c r="F41" s="7"/>
      <c r="G41" s="7"/>
      <c r="H41" s="7"/>
      <c r="I41" s="7"/>
      <c r="J41" s="7"/>
      <c r="K41" s="7"/>
      <c r="L41" s="7"/>
      <c r="M41" s="7"/>
      <c r="N41" s="7"/>
      <c r="O41" s="7"/>
      <c r="P41" s="7"/>
      <c r="Q41" s="7"/>
      <c r="R41" s="7"/>
      <c r="S41" s="7"/>
      <c r="T41" s="7"/>
    </row>
    <row r="42" spans="3:20">
      <c r="C42" s="42" t="s">
        <v>113</v>
      </c>
      <c r="D42" s="197">
        <f>D40-D38+1</f>
        <v>1</v>
      </c>
      <c r="E42" s="192"/>
      <c r="F42" s="7"/>
      <c r="G42" s="7"/>
      <c r="H42" s="7"/>
      <c r="I42" s="7"/>
      <c r="J42" s="7"/>
      <c r="K42" s="7"/>
      <c r="L42" s="7"/>
      <c r="M42" s="7"/>
      <c r="N42" s="7"/>
      <c r="O42" s="7"/>
      <c r="P42" s="7"/>
      <c r="Q42" s="7"/>
      <c r="R42" s="7"/>
      <c r="S42" s="196"/>
      <c r="T42" s="7"/>
    </row>
    <row r="43" spans="3:20">
      <c r="C43" s="7"/>
      <c r="E43" s="7"/>
      <c r="F43" s="7"/>
      <c r="G43" s="7"/>
      <c r="H43" s="7"/>
      <c r="I43" s="7"/>
      <c r="J43" s="7"/>
      <c r="K43" s="7"/>
      <c r="L43" s="7"/>
      <c r="M43" s="7"/>
      <c r="N43" s="7"/>
      <c r="O43" s="7"/>
      <c r="P43" s="7"/>
      <c r="Q43" s="7"/>
      <c r="R43" s="7"/>
      <c r="S43" s="7"/>
      <c r="T43" s="7"/>
    </row>
    <row r="44" spans="3:20">
      <c r="C44" s="7"/>
      <c r="D44" s="7"/>
      <c r="E44" s="7"/>
      <c r="F44" s="7"/>
      <c r="G44" s="7"/>
      <c r="H44" s="7"/>
      <c r="I44" s="7"/>
      <c r="J44" s="7"/>
      <c r="K44" s="7"/>
      <c r="L44" s="7"/>
      <c r="M44" s="7"/>
      <c r="N44" s="7"/>
      <c r="O44" s="7"/>
      <c r="P44" s="7"/>
      <c r="Q44" s="7"/>
      <c r="R44" s="7"/>
      <c r="S44" s="7"/>
      <c r="T44" s="7"/>
    </row>
    <row r="45" spans="3:20">
      <c r="C45" s="425" t="s">
        <v>101</v>
      </c>
      <c r="D45" s="189">
        <f>D38</f>
        <v>0</v>
      </c>
      <c r="E45" s="189" t="str">
        <f>IF($D$38+1&lt;=$D$40,$D$38+1,"")</f>
        <v/>
      </c>
      <c r="F45" s="189" t="str">
        <f>IF($D$38+2&lt;=$D$40,$D$38+2,"")</f>
        <v/>
      </c>
      <c r="G45" s="189" t="str">
        <f>IF($D$38+3&lt;=$D$40,$D$38+3,"")</f>
        <v/>
      </c>
      <c r="H45" s="189" t="str">
        <f>IF($D$38+4&lt;=$D$40,$D$38+4,"")</f>
        <v/>
      </c>
      <c r="I45" s="189" t="str">
        <f>IF($D$38+5&lt;=$D$40,$D$38+5,"")</f>
        <v/>
      </c>
      <c r="J45" s="189" t="str">
        <f>IF($D$38+6&lt;=$D$40,$D$38+6,"")</f>
        <v/>
      </c>
      <c r="K45" s="189" t="str">
        <f>IF($D$38+7&lt;=$D$40,$D$38+7,"")</f>
        <v/>
      </c>
      <c r="L45" s="189" t="str">
        <f>IF($D$38+8&lt;=$D$40,$D$38+8,"")</f>
        <v/>
      </c>
      <c r="M45" s="7"/>
      <c r="N45" s="7"/>
      <c r="O45" s="7"/>
      <c r="P45" s="7"/>
      <c r="Q45" s="7"/>
      <c r="R45" s="7"/>
      <c r="S45" s="7"/>
      <c r="T45" s="7"/>
    </row>
    <row r="46" spans="3:20">
      <c r="C46" s="426"/>
      <c r="D46" s="174"/>
      <c r="E46" s="174"/>
      <c r="F46" s="174"/>
      <c r="G46" s="174"/>
      <c r="H46" s="174"/>
      <c r="I46" s="174"/>
      <c r="J46" s="174"/>
      <c r="K46" s="174"/>
      <c r="L46" s="174"/>
      <c r="M46" s="7"/>
      <c r="N46" s="7"/>
      <c r="O46" s="7"/>
      <c r="P46" s="7"/>
      <c r="Q46" s="7"/>
      <c r="R46" s="7"/>
      <c r="S46" s="7"/>
      <c r="T46" s="7"/>
    </row>
    <row r="47" spans="3:20">
      <c r="C47" s="53"/>
      <c r="D47" s="53"/>
      <c r="E47" s="53"/>
      <c r="F47" s="53"/>
      <c r="G47" s="53"/>
      <c r="H47" s="53"/>
      <c r="I47" s="53"/>
      <c r="J47" s="53"/>
      <c r="K47" s="53"/>
      <c r="L47" s="53"/>
      <c r="M47" s="7"/>
      <c r="N47" s="7"/>
      <c r="O47" s="7"/>
      <c r="P47" s="7"/>
      <c r="Q47" s="7"/>
      <c r="R47" s="7"/>
      <c r="S47" s="7"/>
      <c r="T47" s="7"/>
    </row>
    <row r="48" spans="3:20">
      <c r="C48" s="53"/>
      <c r="D48" s="53"/>
      <c r="E48" s="53"/>
      <c r="F48" s="53"/>
      <c r="G48" s="53"/>
      <c r="H48" s="53"/>
      <c r="I48" s="53"/>
      <c r="J48" s="53"/>
      <c r="K48" s="53"/>
      <c r="L48" s="53"/>
      <c r="M48" s="7"/>
      <c r="N48" s="7"/>
      <c r="O48" s="7"/>
      <c r="P48" s="7"/>
      <c r="Q48" s="7"/>
      <c r="R48" s="7"/>
      <c r="S48" s="7"/>
      <c r="T48" s="7"/>
    </row>
    <row r="49" spans="3:27">
      <c r="C49" s="53"/>
      <c r="D49" s="53"/>
      <c r="E49" s="53"/>
      <c r="F49" s="53"/>
      <c r="G49" s="53"/>
      <c r="H49" s="53"/>
      <c r="I49" s="53"/>
      <c r="J49" s="53"/>
      <c r="K49" s="53"/>
      <c r="L49" s="53"/>
      <c r="M49" s="7"/>
      <c r="N49" s="7"/>
      <c r="O49" s="7"/>
      <c r="P49" s="7"/>
      <c r="Q49" s="7"/>
      <c r="R49" s="7"/>
      <c r="S49" s="7"/>
      <c r="T49" s="7"/>
    </row>
    <row r="50" spans="3:27">
      <c r="C50" s="53"/>
      <c r="D50" s="53"/>
      <c r="E50" s="53"/>
      <c r="F50" s="53"/>
      <c r="G50" s="53"/>
      <c r="H50" s="53"/>
      <c r="I50" s="53"/>
      <c r="J50" s="53"/>
      <c r="K50" s="53"/>
      <c r="L50" s="53"/>
      <c r="M50" s="7"/>
      <c r="N50" s="7"/>
      <c r="O50" s="7"/>
      <c r="P50" s="7"/>
      <c r="Q50" s="7"/>
      <c r="R50" s="7"/>
      <c r="S50" s="7"/>
      <c r="T50" s="7"/>
    </row>
    <row r="51" spans="3:27">
      <c r="C51" s="53"/>
      <c r="D51" s="53"/>
      <c r="E51" s="53"/>
      <c r="F51" s="53"/>
      <c r="G51" s="53"/>
      <c r="H51" s="53"/>
      <c r="I51" s="53"/>
      <c r="J51" s="53"/>
      <c r="K51" s="53"/>
      <c r="L51" s="53"/>
      <c r="M51" s="7"/>
      <c r="N51" s="7"/>
      <c r="O51" s="7"/>
      <c r="P51" s="7"/>
      <c r="Q51" s="7"/>
      <c r="R51" s="7"/>
      <c r="S51" s="7"/>
      <c r="T51" s="7"/>
    </row>
    <row r="52" spans="3:27">
      <c r="C52" s="53"/>
      <c r="D52" s="53"/>
      <c r="E52" s="53"/>
      <c r="F52" s="53"/>
      <c r="G52" s="53"/>
      <c r="H52" s="53"/>
      <c r="I52" s="53"/>
      <c r="J52" s="53"/>
      <c r="K52" s="53"/>
      <c r="L52" s="53"/>
      <c r="M52" s="7"/>
      <c r="N52" s="7"/>
      <c r="O52" s="7"/>
      <c r="P52" s="7"/>
      <c r="Q52" s="7"/>
      <c r="R52" s="7"/>
      <c r="S52" s="7"/>
      <c r="T52" s="7"/>
    </row>
    <row r="53" spans="3:27">
      <c r="C53" s="198" t="s">
        <v>114</v>
      </c>
      <c r="D53" s="197">
        <f>IF(D45="","",SUM(D47:D52))</f>
        <v>0</v>
      </c>
      <c r="E53" s="197" t="str">
        <f t="shared" ref="E53:H53" si="0">IF(E45="","",SUM(E47:E52))</f>
        <v/>
      </c>
      <c r="F53" s="197" t="str">
        <f t="shared" si="0"/>
        <v/>
      </c>
      <c r="G53" s="197" t="str">
        <f t="shared" si="0"/>
        <v/>
      </c>
      <c r="H53" s="197" t="str">
        <f t="shared" si="0"/>
        <v/>
      </c>
      <c r="I53" s="197" t="str">
        <f t="shared" ref="I53:L53" si="1">IF(I45="","",SUM(I47:I52))</f>
        <v/>
      </c>
      <c r="J53" s="197" t="str">
        <f t="shared" si="1"/>
        <v/>
      </c>
      <c r="K53" s="197" t="str">
        <f t="shared" si="1"/>
        <v/>
      </c>
      <c r="L53" s="197" t="str">
        <f t="shared" si="1"/>
        <v/>
      </c>
      <c r="M53" s="7"/>
      <c r="N53" s="7"/>
      <c r="O53" s="7"/>
      <c r="P53" s="7"/>
      <c r="Q53" s="7"/>
      <c r="R53" s="7"/>
      <c r="S53" s="7"/>
      <c r="T53" s="7"/>
    </row>
    <row r="54" spans="3:27">
      <c r="C54" s="198"/>
      <c r="D54" s="198"/>
      <c r="E54" s="198"/>
      <c r="F54" s="198"/>
      <c r="G54" s="198"/>
      <c r="H54" s="198"/>
      <c r="I54" s="198"/>
      <c r="J54" s="198"/>
      <c r="K54" s="198"/>
      <c r="L54" s="198"/>
      <c r="M54" s="7"/>
      <c r="N54" s="7"/>
      <c r="O54" s="7"/>
      <c r="P54" s="7"/>
      <c r="Q54" s="7"/>
      <c r="R54" s="7"/>
      <c r="S54" s="7"/>
      <c r="T54" s="7"/>
    </row>
    <row r="55" spans="3:27">
      <c r="C55" s="198"/>
      <c r="D55" s="198"/>
      <c r="E55" s="198"/>
      <c r="F55" s="198"/>
      <c r="G55" s="198"/>
      <c r="H55" s="198"/>
      <c r="I55" s="198"/>
      <c r="J55" s="198"/>
      <c r="K55" s="198"/>
      <c r="L55" s="198"/>
      <c r="M55" s="7"/>
      <c r="N55" s="7"/>
      <c r="O55" s="7"/>
      <c r="P55" s="7"/>
      <c r="Q55" s="7"/>
      <c r="R55" s="7"/>
      <c r="S55" s="7"/>
      <c r="T55" s="7"/>
    </row>
    <row r="56" spans="3:27">
      <c r="C56" s="42" t="s">
        <v>115</v>
      </c>
      <c r="D56" s="418" t="s">
        <v>316</v>
      </c>
      <c r="E56" s="419"/>
      <c r="F56" s="192" t="s">
        <v>102</v>
      </c>
      <c r="G56" s="198"/>
      <c r="H56" s="198"/>
      <c r="I56" s="198"/>
      <c r="J56" s="198"/>
      <c r="K56" s="198"/>
      <c r="L56" s="198"/>
      <c r="M56" s="7"/>
      <c r="N56" s="7"/>
      <c r="O56" s="7"/>
      <c r="P56" s="7"/>
      <c r="Q56" s="7"/>
      <c r="R56" s="7"/>
      <c r="S56" s="7"/>
      <c r="T56" s="7"/>
    </row>
    <row r="57" spans="3:27" ht="15" customHeight="1">
      <c r="D57" s="192" t="s">
        <v>225</v>
      </c>
      <c r="E57" s="7"/>
      <c r="F57" s="7"/>
      <c r="G57" s="7"/>
      <c r="H57" s="7"/>
      <c r="I57" s="7"/>
      <c r="J57" s="7"/>
      <c r="K57" s="7"/>
      <c r="L57" s="7"/>
      <c r="M57" s="7"/>
      <c r="N57" s="7"/>
      <c r="O57" s="7"/>
      <c r="P57" s="7"/>
      <c r="Q57" s="7"/>
      <c r="R57" s="7"/>
      <c r="S57" s="7"/>
      <c r="T57" s="7"/>
    </row>
    <row r="58" spans="3:27" ht="15" customHeight="1">
      <c r="D58" s="7"/>
      <c r="E58" s="7"/>
      <c r="F58" s="7"/>
      <c r="G58" s="7"/>
      <c r="H58" s="7"/>
      <c r="I58" s="7"/>
      <c r="J58" s="7"/>
      <c r="K58" s="7"/>
      <c r="L58" s="7"/>
      <c r="M58" s="7"/>
      <c r="N58" s="7"/>
      <c r="O58" s="7"/>
      <c r="P58" s="7"/>
      <c r="Q58" s="7"/>
      <c r="R58" s="7"/>
      <c r="S58" s="7"/>
      <c r="T58" s="7"/>
    </row>
    <row r="59" spans="3:27" ht="15" customHeight="1">
      <c r="C59" s="417" t="s">
        <v>117</v>
      </c>
      <c r="D59" s="189">
        <f>ano_1</f>
        <v>2026</v>
      </c>
      <c r="E59" s="189">
        <f>D59+1</f>
        <v>2027</v>
      </c>
      <c r="F59" s="189">
        <f t="shared" ref="F59:H59" si="2">E59+1</f>
        <v>2028</v>
      </c>
      <c r="G59" s="189">
        <f t="shared" si="2"/>
        <v>2029</v>
      </c>
      <c r="H59" s="189">
        <f t="shared" si="2"/>
        <v>2030</v>
      </c>
      <c r="I59" s="7"/>
      <c r="J59" s="7"/>
      <c r="K59" s="7"/>
      <c r="L59" s="7"/>
      <c r="M59" s="7"/>
      <c r="N59" s="7"/>
      <c r="O59" s="7"/>
      <c r="P59" s="7"/>
      <c r="Q59" s="7"/>
      <c r="R59" s="7"/>
      <c r="S59" s="7"/>
      <c r="T59" s="7"/>
    </row>
    <row r="60" spans="3:27">
      <c r="C60" s="417"/>
      <c r="D60" s="199" cm="1">
        <f t="array" ref="D60">IF($D$42=9,TREND($D53:$L$53,$D45:$L$45,D59),IF($D$42=8,TREND($D53:$K$53,$D45:$K$45,D59),IF($D$42=7,TREND($D53:$J$53,$D45:$J$45,D59),IF($D$42=6,TREND($D53:$I$53,$D45:$I$45,D59),IF($D$42=5,TREND($D53:$H$53,$D45:$H$45,D59),IF($D$42=4,TREND($D53:$G$53,$D45:$G$45,D59),IF($D$42=3,TREND($D53:$F$53,$D45:$F$45,D59),IF($D$42=2,TREND($D53:$E$53,$D45:$E$45,D59),TREND($D53:$D$53,$D45:$D$45,D59)))))))))</f>
        <v>0</v>
      </c>
      <c r="E60" s="199" cm="1">
        <f t="array" ref="E60">IF($D$42=9,TREND($D53:$L$53,$D45:$L$45,E59),IF($D$42=8,TREND($D53:$K$53,$D45:$K$45,E59),IF($D$42=7,TREND($D53:$J$53,$D45:$J$45,E59),IF($D$42=6,TREND($D53:$I$53,$D45:$I$45,E59),IF($D$42=5,TREND($D53:$H$53,$D45:$H$45,E59),IF($D$42=4,TREND($D53:$G$53,$D45:$G$45,E59),IF($D$42=3,TREND($D53:$F$53,$D45:$F$45,E59),IF($D$42=2,TREND($D53:$E$53,$D45:$E$45,E59),TREND($D53:$D$53,$D45:$D$45,E59)))))))))</f>
        <v>0</v>
      </c>
      <c r="F60" s="199" cm="1">
        <f t="array" ref="F60">IF($D$42=9,TREND($D53:$L$53,$D45:$L$45,F59),IF($D$42=8,TREND($D53:$K$53,$D45:$K$45,F59),IF($D$42=7,TREND($D53:$J$53,$D45:$J$45,F59),IF($D$42=6,TREND($D53:$I$53,$D45:$I$45,F59),IF($D$42=5,TREND($D53:$H$53,$D45:$H$45,F59),IF($D$42=4,TREND($D53:$G$53,$D45:$G$45,F59),IF($D$42=3,TREND($D53:$F$53,$D45:$F$45,F59),IF($D$42=2,TREND($D53:$E$53,$D45:$E$45,F59),TREND($D53:$D$53,$D45:$D$45,F59)))))))))</f>
        <v>0</v>
      </c>
      <c r="G60" s="199" cm="1">
        <f t="array" ref="G60">IF($D$42=9,TREND($D53:$L$53,$D45:$L$45,G59),IF($D$42=8,TREND($D53:$K$53,$D45:$K$45,G59),IF($D$42=7,TREND($D53:$J$53,$D45:$J$45,G59),IF($D$42=6,TREND($D53:$I$53,$D45:$I$45,G59),IF($D$42=5,TREND($D53:$H$53,$D45:$H$45,G59),IF($D$42=4,TREND($D53:$G$53,$D45:$G$45,G59),IF($D$42=3,TREND($D53:$F$53,$D45:$F$45,G59),IF($D$42=2,TREND($D53:$E$53,$D45:$E$45,G59),TREND($D53:$D$53,$D45:$D$45,G59)))))))))</f>
        <v>0</v>
      </c>
      <c r="H60" s="199" cm="1">
        <f t="array" ref="H60">IF($D$42=9,TREND($D53:$L$53,$D45:$L$45,H59),IF($D$42=8,TREND($D53:$K$53,$D45:$K$45,H59),IF($D$42=7,TREND($D53:$J$53,$D45:$J$45,H59),IF($D$42=6,TREND($D53:$I$53,$D45:$I$45,H59),IF($D$42=5,TREND($D53:$H$53,$D45:$H$45,H59),IF($D$42=4,TREND($D53:$G$53,$D45:$G$45,H59),IF($D$42=3,TREND($D53:$F$53,$D45:$F$45,H59),IF($D$42=2,TREND($D53:$E$53,$D45:$E$45,H59),TREND($D53:$D$53,$D45:$D$45,H59)))))))))</f>
        <v>0</v>
      </c>
      <c r="I60" s="7"/>
      <c r="J60" s="7"/>
      <c r="K60" s="7"/>
      <c r="L60" s="7"/>
      <c r="M60" s="7"/>
      <c r="N60" s="7"/>
      <c r="O60" s="7"/>
      <c r="P60" s="7"/>
      <c r="Q60" s="7"/>
      <c r="R60" s="7"/>
      <c r="S60" s="7"/>
      <c r="T60" s="7"/>
    </row>
    <row r="61" spans="3:27">
      <c r="C61" s="63"/>
      <c r="D61" s="7"/>
      <c r="E61" s="7"/>
      <c r="F61" s="7"/>
      <c r="G61" s="7"/>
      <c r="H61" s="7"/>
      <c r="I61" s="7"/>
      <c r="J61" s="7"/>
      <c r="K61" s="7"/>
      <c r="L61" s="7"/>
      <c r="M61" s="7"/>
      <c r="N61" s="7"/>
      <c r="O61" s="7"/>
      <c r="P61" s="7"/>
      <c r="Q61" s="7"/>
      <c r="R61" s="7"/>
      <c r="S61" s="7"/>
      <c r="T61" s="7"/>
    </row>
    <row r="62" spans="3:27" ht="15" customHeight="1">
      <c r="C62" s="417" t="s">
        <v>118</v>
      </c>
      <c r="D62" s="189">
        <f>ano_1</f>
        <v>2026</v>
      </c>
      <c r="E62" s="189">
        <f>D62+1</f>
        <v>2027</v>
      </c>
      <c r="F62" s="189">
        <f t="shared" ref="F62" si="3">E62+1</f>
        <v>2028</v>
      </c>
      <c r="G62" s="189">
        <f t="shared" ref="G62" si="4">F62+1</f>
        <v>2029</v>
      </c>
      <c r="H62" s="189">
        <f t="shared" ref="H62" si="5">G62+1</f>
        <v>2030</v>
      </c>
      <c r="I62" s="7"/>
      <c r="J62" s="200" t="s">
        <v>136</v>
      </c>
      <c r="K62" s="184">
        <v>1.1000000000000001</v>
      </c>
      <c r="L62" s="7"/>
      <c r="M62" s="7"/>
      <c r="N62" s="7"/>
      <c r="O62" s="7"/>
      <c r="P62" s="7"/>
      <c r="Q62" s="7"/>
      <c r="R62" s="7"/>
      <c r="S62" s="7"/>
      <c r="T62" s="7"/>
    </row>
    <row r="63" spans="3:27">
      <c r="C63" s="417"/>
      <c r="D63" s="199" t="e">
        <f>AVERAGEIF($D$53:$L$53,"&gt;0")</f>
        <v>#DIV/0!</v>
      </c>
      <c r="E63" s="199" t="e">
        <f t="shared" ref="E63:H63" si="6">AVERAGEIF($D$53:$L$53,"&gt;0")</f>
        <v>#DIV/0!</v>
      </c>
      <c r="F63" s="199" t="e">
        <f t="shared" si="6"/>
        <v>#DIV/0!</v>
      </c>
      <c r="G63" s="199" t="e">
        <f t="shared" si="6"/>
        <v>#DIV/0!</v>
      </c>
      <c r="H63" s="199" t="e">
        <f t="shared" si="6"/>
        <v>#DIV/0!</v>
      </c>
      <c r="I63" s="7"/>
      <c r="J63" s="7"/>
      <c r="K63" s="7"/>
      <c r="L63" s="7"/>
      <c r="M63" s="7"/>
      <c r="N63" s="7"/>
      <c r="O63" s="7"/>
      <c r="P63" s="7"/>
      <c r="Q63" s="7"/>
      <c r="R63" s="7"/>
      <c r="S63" s="7"/>
      <c r="T63" s="7"/>
    </row>
    <row r="64" spans="3:27">
      <c r="C64" s="63"/>
      <c r="D64" s="199" t="e">
        <f>D63*$K$62</f>
        <v>#DIV/0!</v>
      </c>
      <c r="E64" s="199" t="e">
        <f>D64*$K$62</f>
        <v>#DIV/0!</v>
      </c>
      <c r="F64" s="199" t="e">
        <f t="shared" ref="F64:H64" si="7">E64*$K$62</f>
        <v>#DIV/0!</v>
      </c>
      <c r="G64" s="199" t="e">
        <f t="shared" si="7"/>
        <v>#DIV/0!</v>
      </c>
      <c r="H64" s="199" t="e">
        <f t="shared" si="7"/>
        <v>#DIV/0!</v>
      </c>
      <c r="I64" s="192" t="s">
        <v>103</v>
      </c>
      <c r="J64" s="7"/>
      <c r="K64" s="7"/>
      <c r="L64" s="7"/>
      <c r="M64" s="7"/>
      <c r="N64" s="7"/>
      <c r="O64" s="7"/>
      <c r="P64" s="7"/>
      <c r="Q64" s="7"/>
      <c r="R64" s="7"/>
      <c r="S64" s="7"/>
      <c r="T64" s="7"/>
      <c r="U64" s="7"/>
      <c r="V64" s="7"/>
      <c r="W64" s="7"/>
      <c r="X64" s="7"/>
      <c r="Y64" s="7"/>
      <c r="Z64" s="7"/>
      <c r="AA64" s="7"/>
    </row>
    <row r="65" spans="3:27">
      <c r="C65" s="63"/>
      <c r="D65" s="63"/>
      <c r="E65" s="63"/>
      <c r="F65" s="63"/>
      <c r="G65" s="63"/>
      <c r="H65" s="63"/>
      <c r="I65" s="63"/>
      <c r="J65" s="63"/>
      <c r="K65" s="7"/>
      <c r="L65" s="7"/>
      <c r="M65" s="7"/>
      <c r="N65" s="7"/>
      <c r="O65" s="7"/>
      <c r="P65" s="7"/>
      <c r="Q65" s="7"/>
      <c r="R65" s="7"/>
      <c r="S65" s="7"/>
      <c r="T65" s="7"/>
      <c r="U65" s="7"/>
      <c r="V65" s="7"/>
      <c r="W65" s="7"/>
      <c r="X65" s="7"/>
      <c r="Y65" s="7"/>
      <c r="Z65" s="7"/>
      <c r="AA65" s="7"/>
    </row>
    <row r="66" spans="3:27">
      <c r="C66" s="63" t="s">
        <v>116</v>
      </c>
      <c r="D66" s="189">
        <f>ano_1</f>
        <v>2026</v>
      </c>
      <c r="E66" s="189">
        <f>D66+1</f>
        <v>2027</v>
      </c>
      <c r="F66" s="189">
        <f t="shared" ref="F66" si="8">E66+1</f>
        <v>2028</v>
      </c>
      <c r="G66" s="189">
        <f t="shared" ref="G66" si="9">F66+1</f>
        <v>2029</v>
      </c>
      <c r="H66" s="189">
        <f t="shared" ref="H66" si="10">G66+1</f>
        <v>2030</v>
      </c>
      <c r="I66" s="63"/>
      <c r="J66" s="63"/>
      <c r="K66" s="7"/>
      <c r="L66" s="7"/>
      <c r="M66" s="7"/>
      <c r="N66" s="7"/>
      <c r="O66" s="7"/>
      <c r="P66" s="7"/>
      <c r="Q66" s="7"/>
      <c r="R66" s="7"/>
      <c r="S66" s="7"/>
      <c r="T66" s="7"/>
      <c r="U66" s="7"/>
      <c r="V66" s="7"/>
      <c r="W66" s="7"/>
      <c r="X66" s="7"/>
      <c r="Y66" s="7"/>
      <c r="Z66" s="7"/>
      <c r="AA66" s="7"/>
    </row>
    <row r="67" spans="3:27">
      <c r="C67" s="63" t="str">
        <f>D56</f>
        <v>Mean projection</v>
      </c>
      <c r="D67" s="199" t="e">
        <f>IF($D$56="Mean projection",D64,D60)</f>
        <v>#DIV/0!</v>
      </c>
      <c r="E67" s="199" t="e">
        <f t="shared" ref="E67:H67" si="11">IF($D$56="Mean projection",E64,E60)</f>
        <v>#DIV/0!</v>
      </c>
      <c r="F67" s="199" t="e">
        <f t="shared" si="11"/>
        <v>#DIV/0!</v>
      </c>
      <c r="G67" s="199" t="e">
        <f t="shared" si="11"/>
        <v>#DIV/0!</v>
      </c>
      <c r="H67" s="199" t="e">
        <f t="shared" si="11"/>
        <v>#DIV/0!</v>
      </c>
      <c r="I67" s="63"/>
      <c r="J67" s="63"/>
      <c r="K67" s="7"/>
      <c r="L67" s="7"/>
      <c r="M67" s="7"/>
      <c r="N67" s="7"/>
      <c r="O67" s="7"/>
      <c r="P67" s="7"/>
      <c r="Q67" s="7"/>
      <c r="R67" s="7"/>
      <c r="S67" s="7"/>
      <c r="T67" s="7"/>
      <c r="U67" s="7"/>
      <c r="V67" s="7"/>
      <c r="W67" s="7"/>
      <c r="X67" s="7"/>
      <c r="Y67" s="7"/>
      <c r="Z67" s="7"/>
      <c r="AA67" s="7"/>
    </row>
    <row r="68" spans="3:27">
      <c r="C68" s="63"/>
      <c r="D68" s="63"/>
      <c r="E68" s="63"/>
      <c r="F68" s="63"/>
      <c r="G68" s="63"/>
      <c r="H68" s="63"/>
      <c r="I68" s="63"/>
      <c r="J68" s="63"/>
      <c r="K68" s="7"/>
      <c r="L68" s="7"/>
      <c r="M68" s="7"/>
      <c r="N68" s="7"/>
      <c r="O68" s="7"/>
      <c r="P68" s="7"/>
      <c r="Q68" s="7"/>
      <c r="R68" s="7"/>
      <c r="S68" s="7"/>
      <c r="T68" s="7"/>
      <c r="U68" s="7"/>
      <c r="V68" s="7"/>
      <c r="W68" s="7"/>
      <c r="X68" s="7"/>
      <c r="Y68" s="7"/>
      <c r="Z68" s="7"/>
      <c r="AA68" s="7"/>
    </row>
    <row r="69" spans="3:27">
      <c r="C69" s="63"/>
      <c r="D69" s="63"/>
      <c r="E69" s="63"/>
      <c r="F69" s="63"/>
      <c r="G69" s="63"/>
      <c r="H69" s="63"/>
      <c r="I69" s="63"/>
      <c r="J69" s="63"/>
      <c r="K69" s="7"/>
      <c r="L69" s="7"/>
      <c r="M69" s="7"/>
      <c r="N69" s="7"/>
      <c r="O69" s="7"/>
      <c r="P69" s="7"/>
      <c r="Q69" s="7"/>
      <c r="R69" s="7"/>
      <c r="S69" s="7"/>
      <c r="T69" s="7"/>
      <c r="U69" s="7"/>
      <c r="V69" s="7"/>
      <c r="W69" s="7"/>
      <c r="X69" s="7"/>
      <c r="Y69" s="7"/>
      <c r="Z69" s="7"/>
      <c r="AA69" s="7"/>
    </row>
    <row r="70" spans="3:27">
      <c r="C70" s="63"/>
      <c r="D70" s="63"/>
      <c r="E70" s="63"/>
      <c r="F70" s="63"/>
      <c r="G70" s="63"/>
      <c r="H70" s="63"/>
      <c r="I70" s="63"/>
      <c r="J70" s="63"/>
      <c r="K70" s="7"/>
      <c r="L70" s="7"/>
      <c r="M70" s="7"/>
      <c r="N70" s="7"/>
      <c r="O70" s="7"/>
      <c r="P70" s="7"/>
      <c r="Q70" s="7"/>
      <c r="R70" s="7"/>
      <c r="S70" s="7"/>
      <c r="T70" s="7"/>
      <c r="U70" s="7"/>
      <c r="V70" s="7"/>
      <c r="W70" s="7"/>
      <c r="X70" s="7"/>
      <c r="Y70" s="7"/>
      <c r="Z70" s="7"/>
      <c r="AA70" s="7"/>
    </row>
    <row r="71" spans="3:27">
      <c r="C71" s="64"/>
      <c r="D71" s="65"/>
      <c r="E71" s="65"/>
      <c r="F71" s="65"/>
      <c r="G71" s="65"/>
      <c r="H71" s="65"/>
      <c r="I71" s="65"/>
      <c r="J71" s="65"/>
      <c r="K71" s="65"/>
      <c r="L71" s="65"/>
      <c r="M71" s="65"/>
      <c r="N71" s="65"/>
      <c r="O71" s="65"/>
      <c r="P71" s="65"/>
      <c r="Q71" s="65"/>
      <c r="R71" s="65"/>
      <c r="S71" s="65"/>
      <c r="T71" s="65"/>
      <c r="U71" s="65"/>
      <c r="V71" s="65"/>
      <c r="W71" s="65"/>
      <c r="X71" s="65"/>
      <c r="Y71" s="65"/>
      <c r="Z71" s="65"/>
      <c r="AA71" s="65"/>
    </row>
    <row r="73" spans="3:27" ht="18">
      <c r="C73" s="140" t="s">
        <v>128</v>
      </c>
    </row>
    <row r="74" spans="3:27">
      <c r="C74" s="136" t="s">
        <v>129</v>
      </c>
    </row>
    <row r="75" spans="3:27">
      <c r="C75" s="136" t="s">
        <v>130</v>
      </c>
    </row>
    <row r="77" spans="3:27">
      <c r="C77" s="42"/>
      <c r="D77" s="42"/>
      <c r="E77" s="42"/>
      <c r="F77" s="42"/>
      <c r="G77" s="42"/>
      <c r="H77" s="42"/>
      <c r="I77" s="42"/>
      <c r="J77" s="7"/>
      <c r="K77" s="7"/>
      <c r="L77" s="7"/>
    </row>
    <row r="78" spans="3:27">
      <c r="C78" s="7"/>
      <c r="D78" s="7"/>
      <c r="E78" s="7"/>
      <c r="F78" s="7"/>
      <c r="G78" s="7"/>
      <c r="H78" s="7"/>
      <c r="I78" s="7"/>
      <c r="J78" s="7"/>
      <c r="K78" s="7"/>
      <c r="L78" s="7"/>
    </row>
    <row r="79" spans="3:27">
      <c r="C79" s="189" t="s">
        <v>134</v>
      </c>
      <c r="D79" s="189" t="s">
        <v>96</v>
      </c>
      <c r="E79" s="189">
        <f>ano_1</f>
        <v>2026</v>
      </c>
      <c r="F79" s="189">
        <f>E79+1</f>
        <v>2027</v>
      </c>
      <c r="G79" s="189">
        <f t="shared" ref="G79:I79" si="12">F79+1</f>
        <v>2028</v>
      </c>
      <c r="H79" s="189">
        <f t="shared" si="12"/>
        <v>2029</v>
      </c>
      <c r="I79" s="189">
        <f t="shared" si="12"/>
        <v>2030</v>
      </c>
      <c r="J79" s="189" t="s">
        <v>5</v>
      </c>
      <c r="K79" s="415" t="s">
        <v>97</v>
      </c>
      <c r="L79" s="416"/>
      <c r="M79" s="416"/>
      <c r="N79" s="416"/>
    </row>
    <row r="80" spans="3:27">
      <c r="C80" s="53" t="s">
        <v>353</v>
      </c>
      <c r="D80" s="382" t="s">
        <v>7</v>
      </c>
      <c r="E80" s="53">
        <v>62996684</v>
      </c>
      <c r="F80" s="53">
        <v>62769664</v>
      </c>
      <c r="G80" s="53">
        <v>62524153</v>
      </c>
      <c r="H80" s="53">
        <v>62229610</v>
      </c>
      <c r="I80" s="53">
        <v>61858979</v>
      </c>
      <c r="J80" s="199">
        <f>SUM(E80:I80)</f>
        <v>312379090</v>
      </c>
      <c r="K80" s="414"/>
      <c r="L80" s="414"/>
      <c r="M80" s="414"/>
      <c r="N80" s="414"/>
    </row>
    <row r="81" spans="3:14">
      <c r="C81" s="53" t="s">
        <v>354</v>
      </c>
      <c r="D81" s="183">
        <v>6.1035399999999997E-2</v>
      </c>
      <c r="E81" s="199">
        <f>IF(D81&gt;0,E80*Parameters!$E6,0)</f>
        <v>3845027.8066135999</v>
      </c>
      <c r="F81" s="199">
        <f>IF(E81&gt;0,F80*Parameters!$E6,0)</f>
        <v>3831171.5501055997</v>
      </c>
      <c r="G81" s="199">
        <f>IF(F81&gt;0,G80*Parameters!$E6,0)</f>
        <v>3816186.6880162</v>
      </c>
      <c r="H81" s="199">
        <f>IF(G81&gt;0,H80*Parameters!$E6,0)</f>
        <v>3798209.1381939999</v>
      </c>
      <c r="I81" s="199">
        <f>IF(H81&gt;0,I80*Parameters!$E6,0)</f>
        <v>3775587.5268565998</v>
      </c>
      <c r="J81" s="199">
        <f t="shared" ref="J81:J88" si="13">SUM(E81:I81)</f>
        <v>19066182.709786002</v>
      </c>
      <c r="K81" s="414"/>
      <c r="L81" s="414"/>
      <c r="M81" s="414"/>
      <c r="N81" s="414"/>
    </row>
    <row r="82" spans="3:14">
      <c r="C82" s="53" t="s">
        <v>355</v>
      </c>
      <c r="D82" s="183">
        <v>0.94693200663349919</v>
      </c>
      <c r="E82" s="199">
        <f>IF(D82&gt;0,E81*Parameters!$E7,0)</f>
        <v>3640979.896478218</v>
      </c>
      <c r="F82" s="199">
        <f>IF(E82&gt;0,F81*Parameters!$E7,0)</f>
        <v>3627858.9636986689</v>
      </c>
      <c r="G82" s="199">
        <f>IF(F82&gt;0,G81*Parameters!$E7,0)</f>
        <v>3613669.3181712274</v>
      </c>
      <c r="H82" s="199">
        <f>IF(G82&gt;0,H81*Parameters!$E7,0)</f>
        <v>3596645.800843738</v>
      </c>
      <c r="I82" s="199">
        <f>IF(H82&gt;0,I81*Parameters!$E7,0)</f>
        <v>3575224.6730267308</v>
      </c>
      <c r="J82" s="199">
        <f t="shared" si="13"/>
        <v>18054378.652218584</v>
      </c>
      <c r="K82" s="414"/>
      <c r="L82" s="414"/>
      <c r="M82" s="414"/>
      <c r="N82" s="414"/>
    </row>
    <row r="83" spans="3:14">
      <c r="C83" s="53" t="s">
        <v>356</v>
      </c>
      <c r="D83" s="183">
        <v>0.61499999999999999</v>
      </c>
      <c r="E83" s="199">
        <f>IF(D83&gt;0,E82*Parameters!$E8,0)</f>
        <v>2239202.636334104</v>
      </c>
      <c r="F83" s="199">
        <f>IF(E83&gt;0,F82*Parameters!$E8,0)</f>
        <v>2231133.2626746814</v>
      </c>
      <c r="G83" s="199">
        <f>IF(F83&gt;0,G82*Parameters!$E8,0)</f>
        <v>2222406.6306753047</v>
      </c>
      <c r="H83" s="199">
        <f>IF(G83&gt;0,H82*Parameters!$E8,0)</f>
        <v>2211937.1675188988</v>
      </c>
      <c r="I83" s="199">
        <f>IF(H83&gt;0,I82*Parameters!$E8,0)</f>
        <v>2198763.1739114393</v>
      </c>
      <c r="J83" s="199">
        <f t="shared" si="13"/>
        <v>11103442.871114427</v>
      </c>
      <c r="K83" s="414"/>
      <c r="L83" s="414"/>
      <c r="M83" s="414"/>
      <c r="N83" s="414"/>
    </row>
    <row r="84" spans="3:14">
      <c r="C84" s="53" t="s">
        <v>357</v>
      </c>
      <c r="D84" s="183">
        <v>0.39579684763572681</v>
      </c>
      <c r="E84" s="199">
        <f>IF(D84&gt;0,E83*Parameters!$E9,0)</f>
        <v>886269.34467864712</v>
      </c>
      <c r="F84" s="199">
        <f>IF(E84&gt;0,F83*Parameters!$E9,0)</f>
        <v>883075.51202185289</v>
      </c>
      <c r="G84" s="199">
        <f>IF(F84&gt;0,G83*Parameters!$E9,0)</f>
        <v>879621.53858602257</v>
      </c>
      <c r="H84" s="199">
        <f>IF(G84&gt;0,H83*Parameters!$E9,0)</f>
        <v>875477.7580722787</v>
      </c>
      <c r="I84" s="199">
        <f>IF(H84&gt;0,I83*Parameters!$E9,0)</f>
        <v>870263.53293167299</v>
      </c>
      <c r="J84" s="199">
        <f t="shared" si="13"/>
        <v>4394707.6862904746</v>
      </c>
      <c r="K84" s="414"/>
      <c r="L84" s="414"/>
      <c r="M84" s="414"/>
      <c r="N84" s="414"/>
    </row>
    <row r="85" spans="3:14">
      <c r="C85" s="53" t="s">
        <v>358</v>
      </c>
      <c r="D85" s="183">
        <v>0.35099999999999998</v>
      </c>
      <c r="E85" s="199">
        <f>IF(D85&gt;0,E84*Parameters!$E10,0)</f>
        <v>311080.53998220514</v>
      </c>
      <c r="F85" s="199">
        <f>IF(E85&gt;0,F84*Parameters!$E10,0)</f>
        <v>309959.50471967034</v>
      </c>
      <c r="G85" s="199">
        <f>IF(F85&gt;0,G84*Parameters!$E10,0)</f>
        <v>308747.1600436939</v>
      </c>
      <c r="H85" s="199">
        <f>IF(G85&gt;0,H84*Parameters!$E10,0)</f>
        <v>307292.69308336981</v>
      </c>
      <c r="I85" s="199">
        <f>IF(H85&gt;0,I84*Parameters!$E10,0)</f>
        <v>305462.50005901721</v>
      </c>
      <c r="J85" s="199">
        <f t="shared" si="13"/>
        <v>1542542.3978879564</v>
      </c>
      <c r="K85" s="414"/>
      <c r="L85" s="414"/>
      <c r="M85" s="414"/>
      <c r="N85" s="414"/>
    </row>
    <row r="86" spans="3:14">
      <c r="C86" s="53"/>
      <c r="D86" s="183"/>
      <c r="E86" s="199">
        <f>IF(D86&gt;0,E85*Parameters!$E11,0)</f>
        <v>0</v>
      </c>
      <c r="F86" s="199">
        <f>IF(E86&gt;0,F85*Parameters!$E11,0)</f>
        <v>0</v>
      </c>
      <c r="G86" s="199">
        <f>IF(F86&gt;0,G85*Parameters!$E11,0)</f>
        <v>0</v>
      </c>
      <c r="H86" s="199">
        <f>IF(G86&gt;0,H85*Parameters!$E11,0)</f>
        <v>0</v>
      </c>
      <c r="I86" s="199">
        <f>IF(H86&gt;0,I85*Parameters!$E11,0)</f>
        <v>0</v>
      </c>
      <c r="J86" s="199">
        <f t="shared" si="13"/>
        <v>0</v>
      </c>
      <c r="K86" s="414"/>
      <c r="L86" s="414"/>
      <c r="M86" s="414"/>
      <c r="N86" s="414"/>
    </row>
    <row r="87" spans="3:14">
      <c r="C87" s="53"/>
      <c r="D87" s="183"/>
      <c r="E87" s="199">
        <f>IF(D87&gt;0,E86*Parameters!$E12,0)</f>
        <v>0</v>
      </c>
      <c r="F87" s="199">
        <f>IF(E87&gt;0,F86*Parameters!$E12,0)</f>
        <v>0</v>
      </c>
      <c r="G87" s="199">
        <f>IF(F87&gt;0,G86*Parameters!$E12,0)</f>
        <v>0</v>
      </c>
      <c r="H87" s="199">
        <f>IF(G87&gt;0,H86*Parameters!$E12,0)</f>
        <v>0</v>
      </c>
      <c r="I87" s="199">
        <f>IF(H87&gt;0,I86*Parameters!$E12,0)</f>
        <v>0</v>
      </c>
      <c r="J87" s="199">
        <f t="shared" si="13"/>
        <v>0</v>
      </c>
      <c r="K87" s="414"/>
      <c r="L87" s="414"/>
      <c r="M87" s="414"/>
      <c r="N87" s="414"/>
    </row>
    <row r="88" spans="3:14">
      <c r="C88" s="53"/>
      <c r="D88" s="183"/>
      <c r="E88" s="199">
        <f>IF(D88&gt;0,E87*Parameters!$E13,0)</f>
        <v>0</v>
      </c>
      <c r="F88" s="199">
        <f>IF(E88&gt;0,F87*Parameters!$E13,0)</f>
        <v>0</v>
      </c>
      <c r="G88" s="199">
        <f>IF(F88&gt;0,G87*Parameters!$E13,0)</f>
        <v>0</v>
      </c>
      <c r="H88" s="199">
        <f>IF(G88&gt;0,H87*Parameters!$E13,0)</f>
        <v>0</v>
      </c>
      <c r="I88" s="199">
        <f>IF(H88&gt;0,I87*Parameters!$E13,0)</f>
        <v>0</v>
      </c>
      <c r="J88" s="199">
        <f t="shared" si="13"/>
        <v>0</v>
      </c>
      <c r="K88" s="414"/>
      <c r="L88" s="414"/>
      <c r="M88" s="414"/>
      <c r="N88" s="414"/>
    </row>
    <row r="89" spans="3:14" ht="15.6">
      <c r="C89" s="201" t="s">
        <v>6</v>
      </c>
      <c r="D89" s="201"/>
      <c r="E89" s="383">
        <f>IF(E81=0,E80,IF(E82=0,E81,IF(E83=0,E82,IF(E84=0,E83,IF(E85=0,E84,IF(E86=0,E85,IF(E87=0,E86,IF(E88=0,E87,E88))))))))</f>
        <v>311080.53998220514</v>
      </c>
      <c r="F89" s="383">
        <f t="shared" ref="F89:I89" si="14">IF(F81=0,F80,IF(F82=0,F81,IF(F83=0,F82,IF(F84=0,F83,IF(F85=0,F84,IF(F86=0,F85,IF(F87=0,F86,IF(F88=0,F87,F88))))))))</f>
        <v>309959.50471967034</v>
      </c>
      <c r="G89" s="383">
        <f>IF(G81=0,G80,IF(G82=0,G81,IF(G83=0,G82,IF(G84=0,G83,IF(G85=0,G84,IF(G86=0,G85,IF(G87=0,G86,IF(G88=0,G87,G88))))))))</f>
        <v>308747.1600436939</v>
      </c>
      <c r="H89" s="383">
        <f t="shared" si="14"/>
        <v>307292.69308336981</v>
      </c>
      <c r="I89" s="383">
        <f t="shared" si="14"/>
        <v>305462.50005901721</v>
      </c>
      <c r="J89" s="7"/>
      <c r="K89" s="7"/>
      <c r="L89" s="7"/>
    </row>
    <row r="90" spans="3:14">
      <c r="C90" s="7"/>
      <c r="D90" s="7"/>
      <c r="E90" s="2"/>
      <c r="F90" s="7"/>
      <c r="G90" s="7"/>
      <c r="H90" s="7"/>
      <c r="I90" s="7"/>
      <c r="J90" s="7"/>
      <c r="K90" s="7"/>
      <c r="L90" s="7"/>
    </row>
    <row r="91" spans="3:14">
      <c r="C91" s="7"/>
      <c r="D91" s="7"/>
      <c r="E91" s="7"/>
      <c r="F91" s="7"/>
      <c r="G91" s="7"/>
      <c r="H91" s="7"/>
      <c r="I91" s="7"/>
      <c r="J91" s="7"/>
      <c r="K91" s="7"/>
      <c r="L91" s="7"/>
    </row>
    <row r="92" spans="3:14">
      <c r="C92" s="7"/>
      <c r="D92" s="7"/>
      <c r="E92" s="7"/>
      <c r="F92" s="7"/>
      <c r="G92" s="7"/>
      <c r="H92" s="7"/>
      <c r="I92" s="7"/>
      <c r="J92" s="7"/>
      <c r="K92" s="7"/>
      <c r="L92" s="7"/>
    </row>
    <row r="101" spans="2:31" s="1" customFormat="1">
      <c r="C101" s="7"/>
      <c r="D101" s="7"/>
      <c r="E101" s="7"/>
      <c r="F101" s="7"/>
      <c r="G101" s="7"/>
      <c r="H101" s="7"/>
      <c r="I101" s="7"/>
      <c r="J101" s="7"/>
      <c r="K101" s="7"/>
      <c r="L101" s="7"/>
      <c r="M101" s="142"/>
      <c r="N101" s="142"/>
      <c r="Q101" s="27"/>
      <c r="R101" s="27"/>
      <c r="S101" s="27"/>
      <c r="T101" s="27"/>
      <c r="U101" s="27"/>
      <c r="V101" s="27"/>
      <c r="X101" s="27"/>
      <c r="Y101" s="27"/>
      <c r="Z101" s="27"/>
      <c r="AA101" s="27"/>
      <c r="AB101" s="27"/>
      <c r="AC101" s="27"/>
      <c r="AE101" s="27"/>
    </row>
    <row r="102" spans="2:31" s="1" customFormat="1">
      <c r="C102" s="65"/>
      <c r="D102" s="65"/>
      <c r="E102" s="65"/>
      <c r="F102" s="65"/>
      <c r="G102" s="65"/>
      <c r="H102" s="65"/>
      <c r="I102" s="65"/>
      <c r="J102" s="65"/>
      <c r="K102" s="65"/>
      <c r="L102" s="65"/>
      <c r="M102" s="65"/>
      <c r="N102" s="65"/>
      <c r="Q102" s="27"/>
      <c r="R102" s="27"/>
      <c r="S102" s="27"/>
      <c r="T102" s="27"/>
      <c r="U102" s="27"/>
      <c r="V102" s="27"/>
      <c r="X102" s="27"/>
      <c r="Y102" s="27"/>
      <c r="Z102" s="27"/>
      <c r="AA102" s="27"/>
      <c r="AB102" s="27"/>
      <c r="AC102" s="27"/>
      <c r="AE102" s="27"/>
    </row>
    <row r="103" spans="2:31" s="1" customFormat="1">
      <c r="C103" s="406" t="s">
        <v>224</v>
      </c>
      <c r="D103" s="406"/>
      <c r="E103" s="406"/>
      <c r="F103" s="406"/>
      <c r="G103" s="406"/>
      <c r="H103" s="406"/>
      <c r="I103" s="406"/>
      <c r="J103" s="406"/>
      <c r="K103" s="406"/>
      <c r="L103" s="406"/>
      <c r="M103" s="406"/>
      <c r="N103" s="406"/>
      <c r="Q103" s="27"/>
      <c r="R103" s="27"/>
      <c r="S103" s="27"/>
      <c r="T103" s="27"/>
      <c r="U103" s="27"/>
      <c r="V103" s="27"/>
      <c r="X103" s="27"/>
      <c r="Y103" s="27"/>
      <c r="Z103" s="27"/>
      <c r="AA103" s="27"/>
      <c r="AB103" s="27"/>
      <c r="AC103" s="27"/>
      <c r="AE103" s="27"/>
    </row>
    <row r="104" spans="2:31" s="1" customFormat="1">
      <c r="C104" s="406"/>
      <c r="D104" s="406"/>
      <c r="E104" s="406"/>
      <c r="F104" s="406"/>
      <c r="G104" s="406"/>
      <c r="H104" s="406"/>
      <c r="I104" s="406"/>
      <c r="J104" s="406"/>
      <c r="K104" s="406"/>
      <c r="L104" s="406"/>
      <c r="M104" s="406"/>
      <c r="N104" s="406"/>
      <c r="Q104" s="27"/>
      <c r="R104" s="27"/>
      <c r="S104" s="27"/>
      <c r="T104" s="27"/>
      <c r="U104" s="27"/>
      <c r="V104" s="27"/>
      <c r="X104" s="27"/>
      <c r="Y104" s="27"/>
      <c r="Z104" s="27"/>
      <c r="AA104" s="27"/>
      <c r="AB104" s="27"/>
      <c r="AC104" s="27"/>
      <c r="AE104" s="27"/>
    </row>
    <row r="105" spans="2:31" s="1" customFormat="1" ht="85.95" customHeight="1">
      <c r="B105" s="405" t="e" vm="1">
        <v>#VALUE!</v>
      </c>
      <c r="C105" s="405"/>
      <c r="D105" s="405"/>
      <c r="E105" s="405"/>
      <c r="F105" s="405"/>
      <c r="G105" s="405"/>
      <c r="H105" s="405"/>
      <c r="I105" s="405"/>
      <c r="J105" s="405"/>
      <c r="K105" s="405"/>
      <c r="L105" s="405"/>
      <c r="M105" s="405"/>
    </row>
  </sheetData>
  <sheetProtection algorithmName="SHA-512" hashValue="dE3ASO+kjKrao6I5s8Ig4h59VqWglAMtaiFnW865aJeLW6j2THTlU6P/DnFeHakwWIfynYtiLYULskpkoOGJ2w==" saltValue="tdnBt3C62pnFrmzf/d1ZEg==" spinCount="100000" sheet="1" scenarios="1" formatCells="0" formatColumns="0" formatRows="0"/>
  <mergeCells count="22">
    <mergeCell ref="C62:C63"/>
    <mergeCell ref="D56:E56"/>
    <mergeCell ref="C59:C60"/>
    <mergeCell ref="E9:I9"/>
    <mergeCell ref="E10:I14"/>
    <mergeCell ref="E15:I15"/>
    <mergeCell ref="C26:C27"/>
    <mergeCell ref="C45:C46"/>
    <mergeCell ref="C17:C18"/>
    <mergeCell ref="C14:C15"/>
    <mergeCell ref="K79:N79"/>
    <mergeCell ref="K80:N80"/>
    <mergeCell ref="K81:N81"/>
    <mergeCell ref="K82:N82"/>
    <mergeCell ref="K83:N83"/>
    <mergeCell ref="C103:N104"/>
    <mergeCell ref="B105:M105"/>
    <mergeCell ref="K84:N84"/>
    <mergeCell ref="K85:N85"/>
    <mergeCell ref="K86:N86"/>
    <mergeCell ref="K87:N87"/>
    <mergeCell ref="K88:N88"/>
  </mergeCells>
  <conditionalFormatting sqref="E18">
    <cfRule type="expression" dxfId="42" priority="2">
      <formula>IF($H$42=2,TRUE,FALSE)</formula>
    </cfRule>
  </conditionalFormatting>
  <dataValidations count="5">
    <dataValidation type="list" allowBlank="1" showInputMessage="1" showErrorMessage="1" sqref="D38 D40" xr:uid="{E626B6E8-96A2-4016-BB1F-8B613AF4CD7D}">
      <formula1>"2010,2011,2012,2013,2014,2015,2016,2017,2018,2019,2020,2021,2022,2023,2024,2025,"</formula1>
    </dataValidation>
    <dataValidation type="list" allowBlank="1" showInputMessage="1" showErrorMessage="1" sqref="E9:I9" xr:uid="{79E29FF1-74C1-4361-BD06-E990110B8FF5}">
      <formula1>"Enter data manually,Observed demand,Epidemiological method"</formula1>
    </dataValidation>
    <dataValidation type="list" allowBlank="1" showInputMessage="1" showErrorMessage="1" sqref="E15:I15" xr:uid="{BD495506-6F4E-B348-A9A0-B81F297F8BCF}">
      <mc:AlternateContent xmlns:x12ac="http://schemas.microsoft.com/office/spreadsheetml/2011/1/ac" xmlns:mc="http://schemas.openxmlformats.org/markup-compatibility/2006">
        <mc:Choice Requires="x12ac">
          <x12ac:list>"Yes, it represents incidence"," No, it represents prevalence"</x12ac:list>
        </mc:Choice>
        <mc:Fallback>
          <formula1>"Yes, it represents incidence, No, it represents prevalence"</formula1>
        </mc:Fallback>
      </mc:AlternateContent>
    </dataValidation>
    <dataValidation type="list" allowBlank="1" showInputMessage="1" showErrorMessage="1" sqref="D56:E56" xr:uid="{0D635DAF-5798-C845-B080-F7963A74B523}">
      <formula1>"Linear projection,Mean projection"</formula1>
    </dataValidation>
    <dataValidation type="list" allowBlank="1" showInputMessage="1" showErrorMessage="1" sqref="E18" xr:uid="{B564552F-24C9-0649-8D40-7D35E97FF8B9}">
      <formula1>"Yes,No"</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8389F-77A5-4537-81D7-C67306867901}">
  <sheetPr codeName="Planilha6">
    <tabColor rgb="FFDDCFAD"/>
  </sheetPr>
  <dimension ref="A1:X232"/>
  <sheetViews>
    <sheetView showGridLines="0" showRowColHeaders="0" topLeftCell="A46" zoomScaleNormal="100" workbookViewId="0">
      <selection activeCell="D63" sqref="D63:E63"/>
    </sheetView>
  </sheetViews>
  <sheetFormatPr defaultColWidth="8.77734375" defaultRowHeight="14.4"/>
  <cols>
    <col min="1" max="1" width="5.44140625" style="180" customWidth="1"/>
    <col min="2" max="2" width="21.44140625" style="180" customWidth="1"/>
    <col min="3" max="3" width="16.6640625" style="262" customWidth="1"/>
    <col min="4" max="4" width="17.6640625" style="263" customWidth="1"/>
    <col min="5" max="5" width="17.6640625" style="262" customWidth="1"/>
    <col min="6" max="9" width="17.6640625" style="180" customWidth="1"/>
    <col min="10" max="10" width="27.44140625" style="180" customWidth="1"/>
    <col min="11" max="12" width="6.77734375" style="180" customWidth="1"/>
    <col min="13" max="13" width="6.77734375" style="259" customWidth="1"/>
    <col min="14" max="14" width="6.77734375" style="258" customWidth="1"/>
    <col min="15" max="15" width="17.33203125" style="259" customWidth="1"/>
    <col min="16" max="18" width="17.33203125" style="258" customWidth="1"/>
    <col min="19" max="19" width="17.33203125" style="260" customWidth="1"/>
    <col min="20" max="20" width="16.6640625" style="258" customWidth="1"/>
    <col min="21" max="21" width="19.6640625" style="180" customWidth="1"/>
    <col min="22" max="22" width="44.77734375" style="180" customWidth="1"/>
    <col min="23" max="23" width="3.77734375" style="180" customWidth="1"/>
    <col min="24" max="24" width="8.77734375" style="261" customWidth="1"/>
    <col min="25" max="38" width="8.77734375" style="180" customWidth="1"/>
    <col min="39" max="16384" width="8.77734375" style="180"/>
  </cols>
  <sheetData>
    <row r="1" spans="1:24" s="130" customFormat="1" ht="33.6">
      <c r="A1" s="127"/>
      <c r="B1" s="128" t="str">
        <f>Introduction!$B$1</f>
        <v>Budget impact analysis of Intrauterine device levonorgestrel for treatment of Leiomioma presenting with heavy bleeding</v>
      </c>
      <c r="C1" s="128"/>
      <c r="D1" s="129"/>
      <c r="E1" s="127"/>
      <c r="F1" s="127"/>
      <c r="G1" s="127"/>
      <c r="H1" s="127"/>
      <c r="I1" s="127"/>
      <c r="J1" s="127"/>
      <c r="K1" s="127"/>
      <c r="L1" s="127"/>
      <c r="M1" s="127"/>
      <c r="N1" s="127"/>
      <c r="O1" s="127"/>
      <c r="P1" s="127"/>
      <c r="Q1" s="127"/>
      <c r="R1" s="127"/>
      <c r="S1" s="127"/>
      <c r="T1" s="127"/>
      <c r="U1" s="127"/>
      <c r="V1" s="127"/>
      <c r="W1" s="127"/>
      <c r="X1" s="231"/>
    </row>
    <row r="2" spans="1:24" s="130" customFormat="1" ht="18">
      <c r="A2" s="127"/>
      <c r="B2" s="131"/>
      <c r="C2" s="131"/>
      <c r="D2" s="132"/>
      <c r="E2" s="133"/>
      <c r="F2" s="133"/>
      <c r="G2" s="133"/>
      <c r="H2" s="133"/>
      <c r="I2" s="133"/>
      <c r="J2" s="133"/>
      <c r="K2" s="127"/>
      <c r="L2" s="127"/>
      <c r="M2" s="127"/>
      <c r="N2" s="127"/>
      <c r="O2" s="127"/>
      <c r="P2" s="127"/>
      <c r="Q2" s="127"/>
      <c r="R2" s="127"/>
      <c r="S2" s="127"/>
      <c r="T2" s="127"/>
      <c r="U2" s="127"/>
      <c r="V2" s="127"/>
      <c r="W2" s="127"/>
      <c r="X2" s="231"/>
    </row>
    <row r="3" spans="1:24" s="134" customFormat="1" ht="2.25" customHeight="1">
      <c r="D3" s="135"/>
      <c r="X3" s="232"/>
    </row>
    <row r="4" spans="1:24" s="3" customFormat="1">
      <c r="A4" s="233"/>
      <c r="B4" s="9"/>
      <c r="C4" s="11"/>
      <c r="D4" s="234"/>
      <c r="E4" s="11"/>
      <c r="F4" s="233"/>
      <c r="G4" s="233"/>
      <c r="H4" s="233"/>
      <c r="I4" s="233"/>
      <c r="J4" s="233"/>
      <c r="K4" s="233"/>
      <c r="L4" s="233"/>
      <c r="M4" s="235"/>
      <c r="N4" s="236"/>
      <c r="O4" s="235"/>
      <c r="P4" s="236"/>
      <c r="Q4" s="236"/>
      <c r="R4" s="236"/>
      <c r="S4" s="237"/>
      <c r="T4" s="236"/>
      <c r="U4" s="233"/>
      <c r="V4" s="233"/>
      <c r="W4" s="233"/>
      <c r="X4" s="238"/>
    </row>
    <row r="5" spans="1:24" s="3" customFormat="1">
      <c r="A5" s="233"/>
      <c r="B5" s="9"/>
      <c r="C5" s="9"/>
      <c r="D5" s="9"/>
      <c r="E5" s="11"/>
      <c r="F5" s="233"/>
      <c r="G5" s="233"/>
      <c r="H5" s="233"/>
      <c r="I5" s="233"/>
      <c r="J5" s="233"/>
      <c r="K5" s="233"/>
      <c r="L5" s="233"/>
      <c r="M5" s="235"/>
      <c r="N5" s="236"/>
      <c r="O5" s="235"/>
      <c r="P5" s="236"/>
      <c r="Q5" s="236"/>
      <c r="R5" s="236"/>
      <c r="S5" s="237"/>
      <c r="T5" s="236"/>
      <c r="U5" s="233"/>
      <c r="V5" s="233"/>
      <c r="W5" s="233"/>
      <c r="X5" s="238"/>
    </row>
    <row r="6" spans="1:24" s="3" customFormat="1">
      <c r="A6" s="233"/>
      <c r="B6" s="9"/>
      <c r="C6" s="9"/>
      <c r="D6" s="9"/>
      <c r="E6" s="11"/>
      <c r="F6" s="233"/>
      <c r="G6" s="233"/>
      <c r="H6" s="233"/>
      <c r="I6" s="233"/>
      <c r="J6" s="233"/>
      <c r="K6" s="233"/>
      <c r="L6" s="233"/>
      <c r="M6" s="235"/>
      <c r="N6" s="236"/>
      <c r="O6" s="235"/>
      <c r="P6" s="236"/>
      <c r="Q6" s="236"/>
      <c r="R6" s="236"/>
      <c r="S6" s="237"/>
      <c r="T6" s="236"/>
      <c r="U6" s="233"/>
      <c r="V6" s="233"/>
      <c r="W6" s="233"/>
      <c r="X6" s="238"/>
    </row>
    <row r="7" spans="1:24" s="3" customFormat="1">
      <c r="A7" s="233"/>
      <c r="B7" s="9"/>
      <c r="C7" s="9"/>
      <c r="D7" s="9"/>
      <c r="E7" s="11"/>
      <c r="F7" s="233"/>
      <c r="G7" s="233"/>
      <c r="H7" s="233"/>
      <c r="I7" s="233"/>
      <c r="J7" s="233"/>
      <c r="K7" s="233"/>
      <c r="L7" s="233"/>
      <c r="M7" s="235"/>
      <c r="N7" s="236"/>
      <c r="O7" s="235"/>
      <c r="P7" s="236"/>
      <c r="Q7" s="236"/>
      <c r="R7" s="236"/>
      <c r="S7" s="237"/>
      <c r="T7" s="236"/>
      <c r="U7" s="233"/>
      <c r="V7" s="233"/>
      <c r="W7" s="233"/>
      <c r="X7" s="238"/>
    </row>
    <row r="8" spans="1:24" s="3" customFormat="1">
      <c r="A8" s="233"/>
      <c r="B8" s="9"/>
      <c r="C8" s="9"/>
      <c r="D8" s="9"/>
      <c r="E8" s="11"/>
      <c r="F8" s="233"/>
      <c r="G8" s="233"/>
      <c r="H8" s="233"/>
      <c r="I8" s="233"/>
      <c r="J8" s="233"/>
      <c r="K8" s="233"/>
      <c r="L8" s="233"/>
      <c r="M8" s="235"/>
      <c r="N8" s="236"/>
      <c r="O8" s="235"/>
      <c r="P8" s="236"/>
      <c r="Q8" s="236"/>
      <c r="R8" s="236"/>
      <c r="S8" s="237"/>
      <c r="T8" s="236"/>
      <c r="U8" s="233"/>
      <c r="V8" s="233"/>
      <c r="W8" s="233"/>
      <c r="X8" s="238"/>
    </row>
    <row r="9" spans="1:24" s="3" customFormat="1">
      <c r="A9" s="233"/>
      <c r="B9" s="9"/>
      <c r="C9" s="239"/>
      <c r="D9" s="9"/>
      <c r="E9" s="11"/>
      <c r="F9" s="233"/>
      <c r="G9" s="233"/>
      <c r="H9" s="233"/>
      <c r="I9" s="233"/>
      <c r="J9" s="233"/>
      <c r="K9" s="233"/>
      <c r="L9" s="233"/>
      <c r="M9" s="235"/>
      <c r="N9" s="236"/>
      <c r="O9" s="235"/>
      <c r="P9" s="236"/>
      <c r="Q9" s="236"/>
      <c r="R9" s="236"/>
      <c r="S9" s="237"/>
      <c r="T9" s="236"/>
      <c r="U9" s="233"/>
      <c r="V9" s="233"/>
      <c r="W9" s="233"/>
      <c r="X9" s="238"/>
    </row>
    <row r="10" spans="1:24" s="3" customFormat="1">
      <c r="A10" s="233"/>
      <c r="B10" s="9"/>
      <c r="C10" s="239"/>
      <c r="D10" s="9"/>
      <c r="E10" s="11"/>
      <c r="F10" s="233"/>
      <c r="G10" s="233"/>
      <c r="H10" s="233"/>
      <c r="I10" s="233"/>
      <c r="J10" s="233"/>
      <c r="K10" s="233"/>
      <c r="L10" s="233"/>
      <c r="M10" s="235"/>
      <c r="N10" s="236"/>
      <c r="O10" s="235"/>
      <c r="P10" s="236"/>
      <c r="Q10" s="236"/>
      <c r="R10" s="236"/>
      <c r="S10" s="237"/>
      <c r="T10" s="236"/>
      <c r="U10" s="233"/>
      <c r="V10" s="233"/>
      <c r="W10" s="233"/>
      <c r="X10" s="238"/>
    </row>
    <row r="11" spans="1:24" s="3" customFormat="1">
      <c r="A11" s="233"/>
      <c r="B11" s="9"/>
      <c r="C11" s="239"/>
      <c r="D11" s="9"/>
      <c r="E11" s="11"/>
      <c r="F11" s="233"/>
      <c r="G11" s="233"/>
      <c r="H11" s="233"/>
      <c r="I11" s="233"/>
      <c r="J11" s="233"/>
      <c r="K11" s="233"/>
      <c r="L11" s="233"/>
      <c r="M11" s="235"/>
      <c r="N11" s="236"/>
      <c r="O11" s="235"/>
      <c r="P11" s="236"/>
      <c r="Q11" s="236"/>
      <c r="R11" s="236"/>
      <c r="S11" s="237"/>
      <c r="T11" s="236"/>
      <c r="U11" s="233"/>
      <c r="V11" s="233"/>
      <c r="W11" s="233"/>
      <c r="X11" s="238"/>
    </row>
    <row r="12" spans="1:24" s="3" customFormat="1">
      <c r="A12" s="233"/>
      <c r="B12" s="9"/>
      <c r="C12" s="239"/>
      <c r="D12" s="234"/>
      <c r="E12" s="11"/>
      <c r="F12" s="233"/>
      <c r="G12" s="233"/>
      <c r="H12" s="233"/>
      <c r="I12" s="233"/>
      <c r="J12" s="233"/>
      <c r="K12" s="233"/>
      <c r="L12" s="233"/>
      <c r="M12" s="235"/>
      <c r="N12" s="236"/>
      <c r="O12" s="235"/>
      <c r="P12" s="236"/>
      <c r="Q12" s="236"/>
      <c r="R12" s="236"/>
      <c r="S12" s="237"/>
      <c r="T12" s="236"/>
      <c r="U12" s="233"/>
      <c r="V12" s="233"/>
      <c r="W12" s="233"/>
      <c r="X12" s="238"/>
    </row>
    <row r="13" spans="1:24" s="3" customFormat="1">
      <c r="A13" s="233"/>
      <c r="B13" s="9"/>
      <c r="C13" s="239"/>
      <c r="D13" s="234"/>
      <c r="E13" s="11"/>
      <c r="F13" s="233"/>
      <c r="G13" s="233"/>
      <c r="H13" s="233"/>
      <c r="I13" s="233"/>
      <c r="J13" s="233"/>
      <c r="K13" s="233"/>
      <c r="L13" s="233"/>
      <c r="M13" s="235"/>
      <c r="N13" s="236"/>
      <c r="O13" s="235"/>
      <c r="P13" s="236"/>
      <c r="Q13" s="236"/>
      <c r="R13" s="236"/>
      <c r="S13" s="237"/>
      <c r="T13" s="236"/>
      <c r="U13" s="233"/>
      <c r="V13" s="233"/>
      <c r="W13" s="233"/>
      <c r="X13" s="238"/>
    </row>
    <row r="14" spans="1:24" s="3" customFormat="1">
      <c r="A14" s="233"/>
      <c r="B14" s="9"/>
      <c r="C14" s="239"/>
      <c r="D14" s="234"/>
      <c r="E14" s="11"/>
      <c r="F14" s="233"/>
      <c r="G14" s="233"/>
      <c r="H14" s="233"/>
      <c r="I14" s="233"/>
      <c r="J14" s="233"/>
      <c r="K14" s="233"/>
      <c r="L14" s="233"/>
      <c r="M14" s="235"/>
      <c r="N14" s="236"/>
      <c r="O14" s="235"/>
      <c r="P14" s="236"/>
      <c r="Q14" s="236"/>
      <c r="R14" s="236"/>
      <c r="S14" s="237"/>
      <c r="T14" s="236"/>
      <c r="U14" s="233"/>
      <c r="V14" s="233"/>
      <c r="W14" s="233"/>
      <c r="X14" s="238"/>
    </row>
    <row r="15" spans="1:24" s="3" customFormat="1">
      <c r="A15" s="233"/>
      <c r="B15" s="9"/>
      <c r="C15" s="239"/>
      <c r="D15" s="234"/>
      <c r="E15" s="11"/>
      <c r="F15" s="233"/>
      <c r="G15" s="233"/>
      <c r="H15" s="233"/>
      <c r="I15" s="233"/>
      <c r="J15" s="233"/>
      <c r="K15" s="233"/>
      <c r="L15" s="233"/>
      <c r="M15" s="235"/>
      <c r="N15" s="236"/>
      <c r="O15" s="235"/>
      <c r="P15" s="236"/>
      <c r="Q15" s="236"/>
      <c r="R15" s="236"/>
      <c r="S15" s="237"/>
      <c r="T15" s="236"/>
      <c r="U15" s="233"/>
      <c r="V15" s="233"/>
      <c r="W15" s="233"/>
      <c r="X15" s="238"/>
    </row>
    <row r="16" spans="1:24" s="3" customFormat="1" ht="18">
      <c r="A16" s="233"/>
      <c r="B16" s="9"/>
      <c r="C16" s="239"/>
      <c r="D16" s="234"/>
      <c r="E16" s="11"/>
      <c r="F16" s="233"/>
      <c r="G16" s="233"/>
      <c r="H16" s="233"/>
      <c r="I16" s="233"/>
      <c r="J16" s="233"/>
      <c r="K16" s="233"/>
      <c r="L16" s="240"/>
      <c r="M16" s="235"/>
      <c r="N16" s="236"/>
      <c r="O16" s="235"/>
      <c r="P16" s="236"/>
      <c r="Q16" s="236"/>
      <c r="R16" s="236"/>
      <c r="S16" s="237"/>
      <c r="T16" s="236"/>
      <c r="U16" s="233"/>
      <c r="V16" s="233"/>
      <c r="W16" s="233"/>
      <c r="X16" s="238"/>
    </row>
    <row r="17" spans="1:24" s="3" customFormat="1">
      <c r="A17" s="233"/>
      <c r="B17" s="9"/>
      <c r="C17" s="239"/>
      <c r="D17" s="234"/>
      <c r="E17" s="11"/>
      <c r="F17" s="233"/>
      <c r="G17" s="233"/>
      <c r="H17" s="233"/>
      <c r="I17" s="233"/>
      <c r="J17" s="233"/>
      <c r="K17" s="233"/>
      <c r="L17"/>
      <c r="M17" s="235"/>
      <c r="N17" s="236"/>
      <c r="O17" s="235"/>
      <c r="P17" s="236"/>
      <c r="Q17" s="236"/>
      <c r="R17" s="236"/>
      <c r="S17" s="237"/>
      <c r="T17" s="236"/>
      <c r="U17" s="233"/>
      <c r="V17" s="233"/>
      <c r="W17" s="233"/>
      <c r="X17" s="238"/>
    </row>
    <row r="18" spans="1:24" s="3" customFormat="1">
      <c r="A18" s="233"/>
      <c r="B18" s="9"/>
      <c r="C18" s="239"/>
      <c r="D18" s="234"/>
      <c r="E18" s="11"/>
      <c r="F18" s="233"/>
      <c r="G18" s="233"/>
      <c r="H18" s="233"/>
      <c r="I18" s="233"/>
      <c r="J18"/>
      <c r="K18" s="233"/>
      <c r="L18" s="241"/>
      <c r="M18" s="235"/>
      <c r="N18" s="236"/>
      <c r="O18" s="235"/>
      <c r="P18" s="236"/>
      <c r="Q18" s="236"/>
      <c r="R18" s="236"/>
      <c r="S18" s="237"/>
      <c r="T18" s="236"/>
      <c r="U18" s="233"/>
      <c r="V18" s="233"/>
      <c r="W18" s="233"/>
      <c r="X18" s="238"/>
    </row>
    <row r="19" spans="1:24" s="3" customFormat="1">
      <c r="A19" s="233"/>
      <c r="B19" s="239"/>
      <c r="C19" s="239"/>
      <c r="D19" s="234"/>
      <c r="E19" s="11"/>
      <c r="F19" s="233"/>
      <c r="G19" s="233"/>
      <c r="H19" s="233"/>
      <c r="I19" s="233"/>
      <c r="J19" s="233"/>
      <c r="K19" s="233"/>
      <c r="L19"/>
      <c r="M19" s="235"/>
      <c r="N19" s="236"/>
      <c r="O19" s="235"/>
      <c r="P19" s="236"/>
      <c r="Q19" s="236"/>
      <c r="R19" s="236"/>
      <c r="S19" s="237"/>
      <c r="T19" s="236"/>
      <c r="U19" s="233"/>
      <c r="V19" s="233"/>
      <c r="W19" s="233"/>
      <c r="X19" s="238"/>
    </row>
    <row r="20" spans="1:24" s="3" customFormat="1">
      <c r="A20" s="233"/>
      <c r="B20" s="239"/>
      <c r="C20" s="239"/>
      <c r="D20" s="234"/>
      <c r="E20" s="11"/>
      <c r="F20" s="233"/>
      <c r="G20" s="233"/>
      <c r="H20" s="233"/>
      <c r="I20" s="233"/>
      <c r="J20" s="233"/>
      <c r="K20" s="233"/>
      <c r="L20" s="241"/>
      <c r="M20" s="235"/>
      <c r="N20" s="236"/>
      <c r="O20" s="235"/>
      <c r="P20" s="236"/>
      <c r="Q20" s="236"/>
      <c r="R20" s="236"/>
      <c r="S20" s="237"/>
      <c r="T20" s="236"/>
      <c r="U20" s="233"/>
      <c r="V20" s="233"/>
      <c r="W20" s="233"/>
      <c r="X20" s="238"/>
    </row>
    <row r="21" spans="1:24" s="3" customFormat="1">
      <c r="A21" s="233"/>
      <c r="B21" s="239"/>
      <c r="C21" s="239"/>
      <c r="D21" s="234"/>
      <c r="E21" s="11"/>
      <c r="F21" s="233"/>
      <c r="G21" s="233"/>
      <c r="H21" s="233"/>
      <c r="I21" s="233"/>
      <c r="J21" s="233"/>
      <c r="K21" s="233"/>
      <c r="L21"/>
      <c r="M21" s="235"/>
      <c r="N21" s="236"/>
      <c r="O21" s="235"/>
      <c r="P21" s="236"/>
      <c r="Q21" s="236"/>
      <c r="R21" s="236"/>
      <c r="S21" s="237"/>
      <c r="T21" s="236"/>
      <c r="U21" s="233"/>
      <c r="V21" s="233"/>
      <c r="W21" s="233"/>
      <c r="X21" s="238"/>
    </row>
    <row r="22" spans="1:24" s="3" customFormat="1">
      <c r="A22" s="233"/>
      <c r="B22" s="239"/>
      <c r="C22" s="239"/>
      <c r="D22" s="234"/>
      <c r="E22" s="11"/>
      <c r="F22" s="233"/>
      <c r="G22" s="233"/>
      <c r="H22" s="233"/>
      <c r="I22" s="233"/>
      <c r="J22" s="233"/>
      <c r="K22" s="233"/>
      <c r="L22" s="241"/>
      <c r="M22" s="235"/>
      <c r="N22" s="236"/>
      <c r="O22" s="235"/>
      <c r="P22" s="236"/>
      <c r="Q22" s="236"/>
      <c r="R22" s="236"/>
      <c r="S22" s="237"/>
      <c r="T22" s="236"/>
      <c r="U22" s="233"/>
      <c r="V22" s="233"/>
      <c r="W22" s="233"/>
      <c r="X22" s="238"/>
    </row>
    <row r="23" spans="1:24" s="3" customFormat="1">
      <c r="A23" s="233"/>
      <c r="B23" s="9"/>
      <c r="C23" s="239"/>
      <c r="D23" s="234"/>
      <c r="E23" s="11"/>
      <c r="F23" s="233"/>
      <c r="G23" s="233"/>
      <c r="H23" s="233"/>
      <c r="I23" s="233"/>
      <c r="J23" s="233"/>
      <c r="K23" s="233"/>
      <c r="L23"/>
      <c r="M23" s="235"/>
      <c r="N23" s="236"/>
      <c r="O23" s="235"/>
      <c r="P23" s="236"/>
      <c r="Q23" s="236"/>
      <c r="R23" s="236"/>
      <c r="S23" s="237"/>
      <c r="T23" s="236"/>
      <c r="U23" s="233"/>
      <c r="V23" s="233"/>
      <c r="W23" s="233"/>
      <c r="X23" s="238"/>
    </row>
    <row r="24" spans="1:24" s="3" customFormat="1">
      <c r="A24" s="233"/>
      <c r="B24" s="9"/>
      <c r="C24" s="239"/>
      <c r="D24" s="234"/>
      <c r="E24" s="11"/>
      <c r="F24" s="233"/>
      <c r="G24" s="233"/>
      <c r="H24" s="233"/>
      <c r="I24" s="233"/>
      <c r="J24" s="233"/>
      <c r="K24" s="233"/>
      <c r="L24"/>
      <c r="M24" s="235"/>
      <c r="N24" s="236"/>
      <c r="O24" s="235"/>
      <c r="P24" s="236"/>
      <c r="Q24" s="236"/>
      <c r="R24" s="236"/>
      <c r="S24" s="237"/>
      <c r="T24" s="236"/>
      <c r="U24" s="233"/>
      <c r="V24" s="233"/>
      <c r="W24" s="233"/>
      <c r="X24" s="238"/>
    </row>
    <row r="25" spans="1:24" s="3" customFormat="1">
      <c r="A25" s="233"/>
      <c r="B25" s="9"/>
      <c r="C25" s="239"/>
      <c r="D25" s="234"/>
      <c r="E25" s="11"/>
      <c r="F25" s="233"/>
      <c r="G25" s="233"/>
      <c r="H25" s="233"/>
      <c r="I25" s="233"/>
      <c r="J25" s="233"/>
      <c r="K25" s="233"/>
      <c r="L25"/>
      <c r="M25" s="235"/>
      <c r="N25" s="236"/>
      <c r="O25" s="235"/>
      <c r="P25" s="236"/>
      <c r="Q25" s="236"/>
      <c r="R25" s="236"/>
      <c r="S25" s="237"/>
      <c r="T25" s="236"/>
      <c r="U25" s="233"/>
      <c r="V25" s="233"/>
      <c r="W25" s="233"/>
      <c r="X25" s="238"/>
    </row>
    <row r="26" spans="1:24" s="3" customFormat="1" ht="18">
      <c r="A26" s="233"/>
      <c r="B26" s="140" t="s">
        <v>158</v>
      </c>
      <c r="C26" s="11"/>
      <c r="D26" s="234"/>
      <c r="E26" s="11"/>
      <c r="F26" s="233"/>
      <c r="G26" s="233"/>
      <c r="H26" s="233"/>
      <c r="I26" s="233"/>
      <c r="J26" s="233"/>
      <c r="K26" s="233"/>
      <c r="L26" s="240"/>
      <c r="M26" s="235"/>
      <c r="N26" s="236"/>
      <c r="O26" s="235"/>
      <c r="P26" s="236"/>
      <c r="Q26" s="236"/>
      <c r="R26" s="236"/>
      <c r="S26" s="237"/>
      <c r="T26" s="236"/>
      <c r="U26" s="233"/>
      <c r="V26" s="233"/>
      <c r="W26" s="233"/>
      <c r="X26" s="238"/>
    </row>
    <row r="27" spans="1:24" s="3" customFormat="1">
      <c r="A27" s="233"/>
      <c r="B27" s="242" t="s">
        <v>159</v>
      </c>
      <c r="C27" s="11"/>
      <c r="D27" s="234"/>
      <c r="E27" s="11"/>
      <c r="F27" s="233"/>
      <c r="G27" s="233"/>
      <c r="H27" s="233"/>
      <c r="I27" s="233"/>
      <c r="J27" s="233"/>
      <c r="K27" s="233"/>
      <c r="L27"/>
      <c r="M27" s="235"/>
      <c r="N27" s="236"/>
      <c r="O27" s="235"/>
      <c r="P27" s="236"/>
      <c r="Q27" s="236"/>
      <c r="R27" s="236"/>
      <c r="S27" s="237"/>
      <c r="T27" s="236"/>
      <c r="U27" s="233"/>
      <c r="V27" s="233"/>
      <c r="W27" s="233"/>
      <c r="X27" s="238"/>
    </row>
    <row r="28" spans="1:24" s="3" customFormat="1">
      <c r="A28" s="233"/>
      <c r="B28" s="242" t="s">
        <v>160</v>
      </c>
      <c r="C28" s="11"/>
      <c r="D28" s="234"/>
      <c r="E28" s="11"/>
      <c r="F28" s="233"/>
      <c r="G28" s="233"/>
      <c r="H28" s="233"/>
      <c r="I28" s="233"/>
      <c r="J28" s="233"/>
      <c r="K28" s="233"/>
      <c r="L28" s="241"/>
      <c r="M28" s="235"/>
      <c r="N28" s="236"/>
      <c r="O28" s="235"/>
      <c r="P28" s="236"/>
      <c r="Q28" s="236"/>
      <c r="R28" s="236"/>
      <c r="S28" s="237"/>
      <c r="T28" s="236"/>
      <c r="U28" s="233"/>
      <c r="V28" s="233"/>
      <c r="W28" s="233"/>
      <c r="X28" s="238"/>
    </row>
    <row r="29" spans="1:24" s="3" customFormat="1">
      <c r="A29" s="233"/>
      <c r="B29" s="242"/>
      <c r="C29" s="11"/>
      <c r="D29" s="234"/>
      <c r="E29" s="11"/>
      <c r="F29" s="233"/>
      <c r="G29" s="233"/>
      <c r="H29" s="233"/>
      <c r="I29" s="233"/>
      <c r="J29" s="233"/>
      <c r="K29" s="233"/>
      <c r="L29"/>
      <c r="M29" s="235"/>
      <c r="N29" s="236"/>
      <c r="O29" s="235"/>
      <c r="P29" s="236"/>
      <c r="Q29" s="236"/>
      <c r="R29" s="236"/>
      <c r="S29" s="237"/>
      <c r="T29" s="236"/>
      <c r="U29" s="233"/>
      <c r="V29" s="233"/>
      <c r="W29" s="233"/>
      <c r="X29" s="238"/>
    </row>
    <row r="30" spans="1:24" s="3" customFormat="1" ht="15" customHeight="1">
      <c r="A30" s="233"/>
      <c r="B30" s="430" t="s">
        <v>81</v>
      </c>
      <c r="C30" s="431"/>
      <c r="D30" s="442" t="s">
        <v>226</v>
      </c>
      <c r="E30" s="443"/>
      <c r="F30" s="443"/>
      <c r="G30" s="446" t="s">
        <v>231</v>
      </c>
      <c r="H30" s="447"/>
      <c r="I30" s="447"/>
      <c r="J30" s="428" t="s">
        <v>97</v>
      </c>
      <c r="K30" s="233"/>
      <c r="L30" s="241"/>
      <c r="M30" s="235"/>
      <c r="N30" s="236"/>
      <c r="O30" s="235"/>
      <c r="P30" s="236"/>
      <c r="Q30" s="236"/>
      <c r="R30" s="236"/>
      <c r="S30" s="237"/>
      <c r="T30" s="236"/>
      <c r="U30" s="233"/>
      <c r="V30" s="233"/>
      <c r="W30" s="233"/>
      <c r="X30" s="238"/>
    </row>
    <row r="31" spans="1:24" s="3" customFormat="1" ht="28.8">
      <c r="A31" s="233"/>
      <c r="B31" s="432"/>
      <c r="C31" s="433"/>
      <c r="D31" s="122" t="s">
        <v>227</v>
      </c>
      <c r="E31" s="122" t="s">
        <v>228</v>
      </c>
      <c r="F31" s="122" t="s">
        <v>229</v>
      </c>
      <c r="G31" s="121" t="s">
        <v>230</v>
      </c>
      <c r="H31" s="121" t="s">
        <v>232</v>
      </c>
      <c r="I31" s="121" t="s">
        <v>233</v>
      </c>
      <c r="J31" s="429"/>
      <c r="K31" s="233"/>
      <c r="L31"/>
      <c r="M31" s="235"/>
      <c r="N31" s="236"/>
      <c r="O31" s="235"/>
      <c r="P31" s="236"/>
      <c r="Q31" s="236"/>
      <c r="R31" s="236"/>
      <c r="S31" s="237"/>
      <c r="T31" s="236"/>
      <c r="U31" s="233"/>
      <c r="V31" s="233"/>
      <c r="W31" s="233"/>
      <c r="X31" s="238"/>
    </row>
    <row r="32" spans="1:24" s="3" customFormat="1">
      <c r="A32" s="233"/>
      <c r="B32" s="66" t="s">
        <v>137</v>
      </c>
      <c r="C32" s="60" t="str">
        <f>IF(intervencao1=0,"None",intervencao1)</f>
        <v>Intrauterine device levonorgestrel</v>
      </c>
      <c r="D32" s="186">
        <f t="shared" ref="D32:D45" ca="1" si="0">IF($D$198="No",SUMIF($B$55:$C$68,C32,$I$55:$I$68),D202)</f>
        <v>853.1</v>
      </c>
      <c r="E32" s="186">
        <f t="shared" ref="E32:E45" ca="1" si="1">IF($D$198="No",SUMIF($B$76:$C$105,C32,$I$76:$I$105),E202/12)</f>
        <v>0</v>
      </c>
      <c r="F32" s="186">
        <f t="shared" ref="F32:F45" ca="1" si="2">IF($D$198="No",SUMIF($B$113:$C$142,C32,$I$113:$I$142),F202/12)</f>
        <v>0</v>
      </c>
      <c r="G32" s="186">
        <f>IF($D$198="No",SUM(I150:I159),G202)</f>
        <v>0</v>
      </c>
      <c r="H32" s="186">
        <f>IF($D$198="No",SUM(I165:I174),H202/12)</f>
        <v>0</v>
      </c>
      <c r="I32" s="186">
        <f>IF($D$198="No",SUM(I180:I189),I202/12)</f>
        <v>0</v>
      </c>
      <c r="J32" s="60" t="str">
        <f>IF($D$198="Yes","Auxiliary cost spreadsheet","See tables below")</f>
        <v>See tables below</v>
      </c>
      <c r="K32" s="233"/>
      <c r="L32" s="241"/>
      <c r="M32" s="235"/>
      <c r="N32" s="236"/>
      <c r="O32" s="235"/>
      <c r="P32" s="236"/>
      <c r="Q32" s="236"/>
      <c r="R32" s="236"/>
      <c r="S32" s="237"/>
      <c r="T32" s="236"/>
      <c r="U32" s="233"/>
      <c r="V32" s="233"/>
      <c r="W32" s="233"/>
      <c r="X32" s="238"/>
    </row>
    <row r="33" spans="1:24" s="3" customFormat="1">
      <c r="A33" s="233"/>
      <c r="B33" s="66" t="s">
        <v>138</v>
      </c>
      <c r="C33" s="60" t="str">
        <f>IF(intervencao2=0,"None",intervencao2)</f>
        <v>None</v>
      </c>
      <c r="D33" s="186">
        <f t="shared" ca="1" si="0"/>
        <v>0</v>
      </c>
      <c r="E33" s="186">
        <f t="shared" ca="1" si="1"/>
        <v>0</v>
      </c>
      <c r="F33" s="186">
        <f t="shared" ca="1" si="2"/>
        <v>0</v>
      </c>
      <c r="G33" s="186">
        <f t="shared" ref="G33:G45" si="3">IF(C33="Do not fill this line",0,$G$32)</f>
        <v>0</v>
      </c>
      <c r="H33" s="186">
        <f t="shared" ref="H33:H45" si="4">IF(C33="Do not fill this line",0,$H$32)</f>
        <v>0</v>
      </c>
      <c r="I33" s="186">
        <f t="shared" ref="I33:I45" si="5">IF(C33="Do not fill this line",0,$I$32)</f>
        <v>0</v>
      </c>
      <c r="J33" s="60" t="str">
        <f t="shared" ref="J33:J45" si="6">IF($D$198="Yes","Auxiliary cost spreadsheet","See tables below")</f>
        <v>See tables below</v>
      </c>
      <c r="K33" s="233"/>
      <c r="L33" s="233"/>
      <c r="M33" s="235"/>
      <c r="N33" s="236"/>
      <c r="O33" s="235"/>
      <c r="P33" s="236"/>
      <c r="Q33" s="236"/>
      <c r="R33" s="236"/>
      <c r="S33" s="237"/>
      <c r="T33" s="236"/>
      <c r="U33" s="233"/>
      <c r="V33" s="233"/>
      <c r="W33" s="233"/>
      <c r="X33" s="238"/>
    </row>
    <row r="34" spans="1:24" s="3" customFormat="1">
      <c r="A34" s="233"/>
      <c r="B34" s="66" t="s">
        <v>139</v>
      </c>
      <c r="C34" s="60" t="str">
        <f>IF(intervencao3=0,"None",intervencao3)</f>
        <v>None</v>
      </c>
      <c r="D34" s="186">
        <f t="shared" ca="1" si="0"/>
        <v>0</v>
      </c>
      <c r="E34" s="186">
        <f t="shared" ca="1" si="1"/>
        <v>0</v>
      </c>
      <c r="F34" s="186">
        <f t="shared" ca="1" si="2"/>
        <v>0</v>
      </c>
      <c r="G34" s="186">
        <f t="shared" si="3"/>
        <v>0</v>
      </c>
      <c r="H34" s="186">
        <f t="shared" si="4"/>
        <v>0</v>
      </c>
      <c r="I34" s="186">
        <f t="shared" si="5"/>
        <v>0</v>
      </c>
      <c r="J34" s="60" t="str">
        <f t="shared" si="6"/>
        <v>See tables below</v>
      </c>
      <c r="K34" s="233"/>
      <c r="L34" s="233"/>
      <c r="M34" s="235"/>
      <c r="N34" s="236"/>
      <c r="O34" s="235"/>
      <c r="P34" s="236"/>
      <c r="Q34" s="236"/>
      <c r="R34" s="236"/>
      <c r="S34" s="237"/>
      <c r="T34" s="236"/>
      <c r="U34" s="233"/>
      <c r="V34" s="233"/>
      <c r="W34" s="233"/>
      <c r="X34" s="238"/>
    </row>
    <row r="35" spans="1:24" s="3" customFormat="1">
      <c r="A35" s="233"/>
      <c r="B35" s="66" t="s">
        <v>140</v>
      </c>
      <c r="C35" s="60" t="str">
        <f>IF(intervencao4=0,"None",intervencao4)</f>
        <v>None</v>
      </c>
      <c r="D35" s="186">
        <f t="shared" ca="1" si="0"/>
        <v>0</v>
      </c>
      <c r="E35" s="186">
        <f t="shared" ca="1" si="1"/>
        <v>0</v>
      </c>
      <c r="F35" s="186">
        <f t="shared" ca="1" si="2"/>
        <v>0</v>
      </c>
      <c r="G35" s="186">
        <f t="shared" si="3"/>
        <v>0</v>
      </c>
      <c r="H35" s="186">
        <f t="shared" si="4"/>
        <v>0</v>
      </c>
      <c r="I35" s="186">
        <f t="shared" si="5"/>
        <v>0</v>
      </c>
      <c r="J35" s="60" t="str">
        <f t="shared" si="6"/>
        <v>See tables below</v>
      </c>
      <c r="K35" s="233"/>
      <c r="L35" s="233"/>
      <c r="M35" s="235"/>
      <c r="N35" s="236"/>
      <c r="O35" s="235"/>
      <c r="P35" s="236"/>
      <c r="Q35" s="236"/>
      <c r="R35" s="236"/>
      <c r="S35" s="237"/>
      <c r="T35" s="236"/>
      <c r="U35" s="233"/>
      <c r="V35" s="233"/>
      <c r="W35" s="233"/>
      <c r="X35" s="238"/>
    </row>
    <row r="36" spans="1:24" s="3" customFormat="1">
      <c r="A36" s="233"/>
      <c r="B36" s="66" t="s">
        <v>141</v>
      </c>
      <c r="C36" s="60" t="str">
        <f>IF(comparador1=0,"None",comparador1)</f>
        <v>Oral contraceptive</v>
      </c>
      <c r="D36" s="186">
        <f t="shared" ca="1" si="0"/>
        <v>0</v>
      </c>
      <c r="E36" s="186">
        <f t="shared" ca="1" si="1"/>
        <v>1.4700000000000002</v>
      </c>
      <c r="F36" s="186">
        <f t="shared" ca="1" si="2"/>
        <v>0</v>
      </c>
      <c r="G36" s="186">
        <f t="shared" si="3"/>
        <v>0</v>
      </c>
      <c r="H36" s="186">
        <f t="shared" si="4"/>
        <v>0</v>
      </c>
      <c r="I36" s="186">
        <f t="shared" si="5"/>
        <v>0</v>
      </c>
      <c r="J36" s="60" t="str">
        <f t="shared" si="6"/>
        <v>See tables below</v>
      </c>
      <c r="K36" s="233"/>
      <c r="L36" s="233"/>
      <c r="M36" s="235"/>
      <c r="N36" s="236"/>
      <c r="O36" s="235"/>
      <c r="P36" s="236"/>
      <c r="Q36" s="236"/>
      <c r="R36" s="236"/>
      <c r="S36" s="237"/>
      <c r="T36" s="236"/>
      <c r="U36" s="233"/>
      <c r="V36" s="233"/>
      <c r="W36" s="233"/>
      <c r="X36" s="238"/>
    </row>
    <row r="37" spans="1:24" s="3" customFormat="1">
      <c r="A37" s="233"/>
      <c r="B37" s="66" t="s">
        <v>142</v>
      </c>
      <c r="C37" s="60" t="str">
        <f>IF(comparador2=0,"None",comparador2)</f>
        <v>None</v>
      </c>
      <c r="D37" s="186">
        <f t="shared" ca="1" si="0"/>
        <v>0</v>
      </c>
      <c r="E37" s="186">
        <f t="shared" ca="1" si="1"/>
        <v>0</v>
      </c>
      <c r="F37" s="186">
        <f t="shared" ca="1" si="2"/>
        <v>0</v>
      </c>
      <c r="G37" s="186">
        <f t="shared" si="3"/>
        <v>0</v>
      </c>
      <c r="H37" s="186">
        <f t="shared" si="4"/>
        <v>0</v>
      </c>
      <c r="I37" s="186">
        <f t="shared" si="5"/>
        <v>0</v>
      </c>
      <c r="J37" s="60" t="str">
        <f t="shared" si="6"/>
        <v>See tables below</v>
      </c>
      <c r="K37" s="233"/>
      <c r="L37" s="233"/>
      <c r="M37" s="235"/>
      <c r="N37" s="236"/>
      <c r="O37" s="235"/>
      <c r="P37" s="236"/>
      <c r="Q37" s="236"/>
      <c r="R37" s="236"/>
      <c r="S37" s="237"/>
      <c r="T37" s="236"/>
      <c r="U37" s="233"/>
      <c r="V37" s="233"/>
      <c r="W37" s="233"/>
      <c r="X37" s="238"/>
    </row>
    <row r="38" spans="1:24" s="3" customFormat="1">
      <c r="A38" s="233"/>
      <c r="B38" s="66" t="s">
        <v>143</v>
      </c>
      <c r="C38" s="60" t="str">
        <f>IF(comparador3=0,"None",comparador3)</f>
        <v>None</v>
      </c>
      <c r="D38" s="186">
        <f t="shared" ca="1" si="0"/>
        <v>0</v>
      </c>
      <c r="E38" s="186">
        <f t="shared" ca="1" si="1"/>
        <v>0</v>
      </c>
      <c r="F38" s="186">
        <f t="shared" ca="1" si="2"/>
        <v>0</v>
      </c>
      <c r="G38" s="186">
        <f t="shared" si="3"/>
        <v>0</v>
      </c>
      <c r="H38" s="186">
        <f t="shared" si="4"/>
        <v>0</v>
      </c>
      <c r="I38" s="186">
        <f t="shared" si="5"/>
        <v>0</v>
      </c>
      <c r="J38" s="60" t="str">
        <f t="shared" si="6"/>
        <v>See tables below</v>
      </c>
      <c r="K38" s="233"/>
      <c r="L38" s="233"/>
      <c r="M38" s="235"/>
      <c r="N38" s="236"/>
      <c r="O38" s="235"/>
      <c r="P38" s="236"/>
      <c r="Q38" s="236"/>
      <c r="R38" s="236"/>
      <c r="S38" s="237"/>
      <c r="T38" s="236"/>
      <c r="U38" s="233"/>
      <c r="V38" s="233"/>
      <c r="W38" s="233"/>
      <c r="X38" s="238"/>
    </row>
    <row r="39" spans="1:24" s="3" customFormat="1">
      <c r="A39" s="233"/>
      <c r="B39" s="66" t="s">
        <v>144</v>
      </c>
      <c r="C39" s="60" t="str">
        <f>IF(comparador4=0,"None",comparador4)</f>
        <v>None</v>
      </c>
      <c r="D39" s="186">
        <f t="shared" ca="1" si="0"/>
        <v>0</v>
      </c>
      <c r="E39" s="186">
        <f t="shared" ca="1" si="1"/>
        <v>0</v>
      </c>
      <c r="F39" s="186">
        <f t="shared" ca="1" si="2"/>
        <v>0</v>
      </c>
      <c r="G39" s="186">
        <f t="shared" si="3"/>
        <v>0</v>
      </c>
      <c r="H39" s="186">
        <f t="shared" si="4"/>
        <v>0</v>
      </c>
      <c r="I39" s="186">
        <f t="shared" si="5"/>
        <v>0</v>
      </c>
      <c r="J39" s="60" t="str">
        <f t="shared" si="6"/>
        <v>See tables below</v>
      </c>
      <c r="K39" s="233"/>
      <c r="L39" s="233"/>
      <c r="M39" s="235"/>
      <c r="N39" s="236"/>
      <c r="O39" s="235"/>
      <c r="P39" s="236"/>
      <c r="Q39" s="236"/>
      <c r="R39" s="236"/>
      <c r="S39" s="237"/>
      <c r="T39" s="236"/>
      <c r="U39" s="233"/>
      <c r="V39" s="233"/>
      <c r="W39" s="233"/>
      <c r="X39" s="238"/>
    </row>
    <row r="40" spans="1:24" s="3" customFormat="1">
      <c r="A40" s="233"/>
      <c r="B40" s="66" t="s">
        <v>145</v>
      </c>
      <c r="C40" s="60" t="str">
        <f>IF(comparador5=0,"None",comparador5)</f>
        <v>None</v>
      </c>
      <c r="D40" s="186">
        <f t="shared" ca="1" si="0"/>
        <v>0</v>
      </c>
      <c r="E40" s="186">
        <f t="shared" ca="1" si="1"/>
        <v>0</v>
      </c>
      <c r="F40" s="186">
        <f t="shared" ca="1" si="2"/>
        <v>0</v>
      </c>
      <c r="G40" s="186">
        <f t="shared" si="3"/>
        <v>0</v>
      </c>
      <c r="H40" s="186">
        <f t="shared" si="4"/>
        <v>0</v>
      </c>
      <c r="I40" s="186">
        <f t="shared" si="5"/>
        <v>0</v>
      </c>
      <c r="J40" s="60" t="str">
        <f t="shared" si="6"/>
        <v>See tables below</v>
      </c>
      <c r="K40" s="233"/>
      <c r="L40" s="233"/>
      <c r="M40" s="235"/>
      <c r="N40" s="236"/>
      <c r="O40" s="235"/>
      <c r="P40" s="236"/>
      <c r="Q40" s="236"/>
      <c r="R40" s="236"/>
      <c r="S40" s="237"/>
      <c r="T40" s="236"/>
      <c r="U40" s="233"/>
      <c r="V40" s="233"/>
      <c r="W40" s="233"/>
      <c r="X40" s="238"/>
    </row>
    <row r="41" spans="1:24" s="3" customFormat="1">
      <c r="A41" s="233"/>
      <c r="B41" s="66" t="s">
        <v>146</v>
      </c>
      <c r="C41" s="60" t="str">
        <f>IF(comparador6=0,"None",comparador6)</f>
        <v>None</v>
      </c>
      <c r="D41" s="186">
        <f t="shared" ca="1" si="0"/>
        <v>0</v>
      </c>
      <c r="E41" s="186">
        <f t="shared" ca="1" si="1"/>
        <v>0</v>
      </c>
      <c r="F41" s="186">
        <f t="shared" ca="1" si="2"/>
        <v>0</v>
      </c>
      <c r="G41" s="186">
        <f t="shared" si="3"/>
        <v>0</v>
      </c>
      <c r="H41" s="186">
        <f t="shared" si="4"/>
        <v>0</v>
      </c>
      <c r="I41" s="186">
        <f t="shared" si="5"/>
        <v>0</v>
      </c>
      <c r="J41" s="60" t="str">
        <f t="shared" si="6"/>
        <v>See tables below</v>
      </c>
      <c r="K41" s="233"/>
      <c r="L41" s="233"/>
      <c r="M41" s="235"/>
      <c r="N41" s="236"/>
      <c r="O41" s="235"/>
      <c r="P41" s="236"/>
      <c r="Q41" s="236"/>
      <c r="R41" s="236"/>
      <c r="S41" s="237"/>
      <c r="T41" s="236"/>
      <c r="U41" s="233"/>
      <c r="V41" s="233"/>
      <c r="W41" s="233"/>
      <c r="X41" s="238"/>
    </row>
    <row r="42" spans="1:24" s="3" customFormat="1">
      <c r="A42" s="233"/>
      <c r="B42" s="66" t="s">
        <v>147</v>
      </c>
      <c r="C42" s="60" t="str">
        <f>IF(comparador7=0,"None",comparador7)</f>
        <v>None</v>
      </c>
      <c r="D42" s="186">
        <f t="shared" ca="1" si="0"/>
        <v>0</v>
      </c>
      <c r="E42" s="186">
        <f t="shared" ca="1" si="1"/>
        <v>0</v>
      </c>
      <c r="F42" s="186">
        <f t="shared" ca="1" si="2"/>
        <v>0</v>
      </c>
      <c r="G42" s="186">
        <f t="shared" si="3"/>
        <v>0</v>
      </c>
      <c r="H42" s="186">
        <f t="shared" si="4"/>
        <v>0</v>
      </c>
      <c r="I42" s="186">
        <f t="shared" si="5"/>
        <v>0</v>
      </c>
      <c r="J42" s="60" t="str">
        <f t="shared" si="6"/>
        <v>See tables below</v>
      </c>
      <c r="K42" s="233"/>
      <c r="L42" s="233"/>
      <c r="M42" s="235"/>
      <c r="N42" s="236"/>
      <c r="O42" s="235"/>
      <c r="P42" s="236"/>
      <c r="Q42" s="236"/>
      <c r="R42" s="236"/>
      <c r="S42" s="237"/>
      <c r="T42" s="236"/>
      <c r="U42" s="233"/>
      <c r="V42" s="233"/>
      <c r="W42" s="233"/>
      <c r="X42" s="238"/>
    </row>
    <row r="43" spans="1:24" s="3" customFormat="1">
      <c r="A43" s="233"/>
      <c r="B43" s="66" t="s">
        <v>148</v>
      </c>
      <c r="C43" s="60" t="str">
        <f>IF(comparador8=0,"None",comparador8)</f>
        <v>None</v>
      </c>
      <c r="D43" s="186">
        <f t="shared" ca="1" si="0"/>
        <v>0</v>
      </c>
      <c r="E43" s="186">
        <f t="shared" ca="1" si="1"/>
        <v>0</v>
      </c>
      <c r="F43" s="186">
        <f t="shared" ca="1" si="2"/>
        <v>0</v>
      </c>
      <c r="G43" s="186">
        <f t="shared" si="3"/>
        <v>0</v>
      </c>
      <c r="H43" s="186">
        <f t="shared" si="4"/>
        <v>0</v>
      </c>
      <c r="I43" s="186">
        <f t="shared" si="5"/>
        <v>0</v>
      </c>
      <c r="J43" s="60" t="str">
        <f t="shared" si="6"/>
        <v>See tables below</v>
      </c>
      <c r="K43" s="233"/>
      <c r="L43" s="233"/>
      <c r="M43" s="235"/>
      <c r="N43" s="236"/>
      <c r="O43" s="235"/>
      <c r="P43" s="236"/>
      <c r="Q43" s="236"/>
      <c r="R43" s="236"/>
      <c r="S43" s="237"/>
      <c r="T43" s="236"/>
      <c r="U43" s="233"/>
      <c r="V43" s="233"/>
      <c r="W43" s="233"/>
      <c r="X43" s="238"/>
    </row>
    <row r="44" spans="1:24" s="3" customFormat="1">
      <c r="A44" s="233"/>
      <c r="B44" s="66" t="s">
        <v>149</v>
      </c>
      <c r="C44" s="60" t="str">
        <f>IF(comparador9=0,"None",comparador9)</f>
        <v>None</v>
      </c>
      <c r="D44" s="186">
        <f t="shared" ca="1" si="0"/>
        <v>0</v>
      </c>
      <c r="E44" s="186">
        <f t="shared" ca="1" si="1"/>
        <v>0</v>
      </c>
      <c r="F44" s="186">
        <f t="shared" ca="1" si="2"/>
        <v>0</v>
      </c>
      <c r="G44" s="186">
        <f t="shared" si="3"/>
        <v>0</v>
      </c>
      <c r="H44" s="186">
        <f t="shared" si="4"/>
        <v>0</v>
      </c>
      <c r="I44" s="186">
        <f t="shared" si="5"/>
        <v>0</v>
      </c>
      <c r="J44" s="60" t="str">
        <f t="shared" si="6"/>
        <v>See tables below</v>
      </c>
      <c r="K44" s="233"/>
      <c r="L44" s="233"/>
      <c r="M44" s="235"/>
      <c r="N44" s="236"/>
      <c r="O44" s="235"/>
      <c r="P44" s="236"/>
      <c r="Q44" s="236"/>
      <c r="R44" s="236"/>
      <c r="S44" s="237"/>
      <c r="T44" s="236"/>
      <c r="U44" s="233"/>
      <c r="V44" s="233"/>
      <c r="W44" s="233"/>
      <c r="X44" s="238"/>
    </row>
    <row r="45" spans="1:24" s="3" customFormat="1">
      <c r="A45" s="233"/>
      <c r="B45" s="66" t="s">
        <v>150</v>
      </c>
      <c r="C45" s="60" t="str">
        <f>IF(comparador10=0,"None",comparador10)</f>
        <v>None</v>
      </c>
      <c r="D45" s="186">
        <f t="shared" ca="1" si="0"/>
        <v>0</v>
      </c>
      <c r="E45" s="186">
        <f t="shared" ca="1" si="1"/>
        <v>0</v>
      </c>
      <c r="F45" s="186">
        <f t="shared" ca="1" si="2"/>
        <v>0</v>
      </c>
      <c r="G45" s="186">
        <f t="shared" si="3"/>
        <v>0</v>
      </c>
      <c r="H45" s="186">
        <f t="shared" si="4"/>
        <v>0</v>
      </c>
      <c r="I45" s="186">
        <f t="shared" si="5"/>
        <v>0</v>
      </c>
      <c r="J45" s="60" t="str">
        <f t="shared" si="6"/>
        <v>See tables below</v>
      </c>
      <c r="K45" s="233"/>
      <c r="L45" s="233"/>
      <c r="M45" s="235"/>
      <c r="N45" s="236"/>
      <c r="O45" s="235"/>
      <c r="P45" s="236"/>
      <c r="Q45" s="236"/>
      <c r="R45" s="236"/>
      <c r="S45" s="237"/>
      <c r="T45" s="236"/>
      <c r="U45" s="233"/>
      <c r="V45" s="233"/>
      <c r="W45" s="233"/>
      <c r="X45" s="238"/>
    </row>
    <row r="46" spans="1:24" s="3" customFormat="1">
      <c r="A46" s="233"/>
      <c r="B46" s="187"/>
      <c r="C46" s="11"/>
      <c r="D46" s="234"/>
      <c r="E46" s="11"/>
      <c r="F46" s="233"/>
      <c r="G46" s="233"/>
      <c r="H46" s="233"/>
      <c r="I46" s="233"/>
      <c r="J46" s="233"/>
      <c r="K46" s="233"/>
      <c r="L46" s="233"/>
      <c r="M46" s="235"/>
      <c r="N46" s="236"/>
      <c r="O46" s="235"/>
      <c r="P46" s="236"/>
      <c r="Q46" s="236"/>
      <c r="R46" s="236"/>
      <c r="S46" s="237"/>
      <c r="T46" s="236"/>
      <c r="U46" s="233"/>
      <c r="V46" s="233"/>
      <c r="W46" s="233"/>
      <c r="X46" s="238"/>
    </row>
    <row r="47" spans="1:24" customFormat="1">
      <c r="B47" s="63"/>
      <c r="C47" s="63"/>
      <c r="D47" s="7"/>
      <c r="E47" s="7"/>
      <c r="F47" s="7"/>
      <c r="G47" s="7"/>
      <c r="H47" s="7"/>
      <c r="I47" s="7"/>
      <c r="J47" s="7"/>
      <c r="K47" s="7"/>
      <c r="L47" s="7"/>
      <c r="M47" s="7"/>
      <c r="N47" s="7"/>
      <c r="O47" s="7"/>
      <c r="P47" s="7"/>
      <c r="Q47" s="7"/>
      <c r="R47" s="7"/>
      <c r="S47" s="7"/>
      <c r="T47" s="7"/>
    </row>
    <row r="48" spans="1:24" customFormat="1">
      <c r="B48" s="64"/>
      <c r="C48" s="64"/>
      <c r="D48" s="65"/>
      <c r="E48" s="65"/>
      <c r="F48" s="65"/>
      <c r="G48" s="65"/>
      <c r="H48" s="65"/>
      <c r="I48" s="65"/>
      <c r="J48" s="65"/>
      <c r="K48" s="65"/>
      <c r="L48" s="65"/>
      <c r="M48" s="65"/>
      <c r="N48" s="65"/>
      <c r="O48" s="7"/>
      <c r="P48" s="7"/>
      <c r="Q48" s="7"/>
      <c r="R48" s="7"/>
      <c r="S48" s="7"/>
      <c r="T48" s="7"/>
    </row>
    <row r="49" spans="1:24" s="3" customFormat="1">
      <c r="A49" s="233"/>
      <c r="B49" s="136"/>
      <c r="C49" s="11"/>
      <c r="D49" s="234"/>
      <c r="E49" s="11"/>
      <c r="F49" s="233"/>
      <c r="G49" s="233"/>
      <c r="H49" s="233"/>
      <c r="I49" s="233"/>
      <c r="J49" s="233"/>
      <c r="K49" s="233"/>
      <c r="L49" s="233"/>
      <c r="M49" s="235"/>
      <c r="N49" s="236"/>
      <c r="O49" s="235"/>
      <c r="P49" s="236"/>
      <c r="Q49" s="236"/>
      <c r="R49" s="236"/>
      <c r="S49" s="237"/>
      <c r="T49" s="236"/>
      <c r="U49" s="233"/>
      <c r="V49" s="233"/>
      <c r="W49" s="233"/>
      <c r="X49" s="238"/>
    </row>
    <row r="50" spans="1:24" s="3" customFormat="1" ht="18">
      <c r="A50" s="233"/>
      <c r="B50" s="243" t="s">
        <v>161</v>
      </c>
      <c r="C50" s="11"/>
      <c r="D50" s="234"/>
      <c r="E50" s="11"/>
      <c r="F50" s="233"/>
      <c r="G50" s="233"/>
      <c r="H50" s="233"/>
      <c r="I50" s="233"/>
      <c r="J50" s="233"/>
      <c r="K50" s="233"/>
      <c r="L50" s="233"/>
      <c r="M50" s="235"/>
      <c r="N50" s="236"/>
      <c r="O50" s="235"/>
      <c r="P50" s="236"/>
      <c r="Q50" s="236"/>
      <c r="R50" s="236"/>
      <c r="S50" s="237"/>
      <c r="T50" s="236"/>
      <c r="U50" s="233"/>
      <c r="V50" s="233"/>
      <c r="W50" s="233"/>
      <c r="X50" s="238"/>
    </row>
    <row r="51" spans="1:24" s="3" customFormat="1">
      <c r="A51" s="233"/>
      <c r="B51" s="242" t="s">
        <v>162</v>
      </c>
      <c r="C51" s="11"/>
      <c r="D51" s="234"/>
      <c r="E51" s="11"/>
      <c r="F51" s="233"/>
      <c r="G51" s="233"/>
      <c r="H51" s="233"/>
      <c r="I51" s="233"/>
      <c r="J51" s="233"/>
      <c r="K51" s="233"/>
      <c r="L51" s="233"/>
      <c r="M51" s="235"/>
      <c r="N51" s="236"/>
      <c r="O51" s="235"/>
      <c r="P51" s="236"/>
      <c r="Q51" s="236"/>
      <c r="R51" s="236"/>
      <c r="S51" s="237"/>
      <c r="T51" s="236"/>
      <c r="U51" s="233"/>
      <c r="V51" s="233"/>
      <c r="W51" s="233"/>
      <c r="X51" s="238"/>
    </row>
    <row r="52" spans="1:24" s="3" customFormat="1">
      <c r="A52" s="233"/>
      <c r="B52" s="242" t="s">
        <v>163</v>
      </c>
      <c r="C52" s="11"/>
      <c r="D52" s="234"/>
      <c r="E52" s="11"/>
      <c r="F52" s="233"/>
      <c r="G52" s="233"/>
      <c r="H52" s="233"/>
      <c r="I52" s="233"/>
      <c r="J52" s="233"/>
      <c r="K52" s="233"/>
      <c r="L52" s="233"/>
      <c r="M52" s="235"/>
      <c r="N52" s="236"/>
      <c r="O52" s="235"/>
      <c r="P52" s="236"/>
      <c r="Q52" s="236"/>
      <c r="R52" s="236"/>
      <c r="S52" s="237"/>
      <c r="T52" s="236"/>
      <c r="U52" s="233"/>
      <c r="V52" s="233"/>
      <c r="W52" s="233"/>
      <c r="X52" s="238"/>
    </row>
    <row r="53" spans="1:24" s="3" customFormat="1">
      <c r="A53" s="233"/>
      <c r="B53" s="187"/>
      <c r="C53" s="11"/>
      <c r="D53" s="234"/>
      <c r="E53" s="11"/>
      <c r="F53" s="233"/>
      <c r="G53" s="233"/>
      <c r="H53" s="233"/>
      <c r="I53" s="233"/>
      <c r="J53" s="233"/>
      <c r="K53" s="233"/>
      <c r="L53" s="233"/>
      <c r="M53" s="235"/>
      <c r="N53" s="236"/>
      <c r="O53" s="235"/>
      <c r="P53" s="236"/>
      <c r="Q53" s="236"/>
      <c r="R53" s="236"/>
      <c r="S53" s="237"/>
      <c r="T53" s="236"/>
      <c r="U53" s="233"/>
      <c r="V53" s="233"/>
      <c r="W53" s="233"/>
      <c r="X53" s="238"/>
    </row>
    <row r="54" spans="1:24" s="3" customFormat="1">
      <c r="A54" s="233"/>
      <c r="B54" s="438" t="s">
        <v>152</v>
      </c>
      <c r="C54" s="439"/>
      <c r="D54" s="438" t="s">
        <v>153</v>
      </c>
      <c r="E54" s="439"/>
      <c r="F54" s="123" t="s">
        <v>154</v>
      </c>
      <c r="G54" s="123" t="s">
        <v>155</v>
      </c>
      <c r="H54" s="123" t="s">
        <v>156</v>
      </c>
      <c r="I54" s="123" t="s">
        <v>157</v>
      </c>
      <c r="J54" s="123" t="s">
        <v>97</v>
      </c>
      <c r="K54" s="233"/>
      <c r="L54" s="233"/>
      <c r="M54" s="235"/>
      <c r="N54" s="236"/>
      <c r="O54" s="235"/>
      <c r="P54" s="236"/>
      <c r="Q54" s="236"/>
      <c r="R54" s="236"/>
      <c r="S54" s="237"/>
      <c r="T54" s="236"/>
      <c r="U54" s="233"/>
      <c r="V54" s="233"/>
      <c r="W54" s="233"/>
      <c r="X54" s="238"/>
    </row>
    <row r="55" spans="1:24" s="3" customFormat="1">
      <c r="A55" s="233"/>
      <c r="B55" s="440" t="s">
        <v>347</v>
      </c>
      <c r="C55" s="441"/>
      <c r="D55" s="435" t="s">
        <v>359</v>
      </c>
      <c r="E55" s="435"/>
      <c r="F55" s="50">
        <v>1</v>
      </c>
      <c r="G55" s="62">
        <v>1</v>
      </c>
      <c r="H55" s="185">
        <v>828.9</v>
      </c>
      <c r="I55" s="186">
        <f>IF(B55="",0,H55*G55*F55)</f>
        <v>828.9</v>
      </c>
      <c r="J55" s="59"/>
      <c r="K55" s="233"/>
      <c r="L55" s="233"/>
      <c r="M55" s="235"/>
      <c r="N55" s="236"/>
      <c r="O55" s="235"/>
      <c r="P55" s="236"/>
      <c r="Q55" s="236"/>
      <c r="R55" s="236"/>
      <c r="S55" s="237"/>
      <c r="T55" s="236"/>
      <c r="U55" s="233"/>
      <c r="V55" s="233"/>
      <c r="W55" s="233"/>
      <c r="X55" s="238"/>
    </row>
    <row r="56" spans="1:24" s="3" customFormat="1">
      <c r="A56" s="233"/>
      <c r="B56" s="436" t="s">
        <v>347</v>
      </c>
      <c r="C56" s="437"/>
      <c r="D56" s="435" t="s">
        <v>360</v>
      </c>
      <c r="E56" s="435"/>
      <c r="F56" s="50">
        <v>1</v>
      </c>
      <c r="G56" s="62">
        <v>1</v>
      </c>
      <c r="H56" s="185">
        <v>24.2</v>
      </c>
      <c r="I56" s="186">
        <f t="shared" ref="I56:I68" si="7">IF(B56="",0,H56*G56*F56)</f>
        <v>24.2</v>
      </c>
      <c r="J56" s="59"/>
      <c r="K56" s="233"/>
      <c r="L56" s="233"/>
      <c r="M56" s="235"/>
      <c r="N56" s="236"/>
      <c r="O56" s="235"/>
      <c r="P56" s="236"/>
      <c r="Q56" s="236"/>
      <c r="R56" s="236"/>
      <c r="S56" s="237"/>
      <c r="T56" s="236"/>
      <c r="U56" s="233"/>
      <c r="V56" s="233"/>
      <c r="W56" s="233"/>
      <c r="X56" s="238"/>
    </row>
    <row r="57" spans="1:24" s="3" customFormat="1">
      <c r="A57" s="233"/>
      <c r="B57" s="436"/>
      <c r="C57" s="437"/>
      <c r="D57" s="435"/>
      <c r="E57" s="435"/>
      <c r="F57" s="50"/>
      <c r="G57" s="62"/>
      <c r="H57" s="185"/>
      <c r="I57" s="186">
        <f t="shared" ref="I57" si="8">IF(B57="",0,H57*G57*F57)</f>
        <v>0</v>
      </c>
      <c r="J57" s="59"/>
      <c r="K57" s="233"/>
      <c r="L57" s="233"/>
      <c r="M57" s="235"/>
      <c r="N57" s="236"/>
      <c r="O57" s="235"/>
      <c r="P57" s="236"/>
      <c r="Q57" s="236"/>
      <c r="R57" s="236"/>
      <c r="S57" s="237"/>
      <c r="T57" s="236"/>
      <c r="U57" s="233"/>
      <c r="V57" s="233"/>
      <c r="W57" s="233"/>
      <c r="X57" s="238"/>
    </row>
    <row r="58" spans="1:24" s="3" customFormat="1">
      <c r="A58" s="233"/>
      <c r="B58" s="436"/>
      <c r="C58" s="437"/>
      <c r="D58" s="435"/>
      <c r="E58" s="435"/>
      <c r="F58" s="50"/>
      <c r="G58" s="62"/>
      <c r="H58" s="185"/>
      <c r="I58" s="186">
        <f t="shared" si="7"/>
        <v>0</v>
      </c>
      <c r="J58" s="59"/>
      <c r="K58" s="233"/>
      <c r="L58" s="233"/>
      <c r="M58" s="235"/>
      <c r="N58" s="236"/>
      <c r="O58" s="235"/>
      <c r="P58" s="236"/>
      <c r="Q58" s="236"/>
      <c r="R58" s="236"/>
      <c r="S58" s="237"/>
      <c r="T58" s="236"/>
      <c r="U58" s="233"/>
      <c r="V58" s="233"/>
      <c r="W58" s="233"/>
      <c r="X58" s="238"/>
    </row>
    <row r="59" spans="1:24" s="3" customFormat="1">
      <c r="A59" s="233"/>
      <c r="B59" s="436"/>
      <c r="C59" s="437"/>
      <c r="D59" s="435"/>
      <c r="E59" s="435"/>
      <c r="F59" s="50"/>
      <c r="G59" s="62"/>
      <c r="H59" s="185"/>
      <c r="I59" s="186">
        <f t="shared" si="7"/>
        <v>0</v>
      </c>
      <c r="J59" s="59"/>
      <c r="K59" s="233"/>
      <c r="L59" s="233"/>
      <c r="M59" s="235"/>
      <c r="N59" s="236"/>
      <c r="O59" s="235"/>
      <c r="P59" s="236"/>
      <c r="Q59" s="236"/>
      <c r="R59" s="236"/>
      <c r="S59" s="237"/>
      <c r="T59" s="236"/>
      <c r="U59" s="233"/>
      <c r="V59" s="233"/>
      <c r="W59" s="233"/>
      <c r="X59" s="238"/>
    </row>
    <row r="60" spans="1:24" s="3" customFormat="1">
      <c r="A60" s="233"/>
      <c r="B60" s="436"/>
      <c r="C60" s="437"/>
      <c r="D60" s="435"/>
      <c r="E60" s="435"/>
      <c r="F60" s="50"/>
      <c r="G60" s="62"/>
      <c r="H60" s="185"/>
      <c r="I60" s="186">
        <f t="shared" si="7"/>
        <v>0</v>
      </c>
      <c r="J60" s="59"/>
      <c r="K60" s="233"/>
      <c r="L60" s="233"/>
      <c r="M60" s="235"/>
      <c r="N60" s="236"/>
      <c r="O60" s="235"/>
      <c r="P60" s="236"/>
      <c r="Q60" s="236"/>
      <c r="R60" s="236"/>
      <c r="S60" s="237"/>
      <c r="T60" s="236"/>
      <c r="U60" s="233"/>
      <c r="V60" s="233"/>
      <c r="W60" s="233"/>
      <c r="X60" s="238"/>
    </row>
    <row r="61" spans="1:24" s="3" customFormat="1">
      <c r="A61" s="233"/>
      <c r="B61" s="436"/>
      <c r="C61" s="437"/>
      <c r="D61" s="435"/>
      <c r="E61" s="435"/>
      <c r="F61" s="50"/>
      <c r="G61" s="62"/>
      <c r="H61" s="185"/>
      <c r="I61" s="186">
        <f t="shared" si="7"/>
        <v>0</v>
      </c>
      <c r="J61" s="59"/>
      <c r="K61" s="233"/>
      <c r="L61" s="233"/>
      <c r="M61" s="235"/>
      <c r="N61" s="236"/>
      <c r="O61" s="235"/>
      <c r="P61" s="236"/>
      <c r="Q61" s="236"/>
      <c r="R61" s="236"/>
      <c r="S61" s="237"/>
      <c r="T61" s="236"/>
      <c r="U61" s="233"/>
      <c r="V61" s="233"/>
      <c r="W61" s="233"/>
      <c r="X61" s="238"/>
    </row>
    <row r="62" spans="1:24" s="3" customFormat="1">
      <c r="A62" s="233"/>
      <c r="B62" s="436"/>
      <c r="C62" s="437"/>
      <c r="D62" s="435"/>
      <c r="E62" s="435"/>
      <c r="F62" s="50"/>
      <c r="G62" s="62"/>
      <c r="H62" s="185"/>
      <c r="I62" s="186">
        <f t="shared" si="7"/>
        <v>0</v>
      </c>
      <c r="J62" s="59"/>
      <c r="K62" s="233"/>
      <c r="L62" s="233"/>
      <c r="M62" s="235"/>
      <c r="N62" s="236"/>
      <c r="O62" s="235"/>
      <c r="P62" s="236"/>
      <c r="Q62" s="236"/>
      <c r="R62" s="236"/>
      <c r="S62" s="237"/>
      <c r="T62" s="236"/>
      <c r="U62" s="233"/>
      <c r="V62" s="233"/>
      <c r="W62" s="233"/>
      <c r="X62" s="238"/>
    </row>
    <row r="63" spans="1:24" s="3" customFormat="1">
      <c r="A63" s="233"/>
      <c r="B63" s="436"/>
      <c r="C63" s="437"/>
      <c r="D63" s="435"/>
      <c r="E63" s="435"/>
      <c r="F63" s="50"/>
      <c r="G63" s="62"/>
      <c r="H63" s="185"/>
      <c r="I63" s="186">
        <f t="shared" si="7"/>
        <v>0</v>
      </c>
      <c r="J63" s="59"/>
      <c r="K63" s="233"/>
      <c r="L63" s="233"/>
      <c r="M63" s="235"/>
      <c r="N63" s="236"/>
      <c r="O63" s="235"/>
      <c r="P63" s="236"/>
      <c r="Q63" s="236"/>
      <c r="R63" s="236"/>
      <c r="S63" s="237"/>
      <c r="T63" s="236"/>
      <c r="U63" s="233"/>
      <c r="V63" s="233"/>
      <c r="W63" s="233"/>
      <c r="X63" s="238"/>
    </row>
    <row r="64" spans="1:24" s="3" customFormat="1">
      <c r="A64" s="233"/>
      <c r="B64" s="436"/>
      <c r="C64" s="437"/>
      <c r="D64" s="435"/>
      <c r="E64" s="435"/>
      <c r="F64" s="50"/>
      <c r="G64" s="62"/>
      <c r="H64" s="185"/>
      <c r="I64" s="186">
        <f t="shared" si="7"/>
        <v>0</v>
      </c>
      <c r="J64" s="59"/>
      <c r="K64" s="233"/>
      <c r="L64" s="233"/>
      <c r="M64" s="235"/>
      <c r="N64" s="236"/>
      <c r="O64" s="235"/>
      <c r="P64" s="236"/>
      <c r="Q64" s="236"/>
      <c r="R64" s="236"/>
      <c r="S64" s="237"/>
      <c r="T64" s="236"/>
      <c r="U64" s="233"/>
      <c r="V64" s="233"/>
      <c r="W64" s="233"/>
      <c r="X64" s="238"/>
    </row>
    <row r="65" spans="1:24" s="3" customFormat="1">
      <c r="A65" s="233"/>
      <c r="B65" s="436"/>
      <c r="C65" s="437"/>
      <c r="D65" s="435"/>
      <c r="E65" s="435"/>
      <c r="F65" s="50"/>
      <c r="G65" s="62"/>
      <c r="H65" s="185"/>
      <c r="I65" s="186">
        <f t="shared" si="7"/>
        <v>0</v>
      </c>
      <c r="J65" s="59"/>
      <c r="K65" s="233"/>
      <c r="L65" s="233"/>
      <c r="M65" s="235"/>
      <c r="N65" s="236"/>
      <c r="O65" s="235"/>
      <c r="P65" s="236"/>
      <c r="Q65" s="236"/>
      <c r="R65" s="236"/>
      <c r="S65" s="237"/>
      <c r="T65" s="236"/>
      <c r="U65" s="233"/>
      <c r="V65" s="233"/>
      <c r="W65" s="233"/>
      <c r="X65" s="238"/>
    </row>
    <row r="66" spans="1:24" s="3" customFormat="1">
      <c r="A66" s="233"/>
      <c r="B66" s="436"/>
      <c r="C66" s="437"/>
      <c r="D66" s="435"/>
      <c r="E66" s="435"/>
      <c r="F66" s="50"/>
      <c r="G66" s="62"/>
      <c r="H66" s="185"/>
      <c r="I66" s="186">
        <f t="shared" si="7"/>
        <v>0</v>
      </c>
      <c r="J66" s="59"/>
      <c r="K66" s="233"/>
      <c r="L66" s="233"/>
      <c r="M66" s="235"/>
      <c r="N66" s="236"/>
      <c r="O66" s="235"/>
      <c r="P66" s="236"/>
      <c r="Q66" s="236"/>
      <c r="R66" s="236"/>
      <c r="S66" s="237"/>
      <c r="T66" s="236"/>
      <c r="U66" s="233"/>
      <c r="V66" s="233"/>
      <c r="W66" s="233"/>
      <c r="X66" s="238"/>
    </row>
    <row r="67" spans="1:24" s="3" customFormat="1">
      <c r="A67" s="233"/>
      <c r="B67" s="436"/>
      <c r="C67" s="437"/>
      <c r="D67" s="435"/>
      <c r="E67" s="435"/>
      <c r="F67" s="50"/>
      <c r="G67" s="62"/>
      <c r="H67" s="185"/>
      <c r="I67" s="186">
        <f t="shared" si="7"/>
        <v>0</v>
      </c>
      <c r="J67" s="59"/>
      <c r="K67" s="233"/>
      <c r="L67" s="233"/>
      <c r="M67" s="235"/>
      <c r="N67" s="236"/>
      <c r="O67" s="235"/>
      <c r="P67" s="236"/>
      <c r="Q67" s="236"/>
      <c r="R67" s="236"/>
      <c r="S67" s="237"/>
      <c r="T67" s="236"/>
      <c r="U67" s="233"/>
      <c r="V67" s="233"/>
      <c r="W67" s="233"/>
      <c r="X67" s="238"/>
    </row>
    <row r="68" spans="1:24" s="3" customFormat="1">
      <c r="A68" s="233"/>
      <c r="B68" s="435"/>
      <c r="C68" s="435"/>
      <c r="D68" s="435"/>
      <c r="E68" s="435"/>
      <c r="F68" s="50"/>
      <c r="G68" s="62"/>
      <c r="H68" s="185"/>
      <c r="I68" s="186">
        <f t="shared" si="7"/>
        <v>0</v>
      </c>
      <c r="J68" s="59"/>
      <c r="K68" s="233"/>
      <c r="L68" s="233"/>
      <c r="M68" s="235"/>
      <c r="N68" s="236"/>
      <c r="O68" s="235"/>
      <c r="P68" s="236"/>
      <c r="Q68" s="236"/>
      <c r="R68" s="236"/>
      <c r="S68" s="237"/>
      <c r="T68" s="236"/>
      <c r="U68" s="233"/>
      <c r="V68" s="233"/>
      <c r="W68" s="233"/>
      <c r="X68" s="238"/>
    </row>
    <row r="69" spans="1:24" s="3" customFormat="1">
      <c r="A69" s="233"/>
      <c r="B69" s="136"/>
      <c r="C69" s="11"/>
      <c r="D69" s="234"/>
      <c r="E69" s="11"/>
      <c r="F69" s="233"/>
      <c r="G69" s="233"/>
      <c r="H69" s="233"/>
      <c r="I69" s="233"/>
      <c r="J69" s="233"/>
      <c r="K69" s="233"/>
      <c r="L69" s="233"/>
      <c r="M69" s="235"/>
      <c r="N69" s="236"/>
      <c r="O69" s="235"/>
      <c r="P69" s="236"/>
      <c r="Q69" s="236"/>
      <c r="R69" s="236"/>
      <c r="S69" s="237"/>
      <c r="T69" s="236"/>
      <c r="U69" s="233"/>
      <c r="V69" s="233"/>
      <c r="W69" s="233"/>
      <c r="X69" s="238"/>
    </row>
    <row r="70" spans="1:24" s="3" customFormat="1">
      <c r="A70" s="233"/>
      <c r="B70" s="136"/>
      <c r="C70" s="11"/>
      <c r="D70" s="234"/>
      <c r="E70" s="11"/>
      <c r="F70" s="233"/>
      <c r="G70" s="233"/>
      <c r="H70" s="233"/>
      <c r="I70" s="233"/>
      <c r="J70" s="233"/>
      <c r="K70" s="233"/>
      <c r="L70" s="233"/>
      <c r="M70" s="235"/>
      <c r="N70" s="236"/>
      <c r="O70" s="235"/>
      <c r="P70" s="236"/>
      <c r="Q70" s="236"/>
      <c r="R70" s="236"/>
      <c r="S70" s="237"/>
      <c r="T70" s="236"/>
      <c r="U70" s="233"/>
      <c r="V70" s="233"/>
      <c r="W70" s="233"/>
      <c r="X70" s="238"/>
    </row>
    <row r="71" spans="1:24" s="3" customFormat="1" ht="18">
      <c r="A71" s="233"/>
      <c r="B71" s="243" t="s">
        <v>238</v>
      </c>
      <c r="C71" s="11"/>
      <c r="D71" s="234"/>
      <c r="E71" s="11"/>
      <c r="F71" s="233"/>
      <c r="G71" s="233"/>
      <c r="H71" s="233"/>
      <c r="I71" s="233"/>
      <c r="J71" s="233"/>
      <c r="K71" s="233"/>
      <c r="L71" s="233"/>
      <c r="M71" s="235"/>
      <c r="N71" s="236"/>
      <c r="O71" s="235"/>
      <c r="P71" s="236"/>
      <c r="Q71" s="236"/>
      <c r="R71" s="236"/>
      <c r="S71" s="237"/>
      <c r="T71" s="236"/>
      <c r="U71" s="233"/>
      <c r="V71" s="233"/>
      <c r="W71" s="233"/>
      <c r="X71" s="238"/>
    </row>
    <row r="72" spans="1:24" s="3" customFormat="1">
      <c r="A72" s="233"/>
      <c r="B72" s="242" t="s">
        <v>239</v>
      </c>
      <c r="C72" s="11"/>
      <c r="D72" s="234"/>
      <c r="E72" s="11"/>
      <c r="F72" s="233"/>
      <c r="G72" s="233"/>
      <c r="H72" s="233"/>
      <c r="I72" s="233"/>
      <c r="J72" s="233"/>
      <c r="K72" s="233"/>
      <c r="L72" s="233"/>
      <c r="M72" s="235"/>
      <c r="N72" s="236"/>
      <c r="O72" s="235"/>
      <c r="P72" s="236"/>
      <c r="Q72" s="236"/>
      <c r="R72" s="236"/>
      <c r="S72" s="237"/>
      <c r="T72" s="236"/>
      <c r="U72" s="233"/>
      <c r="V72" s="233"/>
      <c r="W72" s="233"/>
      <c r="X72" s="238"/>
    </row>
    <row r="73" spans="1:24" s="3" customFormat="1">
      <c r="A73" s="233"/>
      <c r="B73" s="242" t="s">
        <v>240</v>
      </c>
      <c r="C73" s="11"/>
      <c r="D73" s="234"/>
      <c r="E73" s="11"/>
      <c r="F73" s="233"/>
      <c r="G73" s="233"/>
      <c r="H73" s="233"/>
      <c r="I73" s="233"/>
      <c r="J73" s="233"/>
      <c r="K73" s="233"/>
      <c r="L73" s="233"/>
      <c r="M73" s="235"/>
      <c r="N73" s="236"/>
      <c r="O73" s="235"/>
      <c r="P73" s="236"/>
      <c r="Q73" s="236"/>
      <c r="R73" s="236"/>
      <c r="S73" s="237"/>
      <c r="T73" s="236"/>
      <c r="U73" s="233"/>
      <c r="V73" s="233"/>
      <c r="W73" s="233"/>
      <c r="X73" s="238"/>
    </row>
    <row r="74" spans="1:24" s="3" customFormat="1">
      <c r="A74" s="233"/>
      <c r="B74" s="242" t="s">
        <v>257</v>
      </c>
      <c r="C74" s="11"/>
      <c r="D74" s="234"/>
      <c r="E74" s="11"/>
      <c r="F74" s="233"/>
      <c r="G74" s="233"/>
      <c r="H74" s="233"/>
      <c r="I74" s="233"/>
      <c r="J74" s="233"/>
      <c r="K74" s="233"/>
      <c r="L74" s="233"/>
      <c r="M74" s="235"/>
      <c r="N74" s="236"/>
      <c r="O74" s="235"/>
      <c r="P74" s="236"/>
      <c r="Q74" s="236"/>
      <c r="R74" s="236"/>
      <c r="S74" s="237"/>
      <c r="T74" s="236"/>
      <c r="U74" s="233"/>
      <c r="V74" s="233"/>
      <c r="W74" s="233"/>
      <c r="X74" s="238"/>
    </row>
    <row r="75" spans="1:24" s="3" customFormat="1">
      <c r="A75" s="233"/>
      <c r="B75" s="438" t="s">
        <v>152</v>
      </c>
      <c r="C75" s="439"/>
      <c r="D75" s="438" t="s">
        <v>153</v>
      </c>
      <c r="E75" s="439"/>
      <c r="F75" s="123" t="s">
        <v>154</v>
      </c>
      <c r="G75" s="123" t="s">
        <v>155</v>
      </c>
      <c r="H75" s="123" t="s">
        <v>156</v>
      </c>
      <c r="I75" s="123" t="s">
        <v>157</v>
      </c>
      <c r="J75" s="123" t="s">
        <v>97</v>
      </c>
      <c r="K75" s="233"/>
      <c r="L75" s="233"/>
      <c r="M75" s="235"/>
      <c r="N75" s="236"/>
      <c r="O75" s="235"/>
      <c r="P75" s="236"/>
      <c r="Q75" s="236"/>
      <c r="R75" s="236"/>
      <c r="S75" s="237"/>
      <c r="T75" s="236"/>
      <c r="U75" s="233"/>
      <c r="V75" s="233"/>
      <c r="W75" s="233"/>
      <c r="X75" s="238"/>
    </row>
    <row r="76" spans="1:24" s="3" customFormat="1">
      <c r="A76" s="233"/>
      <c r="B76" s="435" t="s">
        <v>348</v>
      </c>
      <c r="C76" s="435"/>
      <c r="D76" s="440" t="s">
        <v>361</v>
      </c>
      <c r="E76" s="441"/>
      <c r="F76" s="50">
        <v>1</v>
      </c>
      <c r="G76" s="62">
        <v>21</v>
      </c>
      <c r="H76" s="185">
        <v>7.0000000000000007E-2</v>
      </c>
      <c r="I76" s="186">
        <f t="shared" ref="I76:I105" si="9">IF(B76=0,0,H76*G76*F76)</f>
        <v>1.4700000000000002</v>
      </c>
      <c r="J76" s="59"/>
      <c r="K76" s="233"/>
      <c r="L76" s="233"/>
      <c r="M76" s="235"/>
      <c r="N76" s="236"/>
      <c r="O76" s="235"/>
      <c r="P76" s="236"/>
      <c r="Q76" s="236"/>
      <c r="R76" s="236"/>
      <c r="S76" s="237"/>
      <c r="T76" s="236"/>
      <c r="U76" s="233"/>
      <c r="V76" s="233"/>
      <c r="W76" s="233"/>
      <c r="X76" s="238"/>
    </row>
    <row r="77" spans="1:24" s="3" customFormat="1">
      <c r="A77" s="233"/>
      <c r="B77" s="435"/>
      <c r="C77" s="435"/>
      <c r="D77" s="436"/>
      <c r="E77" s="437"/>
      <c r="F77" s="50"/>
      <c r="G77" s="62"/>
      <c r="H77" s="185"/>
      <c r="I77" s="186">
        <f t="shared" si="9"/>
        <v>0</v>
      </c>
      <c r="J77" s="59"/>
      <c r="K77" s="233"/>
      <c r="L77" s="233"/>
      <c r="M77" s="235"/>
      <c r="N77" s="236"/>
      <c r="O77" s="235"/>
      <c r="P77" s="236"/>
      <c r="Q77" s="236"/>
      <c r="R77" s="236"/>
      <c r="S77" s="237"/>
      <c r="T77" s="236"/>
      <c r="U77" s="233"/>
      <c r="V77" s="233"/>
      <c r="W77" s="233"/>
      <c r="X77" s="238"/>
    </row>
    <row r="78" spans="1:24" s="3" customFormat="1">
      <c r="A78" s="233"/>
      <c r="B78" s="435"/>
      <c r="C78" s="435"/>
      <c r="D78" s="436"/>
      <c r="E78" s="437"/>
      <c r="F78" s="50"/>
      <c r="G78" s="62"/>
      <c r="H78" s="185"/>
      <c r="I78" s="186">
        <f>IF(B78=0,0,H78*G78*F78)</f>
        <v>0</v>
      </c>
      <c r="J78" s="59"/>
      <c r="K78" s="233"/>
      <c r="L78" s="233"/>
      <c r="M78" s="235"/>
      <c r="N78" s="236"/>
      <c r="O78" s="235"/>
      <c r="P78" s="236"/>
      <c r="Q78" s="236"/>
      <c r="R78" s="236"/>
      <c r="S78" s="237"/>
      <c r="T78" s="236"/>
      <c r="U78" s="233"/>
      <c r="V78" s="233"/>
      <c r="W78" s="233"/>
      <c r="X78" s="238"/>
    </row>
    <row r="79" spans="1:24" s="3" customFormat="1">
      <c r="A79" s="233"/>
      <c r="B79" s="435"/>
      <c r="C79" s="435"/>
      <c r="D79" s="436"/>
      <c r="E79" s="437"/>
      <c r="F79" s="50"/>
      <c r="G79" s="62"/>
      <c r="H79" s="185"/>
      <c r="I79" s="186">
        <f>IF(B79=0,0,H79*G79*F79)</f>
        <v>0</v>
      </c>
      <c r="J79" s="59"/>
      <c r="K79" s="233"/>
      <c r="L79" s="233"/>
      <c r="M79" s="235"/>
      <c r="N79" s="236"/>
      <c r="O79" s="235"/>
      <c r="P79" s="236"/>
      <c r="Q79" s="236"/>
      <c r="R79" s="236"/>
      <c r="S79" s="237"/>
      <c r="T79" s="236"/>
      <c r="U79" s="233"/>
      <c r="V79" s="233"/>
      <c r="W79" s="233"/>
      <c r="X79" s="238"/>
    </row>
    <row r="80" spans="1:24" s="3" customFormat="1">
      <c r="A80" s="233"/>
      <c r="B80" s="435"/>
      <c r="C80" s="435"/>
      <c r="D80" s="436"/>
      <c r="E80" s="437"/>
      <c r="F80" s="50"/>
      <c r="G80" s="62"/>
      <c r="H80" s="185"/>
      <c r="I80" s="186">
        <f t="shared" si="9"/>
        <v>0</v>
      </c>
      <c r="J80" s="59"/>
      <c r="K80" s="233"/>
      <c r="L80" s="233"/>
      <c r="M80" s="235"/>
      <c r="N80" s="236"/>
      <c r="O80" s="235"/>
      <c r="P80" s="236"/>
      <c r="Q80" s="236"/>
      <c r="R80" s="236"/>
      <c r="S80" s="237"/>
      <c r="T80" s="236"/>
      <c r="U80" s="233"/>
      <c r="V80" s="233"/>
      <c r="W80" s="233"/>
      <c r="X80" s="238"/>
    </row>
    <row r="81" spans="1:24" s="3" customFormat="1">
      <c r="A81" s="233"/>
      <c r="B81" s="435"/>
      <c r="C81" s="435"/>
      <c r="D81" s="436"/>
      <c r="E81" s="437"/>
      <c r="F81" s="50"/>
      <c r="G81" s="62"/>
      <c r="H81" s="185"/>
      <c r="I81" s="186">
        <f t="shared" si="9"/>
        <v>0</v>
      </c>
      <c r="J81" s="59"/>
      <c r="K81" s="233"/>
      <c r="L81" s="233"/>
      <c r="M81" s="235"/>
      <c r="N81" s="236"/>
      <c r="O81" s="235"/>
      <c r="P81" s="236"/>
      <c r="Q81" s="236"/>
      <c r="R81" s="236"/>
      <c r="S81" s="237"/>
      <c r="T81" s="236"/>
      <c r="U81" s="233"/>
      <c r="V81" s="233"/>
      <c r="W81" s="233"/>
      <c r="X81" s="238"/>
    </row>
    <row r="82" spans="1:24" s="3" customFormat="1">
      <c r="A82" s="233"/>
      <c r="B82" s="435"/>
      <c r="C82" s="435"/>
      <c r="D82" s="436"/>
      <c r="E82" s="437"/>
      <c r="F82" s="50"/>
      <c r="G82" s="62"/>
      <c r="H82" s="185"/>
      <c r="I82" s="186">
        <f t="shared" si="9"/>
        <v>0</v>
      </c>
      <c r="J82" s="59"/>
      <c r="K82" s="233"/>
      <c r="L82" s="233"/>
      <c r="M82" s="235"/>
      <c r="N82" s="236"/>
      <c r="O82" s="235"/>
      <c r="P82" s="236"/>
      <c r="Q82" s="236"/>
      <c r="R82" s="236"/>
      <c r="S82" s="237"/>
      <c r="T82" s="236"/>
      <c r="U82" s="233"/>
      <c r="V82" s="233"/>
      <c r="W82" s="233"/>
      <c r="X82" s="238"/>
    </row>
    <row r="83" spans="1:24" s="3" customFormat="1">
      <c r="A83" s="233"/>
      <c r="B83" s="435"/>
      <c r="C83" s="435"/>
      <c r="D83" s="436"/>
      <c r="E83" s="437"/>
      <c r="F83" s="50"/>
      <c r="G83" s="62"/>
      <c r="H83" s="185"/>
      <c r="I83" s="186">
        <f t="shared" si="9"/>
        <v>0</v>
      </c>
      <c r="J83" s="59"/>
      <c r="K83" s="233"/>
      <c r="L83" s="233"/>
      <c r="M83" s="235"/>
      <c r="N83" s="236"/>
      <c r="O83" s="235"/>
      <c r="P83" s="236"/>
      <c r="Q83" s="236"/>
      <c r="R83" s="236"/>
      <c r="S83" s="237"/>
      <c r="T83" s="236"/>
      <c r="U83" s="233"/>
      <c r="V83" s="233"/>
      <c r="W83" s="233"/>
      <c r="X83" s="238"/>
    </row>
    <row r="84" spans="1:24" s="3" customFormat="1">
      <c r="A84" s="233"/>
      <c r="B84" s="435"/>
      <c r="C84" s="435"/>
      <c r="D84" s="436"/>
      <c r="E84" s="437"/>
      <c r="F84" s="50"/>
      <c r="G84" s="62"/>
      <c r="H84" s="185"/>
      <c r="I84" s="186">
        <f t="shared" si="9"/>
        <v>0</v>
      </c>
      <c r="J84" s="59"/>
      <c r="K84" s="233"/>
      <c r="L84" s="233"/>
      <c r="M84" s="235"/>
      <c r="N84" s="236"/>
      <c r="O84" s="235"/>
      <c r="P84" s="236"/>
      <c r="Q84" s="236"/>
      <c r="R84" s="236"/>
      <c r="S84" s="237"/>
      <c r="T84" s="236"/>
      <c r="U84" s="233"/>
      <c r="V84" s="233"/>
      <c r="W84" s="233"/>
      <c r="X84" s="238"/>
    </row>
    <row r="85" spans="1:24" s="3" customFormat="1">
      <c r="A85" s="233"/>
      <c r="B85" s="435"/>
      <c r="C85" s="435"/>
      <c r="D85" s="436"/>
      <c r="E85" s="437"/>
      <c r="F85" s="50"/>
      <c r="G85" s="62"/>
      <c r="H85" s="185"/>
      <c r="I85" s="186">
        <f t="shared" si="9"/>
        <v>0</v>
      </c>
      <c r="J85" s="59"/>
      <c r="K85" s="233"/>
      <c r="L85" s="233"/>
      <c r="M85" s="235"/>
      <c r="N85" s="236"/>
      <c r="O85" s="235"/>
      <c r="P85" s="236"/>
      <c r="Q85" s="236"/>
      <c r="R85" s="236"/>
      <c r="S85" s="237"/>
      <c r="T85" s="236"/>
      <c r="U85" s="233"/>
      <c r="V85" s="233"/>
      <c r="W85" s="233"/>
      <c r="X85" s="238"/>
    </row>
    <row r="86" spans="1:24" s="3" customFormat="1">
      <c r="A86" s="233"/>
      <c r="B86" s="435"/>
      <c r="C86" s="435"/>
      <c r="D86" s="436"/>
      <c r="E86" s="437"/>
      <c r="F86" s="50"/>
      <c r="G86" s="62"/>
      <c r="H86" s="185"/>
      <c r="I86" s="186">
        <f t="shared" si="9"/>
        <v>0</v>
      </c>
      <c r="J86" s="59"/>
      <c r="K86" s="233"/>
      <c r="L86" s="233"/>
      <c r="M86" s="235"/>
      <c r="N86" s="236"/>
      <c r="O86" s="235"/>
      <c r="P86" s="236"/>
      <c r="Q86" s="236"/>
      <c r="R86" s="236"/>
      <c r="S86" s="237"/>
      <c r="T86" s="236"/>
      <c r="U86" s="233"/>
      <c r="V86" s="233"/>
      <c r="W86" s="233"/>
      <c r="X86" s="238"/>
    </row>
    <row r="87" spans="1:24" s="3" customFormat="1">
      <c r="A87" s="233"/>
      <c r="B87" s="435"/>
      <c r="C87" s="435"/>
      <c r="D87" s="436"/>
      <c r="E87" s="437"/>
      <c r="F87" s="50"/>
      <c r="G87" s="62"/>
      <c r="H87" s="185"/>
      <c r="I87" s="186">
        <f t="shared" si="9"/>
        <v>0</v>
      </c>
      <c r="J87" s="59"/>
      <c r="K87" s="233"/>
      <c r="L87" s="233"/>
      <c r="M87" s="235"/>
      <c r="N87" s="236"/>
      <c r="O87" s="235"/>
      <c r="P87" s="236"/>
      <c r="Q87" s="236"/>
      <c r="R87" s="236"/>
      <c r="S87" s="237"/>
      <c r="T87" s="236"/>
      <c r="U87" s="233"/>
      <c r="V87" s="233"/>
      <c r="W87" s="233"/>
      <c r="X87" s="238"/>
    </row>
    <row r="88" spans="1:24" s="3" customFormat="1">
      <c r="A88" s="233"/>
      <c r="B88" s="435"/>
      <c r="C88" s="435"/>
      <c r="D88" s="436"/>
      <c r="E88" s="437"/>
      <c r="F88" s="50"/>
      <c r="G88" s="62"/>
      <c r="H88" s="185"/>
      <c r="I88" s="186">
        <f t="shared" si="9"/>
        <v>0</v>
      </c>
      <c r="J88" s="59"/>
      <c r="K88" s="233"/>
      <c r="L88" s="233"/>
      <c r="M88" s="235"/>
      <c r="N88" s="236"/>
      <c r="O88" s="235"/>
      <c r="P88" s="236"/>
      <c r="Q88" s="236"/>
      <c r="R88" s="236"/>
      <c r="S88" s="237"/>
      <c r="T88" s="236"/>
      <c r="U88" s="233"/>
      <c r="V88" s="233"/>
      <c r="W88" s="233"/>
      <c r="X88" s="238"/>
    </row>
    <row r="89" spans="1:24" s="3" customFormat="1">
      <c r="A89" s="233"/>
      <c r="B89" s="435"/>
      <c r="C89" s="435"/>
      <c r="D89" s="435"/>
      <c r="E89" s="435"/>
      <c r="F89" s="50"/>
      <c r="G89" s="62"/>
      <c r="H89" s="185"/>
      <c r="I89" s="186">
        <f t="shared" si="9"/>
        <v>0</v>
      </c>
      <c r="J89" s="59"/>
      <c r="K89" s="233"/>
      <c r="L89" s="233"/>
      <c r="M89" s="235"/>
      <c r="N89" s="236"/>
      <c r="O89" s="235"/>
      <c r="P89" s="236"/>
      <c r="Q89" s="236"/>
      <c r="R89" s="236"/>
      <c r="S89" s="237"/>
      <c r="T89" s="236"/>
      <c r="U89" s="233"/>
      <c r="V89" s="233"/>
      <c r="W89" s="233"/>
      <c r="X89" s="238"/>
    </row>
    <row r="90" spans="1:24" s="3" customFormat="1">
      <c r="A90" s="233"/>
      <c r="B90" s="435"/>
      <c r="C90" s="435"/>
      <c r="D90" s="435"/>
      <c r="E90" s="435"/>
      <c r="F90" s="50"/>
      <c r="G90" s="62"/>
      <c r="H90" s="185"/>
      <c r="I90" s="186">
        <f t="shared" si="9"/>
        <v>0</v>
      </c>
      <c r="J90" s="59"/>
      <c r="K90" s="233"/>
      <c r="L90" s="233"/>
      <c r="M90" s="235"/>
      <c r="N90" s="236"/>
      <c r="O90" s="235"/>
      <c r="P90" s="236"/>
      <c r="Q90" s="236"/>
      <c r="R90" s="236"/>
      <c r="S90" s="237"/>
      <c r="T90" s="236"/>
      <c r="U90" s="233"/>
      <c r="V90" s="233"/>
      <c r="W90" s="233"/>
      <c r="X90" s="238"/>
    </row>
    <row r="91" spans="1:24" s="3" customFormat="1">
      <c r="A91" s="233"/>
      <c r="B91" s="435"/>
      <c r="C91" s="435"/>
      <c r="D91" s="435"/>
      <c r="E91" s="435"/>
      <c r="F91" s="50"/>
      <c r="G91" s="62"/>
      <c r="H91" s="185"/>
      <c r="I91" s="186">
        <f t="shared" si="9"/>
        <v>0</v>
      </c>
      <c r="J91" s="59"/>
      <c r="K91" s="233"/>
      <c r="L91" s="233"/>
      <c r="M91" s="235"/>
      <c r="N91" s="236"/>
      <c r="O91" s="235"/>
      <c r="P91" s="236"/>
      <c r="Q91" s="236"/>
      <c r="R91" s="236"/>
      <c r="S91" s="237"/>
      <c r="T91" s="236"/>
      <c r="U91" s="233"/>
      <c r="V91" s="233"/>
      <c r="W91" s="233"/>
      <c r="X91" s="238"/>
    </row>
    <row r="92" spans="1:24" s="3" customFormat="1">
      <c r="A92" s="233"/>
      <c r="B92" s="435"/>
      <c r="C92" s="435"/>
      <c r="D92" s="435"/>
      <c r="E92" s="435"/>
      <c r="F92" s="50"/>
      <c r="G92" s="62"/>
      <c r="H92" s="185"/>
      <c r="I92" s="186">
        <f t="shared" si="9"/>
        <v>0</v>
      </c>
      <c r="J92" s="59"/>
      <c r="K92" s="233"/>
      <c r="L92" s="233"/>
      <c r="M92" s="235"/>
      <c r="N92" s="236"/>
      <c r="O92" s="235"/>
      <c r="P92" s="236"/>
      <c r="Q92" s="236"/>
      <c r="R92" s="236"/>
      <c r="S92" s="237"/>
      <c r="T92" s="236"/>
      <c r="U92" s="233"/>
      <c r="V92" s="233"/>
      <c r="W92" s="233"/>
      <c r="X92" s="238"/>
    </row>
    <row r="93" spans="1:24" s="3" customFormat="1">
      <c r="A93" s="233"/>
      <c r="B93" s="435"/>
      <c r="C93" s="435"/>
      <c r="D93" s="435"/>
      <c r="E93" s="435"/>
      <c r="F93" s="50"/>
      <c r="G93" s="62"/>
      <c r="H93" s="185"/>
      <c r="I93" s="186">
        <f t="shared" si="9"/>
        <v>0</v>
      </c>
      <c r="J93" s="59"/>
      <c r="K93" s="233"/>
      <c r="L93" s="233"/>
      <c r="M93" s="235"/>
      <c r="N93" s="236"/>
      <c r="O93" s="235"/>
      <c r="P93" s="236"/>
      <c r="Q93" s="236"/>
      <c r="R93" s="236"/>
      <c r="S93" s="237"/>
      <c r="T93" s="236"/>
      <c r="U93" s="233"/>
      <c r="V93" s="233"/>
      <c r="W93" s="233"/>
      <c r="X93" s="238"/>
    </row>
    <row r="94" spans="1:24" s="3" customFormat="1">
      <c r="A94" s="233"/>
      <c r="B94" s="435"/>
      <c r="C94" s="435"/>
      <c r="D94" s="435"/>
      <c r="E94" s="435"/>
      <c r="F94" s="50"/>
      <c r="G94" s="62"/>
      <c r="H94" s="185"/>
      <c r="I94" s="186">
        <f t="shared" si="9"/>
        <v>0</v>
      </c>
      <c r="J94" s="59"/>
      <c r="K94" s="233"/>
      <c r="L94" s="233"/>
      <c r="M94" s="235"/>
      <c r="N94" s="236"/>
      <c r="O94" s="235"/>
      <c r="P94" s="236"/>
      <c r="Q94" s="236"/>
      <c r="R94" s="236"/>
      <c r="S94" s="237"/>
      <c r="T94" s="236"/>
      <c r="U94" s="233"/>
      <c r="V94" s="233"/>
      <c r="W94" s="233"/>
      <c r="X94" s="238"/>
    </row>
    <row r="95" spans="1:24" s="3" customFormat="1">
      <c r="A95" s="233"/>
      <c r="B95" s="435"/>
      <c r="C95" s="435"/>
      <c r="D95" s="435"/>
      <c r="E95" s="435"/>
      <c r="F95" s="50"/>
      <c r="G95" s="62"/>
      <c r="H95" s="185"/>
      <c r="I95" s="186">
        <f t="shared" si="9"/>
        <v>0</v>
      </c>
      <c r="J95" s="59"/>
      <c r="K95" s="233"/>
      <c r="L95" s="233"/>
      <c r="M95" s="235"/>
      <c r="N95" s="236"/>
      <c r="O95" s="235"/>
      <c r="P95" s="236"/>
      <c r="Q95" s="236"/>
      <c r="R95" s="236"/>
      <c r="S95" s="237"/>
      <c r="T95" s="236"/>
      <c r="U95" s="233"/>
      <c r="V95" s="233"/>
      <c r="W95" s="233"/>
      <c r="X95" s="238"/>
    </row>
    <row r="96" spans="1:24" s="3" customFormat="1">
      <c r="A96" s="233"/>
      <c r="B96" s="435"/>
      <c r="C96" s="435"/>
      <c r="D96" s="435"/>
      <c r="E96" s="435"/>
      <c r="F96" s="50"/>
      <c r="G96" s="62"/>
      <c r="H96" s="185"/>
      <c r="I96" s="186">
        <f t="shared" si="9"/>
        <v>0</v>
      </c>
      <c r="J96" s="59"/>
      <c r="K96" s="233"/>
      <c r="L96" s="233"/>
      <c r="M96" s="235"/>
      <c r="N96" s="236"/>
      <c r="O96" s="235"/>
      <c r="P96" s="236"/>
      <c r="Q96" s="236"/>
      <c r="R96" s="236"/>
      <c r="S96" s="237"/>
      <c r="T96" s="236"/>
      <c r="U96" s="233"/>
      <c r="V96" s="233"/>
      <c r="W96" s="233"/>
      <c r="X96" s="238"/>
    </row>
    <row r="97" spans="1:24" s="3" customFormat="1">
      <c r="A97" s="233"/>
      <c r="B97" s="435"/>
      <c r="C97" s="435"/>
      <c r="D97" s="435"/>
      <c r="E97" s="435"/>
      <c r="F97" s="50"/>
      <c r="G97" s="62"/>
      <c r="H97" s="185"/>
      <c r="I97" s="186">
        <f t="shared" si="9"/>
        <v>0</v>
      </c>
      <c r="J97" s="59"/>
      <c r="K97" s="233"/>
      <c r="L97" s="233"/>
      <c r="M97" s="235"/>
      <c r="N97" s="236"/>
      <c r="O97" s="235"/>
      <c r="P97" s="236"/>
      <c r="Q97" s="236"/>
      <c r="R97" s="236"/>
      <c r="S97" s="237"/>
      <c r="T97" s="236"/>
      <c r="U97" s="233"/>
      <c r="V97" s="233"/>
      <c r="W97" s="233"/>
      <c r="X97" s="238"/>
    </row>
    <row r="98" spans="1:24" s="3" customFormat="1">
      <c r="A98" s="233"/>
      <c r="B98" s="435"/>
      <c r="C98" s="435"/>
      <c r="D98" s="435"/>
      <c r="E98" s="435"/>
      <c r="F98" s="50"/>
      <c r="G98" s="62"/>
      <c r="H98" s="185"/>
      <c r="I98" s="186">
        <f t="shared" si="9"/>
        <v>0</v>
      </c>
      <c r="J98" s="59"/>
      <c r="K98" s="233"/>
      <c r="L98" s="233"/>
      <c r="M98" s="235"/>
      <c r="N98" s="236"/>
      <c r="O98" s="235"/>
      <c r="P98" s="236"/>
      <c r="Q98" s="236"/>
      <c r="R98" s="236"/>
      <c r="S98" s="237"/>
      <c r="T98" s="236"/>
      <c r="U98" s="233"/>
      <c r="V98" s="233"/>
      <c r="W98" s="233"/>
      <c r="X98" s="238"/>
    </row>
    <row r="99" spans="1:24" s="3" customFormat="1">
      <c r="A99" s="233"/>
      <c r="B99" s="435"/>
      <c r="C99" s="435"/>
      <c r="D99" s="435"/>
      <c r="E99" s="435"/>
      <c r="F99" s="50"/>
      <c r="G99" s="62"/>
      <c r="H99" s="185"/>
      <c r="I99" s="186">
        <f t="shared" si="9"/>
        <v>0</v>
      </c>
      <c r="J99" s="59"/>
      <c r="K99" s="233"/>
      <c r="L99" s="233"/>
      <c r="M99" s="235"/>
      <c r="N99" s="236"/>
      <c r="O99" s="235"/>
      <c r="P99" s="236"/>
      <c r="Q99" s="236"/>
      <c r="R99" s="236"/>
      <c r="S99" s="237"/>
      <c r="T99" s="236"/>
      <c r="U99" s="233"/>
      <c r="V99" s="233"/>
      <c r="W99" s="233"/>
      <c r="X99" s="238"/>
    </row>
    <row r="100" spans="1:24" s="3" customFormat="1">
      <c r="A100" s="233"/>
      <c r="B100" s="435"/>
      <c r="C100" s="435"/>
      <c r="D100" s="435"/>
      <c r="E100" s="435"/>
      <c r="F100" s="50"/>
      <c r="G100" s="62"/>
      <c r="H100" s="185"/>
      <c r="I100" s="186">
        <f t="shared" si="9"/>
        <v>0</v>
      </c>
      <c r="J100" s="59"/>
      <c r="K100" s="233"/>
      <c r="L100" s="233"/>
      <c r="M100" s="235"/>
      <c r="N100" s="236"/>
      <c r="O100" s="235"/>
      <c r="P100" s="236"/>
      <c r="Q100" s="236"/>
      <c r="R100" s="236"/>
      <c r="S100" s="237"/>
      <c r="T100" s="236"/>
      <c r="U100" s="233"/>
      <c r="V100" s="233"/>
      <c r="W100" s="233"/>
      <c r="X100" s="238"/>
    </row>
    <row r="101" spans="1:24" s="3" customFormat="1">
      <c r="A101" s="233"/>
      <c r="B101" s="435"/>
      <c r="C101" s="435"/>
      <c r="D101" s="435"/>
      <c r="E101" s="435"/>
      <c r="F101" s="50"/>
      <c r="G101" s="62"/>
      <c r="H101" s="185"/>
      <c r="I101" s="186">
        <f t="shared" si="9"/>
        <v>0</v>
      </c>
      <c r="J101" s="59"/>
      <c r="K101" s="233"/>
      <c r="L101" s="233"/>
      <c r="M101" s="235"/>
      <c r="N101" s="236"/>
      <c r="O101" s="235"/>
      <c r="P101" s="236"/>
      <c r="Q101" s="236"/>
      <c r="R101" s="236"/>
      <c r="S101" s="237"/>
      <c r="T101" s="236"/>
      <c r="U101" s="233"/>
      <c r="V101" s="233"/>
      <c r="W101" s="233"/>
      <c r="X101" s="238"/>
    </row>
    <row r="102" spans="1:24" s="3" customFormat="1">
      <c r="A102" s="233"/>
      <c r="B102" s="435"/>
      <c r="C102" s="435"/>
      <c r="D102" s="435"/>
      <c r="E102" s="435"/>
      <c r="F102" s="50"/>
      <c r="G102" s="62"/>
      <c r="H102" s="185"/>
      <c r="I102" s="186">
        <f t="shared" si="9"/>
        <v>0</v>
      </c>
      <c r="J102" s="59"/>
      <c r="K102" s="233"/>
      <c r="L102" s="233"/>
      <c r="M102" s="235"/>
      <c r="N102" s="236"/>
      <c r="O102" s="235"/>
      <c r="P102" s="236"/>
      <c r="Q102" s="236"/>
      <c r="R102" s="236"/>
      <c r="S102" s="237"/>
      <c r="T102" s="236"/>
      <c r="U102" s="233"/>
      <c r="V102" s="233"/>
      <c r="W102" s="233"/>
      <c r="X102" s="238"/>
    </row>
    <row r="103" spans="1:24" s="3" customFormat="1">
      <c r="A103" s="233"/>
      <c r="B103" s="435"/>
      <c r="C103" s="435"/>
      <c r="D103" s="435"/>
      <c r="E103" s="435"/>
      <c r="F103" s="50"/>
      <c r="G103" s="62"/>
      <c r="H103" s="185"/>
      <c r="I103" s="186">
        <f t="shared" si="9"/>
        <v>0</v>
      </c>
      <c r="J103" s="59"/>
      <c r="K103" s="233"/>
      <c r="L103" s="233"/>
      <c r="M103" s="235"/>
      <c r="N103" s="236"/>
      <c r="O103" s="235"/>
      <c r="P103" s="236"/>
      <c r="Q103" s="236"/>
      <c r="R103" s="236"/>
      <c r="S103" s="237"/>
      <c r="T103" s="236"/>
      <c r="U103" s="233"/>
      <c r="V103" s="233"/>
      <c r="W103" s="233"/>
      <c r="X103" s="238"/>
    </row>
    <row r="104" spans="1:24" s="3" customFormat="1">
      <c r="A104" s="233"/>
      <c r="B104" s="435"/>
      <c r="C104" s="435"/>
      <c r="D104" s="435"/>
      <c r="E104" s="435"/>
      <c r="F104" s="50"/>
      <c r="G104" s="62"/>
      <c r="H104" s="185"/>
      <c r="I104" s="186">
        <f t="shared" si="9"/>
        <v>0</v>
      </c>
      <c r="J104" s="59"/>
      <c r="K104" s="233"/>
      <c r="L104" s="233"/>
      <c r="M104" s="235"/>
      <c r="N104" s="236"/>
      <c r="O104" s="235"/>
      <c r="P104" s="236"/>
      <c r="Q104" s="236"/>
      <c r="R104" s="236"/>
      <c r="S104" s="237"/>
      <c r="T104" s="236"/>
      <c r="U104" s="233"/>
      <c r="V104" s="233"/>
      <c r="W104" s="233"/>
      <c r="X104" s="238"/>
    </row>
    <row r="105" spans="1:24" s="3" customFormat="1">
      <c r="A105" s="233"/>
      <c r="B105" s="435"/>
      <c r="C105" s="435"/>
      <c r="D105" s="435"/>
      <c r="E105" s="435"/>
      <c r="F105" s="50"/>
      <c r="G105" s="62"/>
      <c r="H105" s="185"/>
      <c r="I105" s="186">
        <f t="shared" si="9"/>
        <v>0</v>
      </c>
      <c r="J105" s="59"/>
      <c r="K105" s="233"/>
      <c r="L105" s="233"/>
      <c r="M105" s="235"/>
      <c r="N105" s="236"/>
      <c r="O105" s="235"/>
      <c r="P105" s="236"/>
      <c r="Q105" s="236"/>
      <c r="R105" s="236"/>
      <c r="S105" s="237"/>
      <c r="T105" s="236"/>
      <c r="U105" s="233"/>
      <c r="V105" s="233"/>
      <c r="W105" s="233"/>
      <c r="X105" s="238"/>
    </row>
    <row r="106" spans="1:24" s="3" customFormat="1">
      <c r="A106" s="233"/>
      <c r="B106" s="136"/>
      <c r="C106" s="11"/>
      <c r="D106" s="234"/>
      <c r="E106" s="11"/>
      <c r="F106" s="233"/>
      <c r="G106" s="233"/>
      <c r="H106" s="233"/>
      <c r="I106" s="233"/>
      <c r="J106" s="233"/>
      <c r="K106" s="233"/>
      <c r="L106" s="233"/>
      <c r="M106" s="235"/>
      <c r="N106" s="236"/>
      <c r="O106" s="235"/>
      <c r="P106" s="236"/>
      <c r="Q106" s="236"/>
      <c r="R106" s="236"/>
      <c r="S106" s="237"/>
      <c r="T106" s="236"/>
      <c r="U106" s="233"/>
      <c r="V106" s="233"/>
      <c r="W106" s="233"/>
      <c r="X106" s="238"/>
    </row>
    <row r="107" spans="1:24" s="3" customFormat="1">
      <c r="A107" s="233"/>
      <c r="B107" s="136"/>
      <c r="C107" s="11"/>
      <c r="D107" s="234"/>
      <c r="E107" s="11"/>
      <c r="F107" s="233"/>
      <c r="G107" s="233"/>
      <c r="H107" s="233"/>
      <c r="I107" s="233"/>
      <c r="J107" s="233"/>
      <c r="K107" s="233"/>
      <c r="L107" s="233"/>
      <c r="M107" s="235"/>
      <c r="N107" s="236"/>
      <c r="O107" s="235"/>
      <c r="P107" s="236"/>
      <c r="Q107" s="236"/>
      <c r="R107" s="236"/>
      <c r="S107" s="237"/>
      <c r="T107" s="236"/>
      <c r="U107" s="233"/>
      <c r="V107" s="233"/>
      <c r="W107" s="233"/>
      <c r="X107" s="238"/>
    </row>
    <row r="108" spans="1:24" s="181" customFormat="1" ht="18">
      <c r="A108" s="244"/>
      <c r="B108" s="243" t="s">
        <v>241</v>
      </c>
      <c r="C108" s="245"/>
      <c r="D108" s="246"/>
      <c r="E108" s="245"/>
      <c r="F108" s="244"/>
      <c r="G108" s="244"/>
      <c r="H108" s="244"/>
      <c r="I108" s="244"/>
      <c r="J108" s="244"/>
      <c r="K108" s="244"/>
      <c r="L108" s="244"/>
      <c r="M108" s="247"/>
      <c r="N108" s="248"/>
      <c r="O108" s="247"/>
      <c r="P108" s="248"/>
      <c r="Q108" s="248"/>
      <c r="R108" s="248"/>
      <c r="S108" s="249"/>
      <c r="T108" s="248"/>
      <c r="U108" s="244"/>
      <c r="V108" s="244"/>
      <c r="W108" s="244"/>
      <c r="X108" s="250"/>
    </row>
    <row r="109" spans="1:24" s="3" customFormat="1">
      <c r="A109" s="233"/>
      <c r="B109" s="242" t="s">
        <v>242</v>
      </c>
      <c r="C109" s="11"/>
      <c r="D109" s="234"/>
      <c r="E109" s="11"/>
      <c r="F109" s="233"/>
      <c r="G109" s="233"/>
      <c r="H109" s="233"/>
      <c r="I109" s="233"/>
      <c r="J109" s="233"/>
      <c r="K109" s="233"/>
      <c r="L109" s="233"/>
      <c r="M109" s="235"/>
      <c r="N109" s="236"/>
      <c r="O109" s="235"/>
      <c r="P109" s="236"/>
      <c r="Q109" s="236"/>
      <c r="R109" s="236"/>
      <c r="S109" s="237"/>
      <c r="T109" s="236"/>
      <c r="U109" s="233"/>
      <c r="V109" s="233"/>
      <c r="W109" s="233"/>
      <c r="X109" s="238"/>
    </row>
    <row r="110" spans="1:24" s="3" customFormat="1">
      <c r="A110" s="233"/>
      <c r="B110" s="242" t="s">
        <v>243</v>
      </c>
      <c r="C110" s="11"/>
      <c r="D110" s="234"/>
      <c r="E110" s="11"/>
      <c r="F110" s="233"/>
      <c r="G110" s="233"/>
      <c r="H110" s="233"/>
      <c r="I110" s="233"/>
      <c r="J110" s="233"/>
      <c r="K110" s="233"/>
      <c r="L110" s="233"/>
      <c r="M110" s="235"/>
      <c r="N110" s="236"/>
      <c r="O110" s="235"/>
      <c r="P110" s="236"/>
      <c r="Q110" s="236"/>
      <c r="R110" s="236"/>
      <c r="S110" s="237"/>
      <c r="T110" s="236"/>
      <c r="U110" s="233"/>
      <c r="V110" s="233"/>
      <c r="W110" s="233"/>
      <c r="X110" s="238"/>
    </row>
    <row r="111" spans="1:24" s="3" customFormat="1">
      <c r="A111" s="233"/>
      <c r="B111" s="242" t="s">
        <v>244</v>
      </c>
      <c r="C111" s="11"/>
      <c r="D111" s="234"/>
      <c r="E111" s="11"/>
      <c r="F111" s="233"/>
      <c r="G111" s="233"/>
      <c r="H111" s="233"/>
      <c r="I111" s="233"/>
      <c r="J111" s="233"/>
      <c r="K111" s="233"/>
      <c r="L111" s="233"/>
      <c r="M111" s="235"/>
      <c r="N111" s="236"/>
      <c r="O111" s="235"/>
      <c r="P111" s="236"/>
      <c r="Q111" s="236"/>
      <c r="R111" s="236"/>
      <c r="S111" s="237"/>
      <c r="T111" s="236"/>
      <c r="U111" s="233"/>
      <c r="V111" s="233"/>
      <c r="W111" s="233"/>
      <c r="X111" s="238"/>
    </row>
    <row r="112" spans="1:24" s="3" customFormat="1">
      <c r="A112" s="233"/>
      <c r="B112" s="438" t="s">
        <v>152</v>
      </c>
      <c r="C112" s="439"/>
      <c r="D112" s="438" t="s">
        <v>153</v>
      </c>
      <c r="E112" s="439"/>
      <c r="F112" s="123" t="s">
        <v>154</v>
      </c>
      <c r="G112" s="123" t="s">
        <v>155</v>
      </c>
      <c r="H112" s="123" t="s">
        <v>156</v>
      </c>
      <c r="I112" s="123" t="s">
        <v>157</v>
      </c>
      <c r="J112" s="123" t="s">
        <v>97</v>
      </c>
      <c r="K112" s="233"/>
      <c r="L112" s="233"/>
      <c r="M112" s="235"/>
      <c r="N112" s="236"/>
      <c r="O112" s="235"/>
      <c r="P112" s="236"/>
      <c r="Q112" s="236"/>
      <c r="R112" s="236"/>
      <c r="S112" s="237"/>
      <c r="T112" s="236"/>
      <c r="U112" s="233"/>
      <c r="V112" s="233"/>
      <c r="W112" s="233"/>
      <c r="X112" s="238"/>
    </row>
    <row r="113" spans="1:24" s="3" customFormat="1">
      <c r="A113" s="233"/>
      <c r="B113" s="435"/>
      <c r="C113" s="435"/>
      <c r="D113" s="435"/>
      <c r="E113" s="435"/>
      <c r="F113" s="50"/>
      <c r="G113" s="62"/>
      <c r="H113" s="185"/>
      <c r="I113" s="186">
        <f t="shared" ref="I113:I142" si="10">IF(B113=0,0,H113*G113*F113)</f>
        <v>0</v>
      </c>
      <c r="J113" s="59"/>
      <c r="K113" s="233"/>
      <c r="L113" s="233"/>
      <c r="M113" s="235"/>
      <c r="N113" s="236"/>
      <c r="O113" s="235"/>
      <c r="P113" s="236"/>
      <c r="Q113" s="236"/>
      <c r="R113" s="236"/>
      <c r="S113" s="237"/>
      <c r="T113" s="236"/>
      <c r="U113" s="233"/>
      <c r="V113" s="233"/>
      <c r="W113" s="233"/>
      <c r="X113" s="238"/>
    </row>
    <row r="114" spans="1:24" s="3" customFormat="1">
      <c r="A114" s="233"/>
      <c r="B114" s="435"/>
      <c r="C114" s="435"/>
      <c r="D114" s="435"/>
      <c r="E114" s="435"/>
      <c r="F114" s="50"/>
      <c r="G114" s="62"/>
      <c r="H114" s="185"/>
      <c r="I114" s="186">
        <f t="shared" si="10"/>
        <v>0</v>
      </c>
      <c r="J114" s="59"/>
      <c r="K114" s="233"/>
      <c r="L114" s="233"/>
      <c r="M114" s="235"/>
      <c r="N114" s="236"/>
      <c r="O114" s="235"/>
      <c r="P114" s="236"/>
      <c r="Q114" s="236"/>
      <c r="R114" s="236"/>
      <c r="S114" s="237"/>
      <c r="T114" s="236"/>
      <c r="U114" s="233"/>
      <c r="V114" s="233"/>
      <c r="W114" s="233"/>
      <c r="X114" s="238"/>
    </row>
    <row r="115" spans="1:24" s="3" customFormat="1">
      <c r="A115" s="233"/>
      <c r="B115" s="435"/>
      <c r="C115" s="435"/>
      <c r="D115" s="435"/>
      <c r="E115" s="435"/>
      <c r="F115" s="50"/>
      <c r="G115" s="62"/>
      <c r="H115" s="185"/>
      <c r="I115" s="186">
        <f t="shared" si="10"/>
        <v>0</v>
      </c>
      <c r="J115" s="59"/>
      <c r="K115" s="233"/>
      <c r="L115" s="233"/>
      <c r="M115" s="235"/>
      <c r="N115" s="236"/>
      <c r="O115" s="235"/>
      <c r="P115" s="236"/>
      <c r="Q115" s="236"/>
      <c r="R115" s="236"/>
      <c r="S115" s="237"/>
      <c r="T115" s="236"/>
      <c r="U115" s="233"/>
      <c r="V115" s="233"/>
      <c r="W115" s="233"/>
      <c r="X115" s="238"/>
    </row>
    <row r="116" spans="1:24" s="3" customFormat="1">
      <c r="A116" s="233"/>
      <c r="B116" s="435"/>
      <c r="C116" s="435"/>
      <c r="D116" s="435"/>
      <c r="E116" s="435"/>
      <c r="F116" s="50"/>
      <c r="G116" s="62"/>
      <c r="H116" s="185"/>
      <c r="I116" s="186">
        <f t="shared" si="10"/>
        <v>0</v>
      </c>
      <c r="J116" s="59"/>
      <c r="K116" s="233"/>
      <c r="L116" s="233"/>
      <c r="M116" s="235"/>
      <c r="N116" s="236"/>
      <c r="O116" s="235"/>
      <c r="P116" s="236"/>
      <c r="Q116" s="236"/>
      <c r="R116" s="236"/>
      <c r="S116" s="237"/>
      <c r="T116" s="236"/>
      <c r="U116" s="233"/>
      <c r="V116" s="233"/>
      <c r="W116" s="233"/>
      <c r="X116" s="238"/>
    </row>
    <row r="117" spans="1:24" s="3" customFormat="1">
      <c r="A117" s="233"/>
      <c r="B117" s="435"/>
      <c r="C117" s="435"/>
      <c r="D117" s="435"/>
      <c r="E117" s="435"/>
      <c r="F117" s="50"/>
      <c r="G117" s="62"/>
      <c r="H117" s="185"/>
      <c r="I117" s="186">
        <f t="shared" si="10"/>
        <v>0</v>
      </c>
      <c r="J117" s="59"/>
      <c r="K117" s="233"/>
      <c r="L117" s="233"/>
      <c r="M117" s="235"/>
      <c r="N117" s="236"/>
      <c r="O117" s="235"/>
      <c r="P117" s="236"/>
      <c r="Q117" s="236"/>
      <c r="R117" s="236"/>
      <c r="S117" s="237"/>
      <c r="T117" s="236"/>
      <c r="U117" s="233"/>
      <c r="V117" s="233"/>
      <c r="W117" s="233"/>
      <c r="X117" s="238"/>
    </row>
    <row r="118" spans="1:24" s="3" customFormat="1">
      <c r="A118" s="233"/>
      <c r="B118" s="435"/>
      <c r="C118" s="435"/>
      <c r="D118" s="435"/>
      <c r="E118" s="435"/>
      <c r="F118" s="50"/>
      <c r="G118" s="62"/>
      <c r="H118" s="185"/>
      <c r="I118" s="186">
        <f t="shared" si="10"/>
        <v>0</v>
      </c>
      <c r="J118" s="59"/>
      <c r="K118" s="233"/>
      <c r="L118" s="233"/>
      <c r="M118" s="235"/>
      <c r="N118" s="236"/>
      <c r="O118" s="235"/>
      <c r="P118" s="236"/>
      <c r="Q118" s="236"/>
      <c r="R118" s="236"/>
      <c r="S118" s="237"/>
      <c r="T118" s="236"/>
      <c r="U118" s="233"/>
      <c r="V118" s="233"/>
      <c r="W118" s="233"/>
      <c r="X118" s="238"/>
    </row>
    <row r="119" spans="1:24" s="3" customFormat="1">
      <c r="A119" s="233"/>
      <c r="B119" s="435"/>
      <c r="C119" s="435"/>
      <c r="D119" s="435"/>
      <c r="E119" s="435"/>
      <c r="F119" s="50"/>
      <c r="G119" s="62"/>
      <c r="H119" s="185"/>
      <c r="I119" s="186">
        <f t="shared" si="10"/>
        <v>0</v>
      </c>
      <c r="J119" s="59"/>
      <c r="K119" s="233"/>
      <c r="L119" s="233"/>
      <c r="M119" s="235"/>
      <c r="N119" s="236"/>
      <c r="O119" s="235"/>
      <c r="P119" s="236"/>
      <c r="Q119" s="236"/>
      <c r="R119" s="236"/>
      <c r="S119" s="237"/>
      <c r="T119" s="236"/>
      <c r="U119" s="233"/>
      <c r="V119" s="233"/>
      <c r="W119" s="233"/>
      <c r="X119" s="238"/>
    </row>
    <row r="120" spans="1:24" s="3" customFormat="1">
      <c r="A120" s="233"/>
      <c r="B120" s="435"/>
      <c r="C120" s="435"/>
      <c r="D120" s="435"/>
      <c r="E120" s="435"/>
      <c r="F120" s="50"/>
      <c r="G120" s="62"/>
      <c r="H120" s="185"/>
      <c r="I120" s="186">
        <f t="shared" si="10"/>
        <v>0</v>
      </c>
      <c r="J120" s="59"/>
      <c r="K120" s="233"/>
      <c r="L120" s="233"/>
      <c r="M120" s="235"/>
      <c r="N120" s="236"/>
      <c r="O120" s="235"/>
      <c r="P120" s="236"/>
      <c r="Q120" s="236"/>
      <c r="R120" s="236"/>
      <c r="S120" s="237"/>
      <c r="T120" s="236"/>
      <c r="U120" s="233"/>
      <c r="V120" s="233"/>
      <c r="W120" s="233"/>
      <c r="X120" s="238"/>
    </row>
    <row r="121" spans="1:24" s="3" customFormat="1">
      <c r="A121" s="233"/>
      <c r="B121" s="435"/>
      <c r="C121" s="435"/>
      <c r="D121" s="435"/>
      <c r="E121" s="435"/>
      <c r="F121" s="50"/>
      <c r="G121" s="62"/>
      <c r="H121" s="185"/>
      <c r="I121" s="186">
        <f t="shared" si="10"/>
        <v>0</v>
      </c>
      <c r="J121" s="59"/>
      <c r="K121" s="233"/>
      <c r="L121" s="233"/>
      <c r="M121" s="235"/>
      <c r="N121" s="236"/>
      <c r="O121" s="235"/>
      <c r="P121" s="236"/>
      <c r="Q121" s="236"/>
      <c r="R121" s="236"/>
      <c r="S121" s="237"/>
      <c r="T121" s="236"/>
      <c r="U121" s="233"/>
      <c r="V121" s="233"/>
      <c r="W121" s="233"/>
      <c r="X121" s="238"/>
    </row>
    <row r="122" spans="1:24" s="3" customFormat="1">
      <c r="A122" s="233"/>
      <c r="B122" s="435"/>
      <c r="C122" s="435"/>
      <c r="D122" s="435"/>
      <c r="E122" s="435"/>
      <c r="F122" s="50"/>
      <c r="G122" s="62"/>
      <c r="H122" s="185"/>
      <c r="I122" s="186">
        <f t="shared" si="10"/>
        <v>0</v>
      </c>
      <c r="J122" s="59"/>
      <c r="K122" s="233"/>
      <c r="L122" s="233"/>
      <c r="M122" s="235"/>
      <c r="N122" s="236"/>
      <c r="O122" s="235"/>
      <c r="P122" s="236"/>
      <c r="Q122" s="236"/>
      <c r="R122" s="236"/>
      <c r="S122" s="237"/>
      <c r="T122" s="236"/>
      <c r="U122" s="233"/>
      <c r="V122" s="233"/>
      <c r="W122" s="233"/>
      <c r="X122" s="238"/>
    </row>
    <row r="123" spans="1:24" s="3" customFormat="1">
      <c r="A123" s="233"/>
      <c r="B123" s="435"/>
      <c r="C123" s="435"/>
      <c r="D123" s="435"/>
      <c r="E123" s="435"/>
      <c r="F123" s="50"/>
      <c r="G123" s="62"/>
      <c r="H123" s="185"/>
      <c r="I123" s="186">
        <f t="shared" si="10"/>
        <v>0</v>
      </c>
      <c r="J123" s="59"/>
      <c r="K123" s="233"/>
      <c r="L123" s="233"/>
      <c r="M123" s="235"/>
      <c r="N123" s="236"/>
      <c r="O123" s="235"/>
      <c r="P123" s="236"/>
      <c r="Q123" s="236"/>
      <c r="R123" s="236"/>
      <c r="S123" s="237"/>
      <c r="T123" s="236"/>
      <c r="U123" s="233"/>
      <c r="V123" s="233"/>
      <c r="W123" s="233"/>
      <c r="X123" s="238"/>
    </row>
    <row r="124" spans="1:24" s="3" customFormat="1">
      <c r="A124" s="233"/>
      <c r="B124" s="435"/>
      <c r="C124" s="435"/>
      <c r="D124" s="435"/>
      <c r="E124" s="435"/>
      <c r="F124" s="50"/>
      <c r="G124" s="62"/>
      <c r="H124" s="185"/>
      <c r="I124" s="186">
        <f t="shared" si="10"/>
        <v>0</v>
      </c>
      <c r="J124" s="59"/>
      <c r="K124" s="233"/>
      <c r="L124" s="233"/>
      <c r="M124" s="235"/>
      <c r="N124" s="236"/>
      <c r="O124" s="235"/>
      <c r="P124" s="236"/>
      <c r="Q124" s="236"/>
      <c r="R124" s="236"/>
      <c r="S124" s="237"/>
      <c r="T124" s="236"/>
      <c r="U124" s="233"/>
      <c r="V124" s="233"/>
      <c r="W124" s="233"/>
      <c r="X124" s="238"/>
    </row>
    <row r="125" spans="1:24" s="3" customFormat="1">
      <c r="A125" s="233"/>
      <c r="B125" s="435"/>
      <c r="C125" s="435"/>
      <c r="D125" s="435"/>
      <c r="E125" s="435"/>
      <c r="F125" s="50"/>
      <c r="G125" s="62"/>
      <c r="H125" s="185"/>
      <c r="I125" s="186">
        <f t="shared" si="10"/>
        <v>0</v>
      </c>
      <c r="J125" s="59"/>
      <c r="K125" s="233"/>
      <c r="L125" s="233"/>
      <c r="M125" s="235"/>
      <c r="N125" s="236"/>
      <c r="O125" s="235"/>
      <c r="P125" s="236"/>
      <c r="Q125" s="236"/>
      <c r="R125" s="236"/>
      <c r="S125" s="237"/>
      <c r="T125" s="236"/>
      <c r="U125" s="233"/>
      <c r="V125" s="233"/>
      <c r="W125" s="233"/>
      <c r="X125" s="238"/>
    </row>
    <row r="126" spans="1:24" s="3" customFormat="1">
      <c r="A126" s="233"/>
      <c r="B126" s="435"/>
      <c r="C126" s="435"/>
      <c r="D126" s="435"/>
      <c r="E126" s="435"/>
      <c r="F126" s="50"/>
      <c r="G126" s="62"/>
      <c r="H126" s="185"/>
      <c r="I126" s="186">
        <f t="shared" si="10"/>
        <v>0</v>
      </c>
      <c r="J126" s="59"/>
      <c r="K126" s="233"/>
      <c r="L126" s="233"/>
      <c r="M126" s="235"/>
      <c r="N126" s="236"/>
      <c r="O126" s="235"/>
      <c r="P126" s="236"/>
      <c r="Q126" s="236"/>
      <c r="R126" s="236"/>
      <c r="S126" s="237"/>
      <c r="T126" s="236"/>
      <c r="U126" s="233"/>
      <c r="V126" s="233"/>
      <c r="W126" s="233"/>
      <c r="X126" s="238"/>
    </row>
    <row r="127" spans="1:24" s="3" customFormat="1">
      <c r="A127" s="233"/>
      <c r="B127" s="435"/>
      <c r="C127" s="435"/>
      <c r="D127" s="435"/>
      <c r="E127" s="435"/>
      <c r="F127" s="50"/>
      <c r="G127" s="62"/>
      <c r="H127" s="185"/>
      <c r="I127" s="186">
        <f t="shared" si="10"/>
        <v>0</v>
      </c>
      <c r="J127" s="59"/>
      <c r="K127" s="233"/>
      <c r="L127" s="233"/>
      <c r="M127" s="235"/>
      <c r="N127" s="236"/>
      <c r="O127" s="235"/>
      <c r="P127" s="236"/>
      <c r="Q127" s="236"/>
      <c r="R127" s="236"/>
      <c r="S127" s="237"/>
      <c r="T127" s="236"/>
      <c r="U127" s="233"/>
      <c r="V127" s="233"/>
      <c r="W127" s="233"/>
      <c r="X127" s="238"/>
    </row>
    <row r="128" spans="1:24" s="3" customFormat="1">
      <c r="A128" s="233"/>
      <c r="B128" s="435"/>
      <c r="C128" s="435"/>
      <c r="D128" s="435"/>
      <c r="E128" s="435"/>
      <c r="F128" s="50"/>
      <c r="G128" s="62"/>
      <c r="H128" s="185"/>
      <c r="I128" s="186">
        <f t="shared" si="10"/>
        <v>0</v>
      </c>
      <c r="J128" s="59"/>
      <c r="K128" s="233"/>
      <c r="L128" s="233"/>
      <c r="M128" s="235"/>
      <c r="N128" s="236"/>
      <c r="O128" s="235"/>
      <c r="P128" s="236"/>
      <c r="Q128" s="236"/>
      <c r="R128" s="236"/>
      <c r="S128" s="237"/>
      <c r="T128" s="236"/>
      <c r="U128" s="233"/>
      <c r="V128" s="233"/>
      <c r="W128" s="233"/>
      <c r="X128" s="238"/>
    </row>
    <row r="129" spans="1:24" s="3" customFormat="1">
      <c r="A129" s="233"/>
      <c r="B129" s="435"/>
      <c r="C129" s="435"/>
      <c r="D129" s="435"/>
      <c r="E129" s="435"/>
      <c r="F129" s="50"/>
      <c r="G129" s="62"/>
      <c r="H129" s="185"/>
      <c r="I129" s="186">
        <f t="shared" si="10"/>
        <v>0</v>
      </c>
      <c r="J129" s="59"/>
      <c r="K129" s="233"/>
      <c r="L129" s="233"/>
      <c r="M129" s="235"/>
      <c r="N129" s="236"/>
      <c r="O129" s="235"/>
      <c r="P129" s="236"/>
      <c r="Q129" s="236"/>
      <c r="R129" s="236"/>
      <c r="S129" s="237"/>
      <c r="T129" s="236"/>
      <c r="U129" s="233"/>
      <c r="V129" s="233"/>
      <c r="W129" s="233"/>
      <c r="X129" s="238"/>
    </row>
    <row r="130" spans="1:24" s="3" customFormat="1">
      <c r="A130" s="233"/>
      <c r="B130" s="435"/>
      <c r="C130" s="435"/>
      <c r="D130" s="435"/>
      <c r="E130" s="435"/>
      <c r="F130" s="50"/>
      <c r="G130" s="62"/>
      <c r="H130" s="185"/>
      <c r="I130" s="186">
        <f t="shared" si="10"/>
        <v>0</v>
      </c>
      <c r="J130" s="59"/>
      <c r="K130" s="233"/>
      <c r="L130" s="233"/>
      <c r="M130" s="235"/>
      <c r="N130" s="236"/>
      <c r="O130" s="235"/>
      <c r="P130" s="236"/>
      <c r="Q130" s="236"/>
      <c r="R130" s="236"/>
      <c r="S130" s="237"/>
      <c r="T130" s="236"/>
      <c r="U130" s="233"/>
      <c r="V130" s="233"/>
      <c r="W130" s="233"/>
      <c r="X130" s="238"/>
    </row>
    <row r="131" spans="1:24" s="3" customFormat="1">
      <c r="A131" s="233"/>
      <c r="B131" s="435"/>
      <c r="C131" s="435"/>
      <c r="D131" s="435"/>
      <c r="E131" s="435"/>
      <c r="F131" s="50"/>
      <c r="G131" s="62"/>
      <c r="H131" s="185"/>
      <c r="I131" s="186">
        <f t="shared" si="10"/>
        <v>0</v>
      </c>
      <c r="J131" s="59"/>
      <c r="K131" s="233"/>
      <c r="L131" s="233"/>
      <c r="M131" s="235"/>
      <c r="N131" s="236"/>
      <c r="O131" s="235"/>
      <c r="P131" s="236"/>
      <c r="Q131" s="236"/>
      <c r="R131" s="236"/>
      <c r="S131" s="237"/>
      <c r="T131" s="236"/>
      <c r="U131" s="233"/>
      <c r="V131" s="233"/>
      <c r="W131" s="233"/>
      <c r="X131" s="238"/>
    </row>
    <row r="132" spans="1:24" s="3" customFormat="1">
      <c r="A132" s="233"/>
      <c r="B132" s="435"/>
      <c r="C132" s="435"/>
      <c r="D132" s="435"/>
      <c r="E132" s="435"/>
      <c r="F132" s="50"/>
      <c r="G132" s="62"/>
      <c r="H132" s="185"/>
      <c r="I132" s="186">
        <f t="shared" si="10"/>
        <v>0</v>
      </c>
      <c r="J132" s="59"/>
      <c r="K132" s="233"/>
      <c r="L132" s="233"/>
      <c r="M132" s="235"/>
      <c r="N132" s="236"/>
      <c r="O132" s="235"/>
      <c r="P132" s="236"/>
      <c r="Q132" s="236"/>
      <c r="R132" s="236"/>
      <c r="S132" s="237"/>
      <c r="T132" s="236"/>
      <c r="U132" s="233"/>
      <c r="V132" s="233"/>
      <c r="W132" s="233"/>
      <c r="X132" s="238"/>
    </row>
    <row r="133" spans="1:24" s="3" customFormat="1">
      <c r="A133" s="233"/>
      <c r="B133" s="435"/>
      <c r="C133" s="435"/>
      <c r="D133" s="435"/>
      <c r="E133" s="435"/>
      <c r="F133" s="50"/>
      <c r="G133" s="62"/>
      <c r="H133" s="185"/>
      <c r="I133" s="186">
        <f t="shared" si="10"/>
        <v>0</v>
      </c>
      <c r="J133" s="59"/>
      <c r="K133" s="233"/>
      <c r="L133" s="233"/>
      <c r="M133" s="235"/>
      <c r="N133" s="236"/>
      <c r="O133" s="235"/>
      <c r="P133" s="236"/>
      <c r="Q133" s="236"/>
      <c r="R133" s="236"/>
      <c r="S133" s="237"/>
      <c r="T133" s="236"/>
      <c r="U133" s="233"/>
      <c r="V133" s="233"/>
      <c r="W133" s="233"/>
      <c r="X133" s="238"/>
    </row>
    <row r="134" spans="1:24" s="3" customFormat="1">
      <c r="A134" s="233"/>
      <c r="B134" s="435"/>
      <c r="C134" s="435"/>
      <c r="D134" s="435"/>
      <c r="E134" s="435"/>
      <c r="F134" s="50"/>
      <c r="G134" s="62"/>
      <c r="H134" s="185"/>
      <c r="I134" s="186">
        <f t="shared" si="10"/>
        <v>0</v>
      </c>
      <c r="J134" s="59"/>
      <c r="K134" s="233"/>
      <c r="L134" s="233"/>
      <c r="M134" s="235"/>
      <c r="N134" s="236"/>
      <c r="O134" s="235"/>
      <c r="P134" s="236"/>
      <c r="Q134" s="236"/>
      <c r="R134" s="236"/>
      <c r="S134" s="237"/>
      <c r="T134" s="236"/>
      <c r="U134" s="233"/>
      <c r="V134" s="233"/>
      <c r="W134" s="233"/>
      <c r="X134" s="238"/>
    </row>
    <row r="135" spans="1:24" s="3" customFormat="1">
      <c r="A135" s="233"/>
      <c r="B135" s="435"/>
      <c r="C135" s="435"/>
      <c r="D135" s="435"/>
      <c r="E135" s="435"/>
      <c r="F135" s="50"/>
      <c r="G135" s="62"/>
      <c r="H135" s="185"/>
      <c r="I135" s="186">
        <f t="shared" si="10"/>
        <v>0</v>
      </c>
      <c r="J135" s="59"/>
      <c r="K135" s="233"/>
      <c r="L135" s="233"/>
      <c r="M135" s="235"/>
      <c r="N135" s="236"/>
      <c r="O135" s="235"/>
      <c r="P135" s="236"/>
      <c r="Q135" s="236"/>
      <c r="R135" s="236"/>
      <c r="S135" s="237"/>
      <c r="T135" s="236"/>
      <c r="U135" s="233"/>
      <c r="V135" s="233"/>
      <c r="W135" s="233"/>
      <c r="X135" s="238"/>
    </row>
    <row r="136" spans="1:24" s="3" customFormat="1">
      <c r="A136" s="233"/>
      <c r="B136" s="435"/>
      <c r="C136" s="435"/>
      <c r="D136" s="435"/>
      <c r="E136" s="435"/>
      <c r="F136" s="50"/>
      <c r="G136" s="62"/>
      <c r="H136" s="185"/>
      <c r="I136" s="186">
        <f t="shared" si="10"/>
        <v>0</v>
      </c>
      <c r="J136" s="59"/>
      <c r="K136" s="233"/>
      <c r="L136" s="233"/>
      <c r="M136" s="235"/>
      <c r="N136" s="236"/>
      <c r="O136" s="235"/>
      <c r="P136" s="236"/>
      <c r="Q136" s="236"/>
      <c r="R136" s="236"/>
      <c r="S136" s="237"/>
      <c r="T136" s="236"/>
      <c r="U136" s="233"/>
      <c r="V136" s="233"/>
      <c r="W136" s="233"/>
      <c r="X136" s="238"/>
    </row>
    <row r="137" spans="1:24" s="3" customFormat="1">
      <c r="A137" s="233"/>
      <c r="B137" s="435"/>
      <c r="C137" s="435"/>
      <c r="D137" s="435"/>
      <c r="E137" s="435"/>
      <c r="F137" s="50"/>
      <c r="G137" s="62"/>
      <c r="H137" s="185"/>
      <c r="I137" s="186">
        <f t="shared" si="10"/>
        <v>0</v>
      </c>
      <c r="J137" s="59"/>
      <c r="K137" s="233"/>
      <c r="L137" s="233"/>
      <c r="M137" s="235"/>
      <c r="N137" s="236"/>
      <c r="O137" s="235"/>
      <c r="P137" s="236"/>
      <c r="Q137" s="236"/>
      <c r="R137" s="236"/>
      <c r="S137" s="237"/>
      <c r="T137" s="236"/>
      <c r="U137" s="233"/>
      <c r="V137" s="233"/>
      <c r="W137" s="233"/>
      <c r="X137" s="238"/>
    </row>
    <row r="138" spans="1:24" s="3" customFormat="1">
      <c r="A138" s="233"/>
      <c r="B138" s="435"/>
      <c r="C138" s="435"/>
      <c r="D138" s="435"/>
      <c r="E138" s="435"/>
      <c r="F138" s="50"/>
      <c r="G138" s="62"/>
      <c r="H138" s="185"/>
      <c r="I138" s="186">
        <f t="shared" si="10"/>
        <v>0</v>
      </c>
      <c r="J138" s="59"/>
      <c r="K138" s="233"/>
      <c r="L138" s="233"/>
      <c r="M138" s="235"/>
      <c r="N138" s="236"/>
      <c r="O138" s="235"/>
      <c r="P138" s="236"/>
      <c r="Q138" s="236"/>
      <c r="R138" s="236"/>
      <c r="S138" s="237"/>
      <c r="T138" s="236"/>
      <c r="U138" s="233"/>
      <c r="V138" s="233"/>
      <c r="W138" s="233"/>
      <c r="X138" s="238"/>
    </row>
    <row r="139" spans="1:24" s="3" customFormat="1">
      <c r="A139" s="233"/>
      <c r="B139" s="435"/>
      <c r="C139" s="435"/>
      <c r="D139" s="435"/>
      <c r="E139" s="435"/>
      <c r="F139" s="50"/>
      <c r="G139" s="62"/>
      <c r="H139" s="185"/>
      <c r="I139" s="186">
        <f t="shared" si="10"/>
        <v>0</v>
      </c>
      <c r="J139" s="59"/>
      <c r="K139" s="233"/>
      <c r="L139" s="233"/>
      <c r="M139" s="235"/>
      <c r="N139" s="236"/>
      <c r="O139" s="235"/>
      <c r="P139" s="236"/>
      <c r="Q139" s="236"/>
      <c r="R139" s="236"/>
      <c r="S139" s="237"/>
      <c r="T139" s="236"/>
      <c r="U139" s="233"/>
      <c r="V139" s="233"/>
      <c r="W139" s="233"/>
      <c r="X139" s="238"/>
    </row>
    <row r="140" spans="1:24" s="3" customFormat="1">
      <c r="A140" s="233"/>
      <c r="B140" s="435"/>
      <c r="C140" s="435"/>
      <c r="D140" s="435"/>
      <c r="E140" s="435"/>
      <c r="F140" s="50"/>
      <c r="G140" s="62"/>
      <c r="H140" s="185"/>
      <c r="I140" s="186">
        <f t="shared" si="10"/>
        <v>0</v>
      </c>
      <c r="J140" s="59"/>
      <c r="K140" s="233"/>
      <c r="L140" s="233"/>
      <c r="M140" s="235"/>
      <c r="N140" s="236"/>
      <c r="O140" s="235"/>
      <c r="P140" s="236"/>
      <c r="Q140" s="236"/>
      <c r="R140" s="236"/>
      <c r="S140" s="237"/>
      <c r="T140" s="236"/>
      <c r="U140" s="233"/>
      <c r="V140" s="233"/>
      <c r="W140" s="233"/>
      <c r="X140" s="238"/>
    </row>
    <row r="141" spans="1:24" s="3" customFormat="1">
      <c r="A141" s="233"/>
      <c r="B141" s="435"/>
      <c r="C141" s="435"/>
      <c r="D141" s="435"/>
      <c r="E141" s="435"/>
      <c r="F141" s="50"/>
      <c r="G141" s="62"/>
      <c r="H141" s="185"/>
      <c r="I141" s="186">
        <f t="shared" si="10"/>
        <v>0</v>
      </c>
      <c r="J141" s="59"/>
      <c r="K141" s="233"/>
      <c r="L141" s="233"/>
      <c r="M141" s="235"/>
      <c r="N141" s="236"/>
      <c r="O141" s="235"/>
      <c r="P141" s="236"/>
      <c r="Q141" s="236"/>
      <c r="R141" s="236"/>
      <c r="S141" s="237"/>
      <c r="T141" s="236"/>
      <c r="U141" s="233"/>
      <c r="V141" s="233"/>
      <c r="W141" s="233"/>
      <c r="X141" s="238"/>
    </row>
    <row r="142" spans="1:24" s="3" customFormat="1">
      <c r="A142" s="233"/>
      <c r="B142" s="435"/>
      <c r="C142" s="435"/>
      <c r="D142" s="435"/>
      <c r="E142" s="435"/>
      <c r="F142" s="50"/>
      <c r="G142" s="62"/>
      <c r="H142" s="185"/>
      <c r="I142" s="186">
        <f t="shared" si="10"/>
        <v>0</v>
      </c>
      <c r="J142" s="59"/>
      <c r="K142" s="233"/>
      <c r="L142" s="233"/>
      <c r="M142" s="235"/>
      <c r="N142" s="236"/>
      <c r="O142" s="235"/>
      <c r="P142" s="236"/>
      <c r="Q142" s="236"/>
      <c r="R142" s="236"/>
      <c r="S142" s="237"/>
      <c r="T142" s="236"/>
      <c r="U142" s="233"/>
      <c r="V142" s="233"/>
      <c r="W142" s="233"/>
      <c r="X142" s="238"/>
    </row>
    <row r="143" spans="1:24" s="3" customFormat="1">
      <c r="A143" s="233"/>
      <c r="B143" s="136"/>
      <c r="C143" s="11"/>
      <c r="D143" s="234"/>
      <c r="E143" s="11"/>
      <c r="F143" s="233"/>
      <c r="G143" s="233"/>
      <c r="H143" s="233"/>
      <c r="I143" s="233"/>
      <c r="J143" s="233"/>
      <c r="K143" s="233"/>
      <c r="L143" s="233"/>
      <c r="M143" s="235"/>
      <c r="N143" s="236"/>
      <c r="O143" s="235"/>
      <c r="P143" s="236"/>
      <c r="Q143" s="236"/>
      <c r="R143" s="236"/>
      <c r="S143" s="237"/>
      <c r="T143" s="236"/>
      <c r="U143" s="233"/>
      <c r="V143" s="233"/>
      <c r="W143" s="233"/>
      <c r="X143" s="238"/>
    </row>
    <row r="144" spans="1:24" customFormat="1">
      <c r="B144" s="63"/>
      <c r="C144" s="63"/>
      <c r="D144" s="7"/>
      <c r="E144" s="7"/>
      <c r="F144" s="7"/>
      <c r="G144" s="7"/>
      <c r="H144" s="7"/>
      <c r="I144" s="7"/>
      <c r="J144" s="7"/>
      <c r="K144" s="7"/>
      <c r="L144" s="7"/>
      <c r="M144" s="7"/>
      <c r="N144" s="7"/>
      <c r="O144" s="7"/>
      <c r="P144" s="7"/>
      <c r="Q144" s="7"/>
      <c r="R144" s="7"/>
      <c r="S144" s="7"/>
      <c r="T144" s="7"/>
    </row>
    <row r="145" spans="1:24" customFormat="1">
      <c r="B145" s="64"/>
      <c r="C145" s="64"/>
      <c r="D145" s="65"/>
      <c r="E145" s="65"/>
      <c r="F145" s="65"/>
      <c r="G145" s="65"/>
      <c r="H145" s="65"/>
      <c r="I145" s="65"/>
      <c r="J145" s="65"/>
      <c r="K145" s="65"/>
      <c r="L145" s="65"/>
      <c r="M145" s="65"/>
      <c r="N145" s="65"/>
      <c r="O145" s="7"/>
      <c r="P145" s="7"/>
      <c r="Q145" s="7"/>
      <c r="R145" s="7"/>
      <c r="S145" s="7"/>
      <c r="T145" s="7"/>
    </row>
    <row r="146" spans="1:24" s="3" customFormat="1">
      <c r="A146" s="233"/>
      <c r="B146" s="136"/>
      <c r="C146" s="11"/>
      <c r="D146" s="234"/>
      <c r="E146" s="11"/>
      <c r="F146" s="233"/>
      <c r="G146" s="233"/>
      <c r="H146" s="233"/>
      <c r="I146" s="233"/>
      <c r="J146" s="233"/>
      <c r="K146" s="233"/>
      <c r="L146" s="233"/>
      <c r="M146" s="235"/>
      <c r="N146" s="236"/>
      <c r="O146" s="235"/>
      <c r="P146" s="236"/>
      <c r="Q146" s="236"/>
      <c r="R146" s="236"/>
      <c r="S146" s="237"/>
      <c r="T146" s="236"/>
      <c r="U146" s="233"/>
      <c r="V146" s="233"/>
      <c r="W146" s="233"/>
      <c r="X146" s="238"/>
    </row>
    <row r="147" spans="1:24" s="3" customFormat="1" ht="18">
      <c r="A147" s="233"/>
      <c r="B147" s="251" t="s">
        <v>245</v>
      </c>
      <c r="C147" s="11"/>
      <c r="D147" s="234"/>
      <c r="E147" s="11"/>
      <c r="F147" s="233"/>
      <c r="G147" s="233"/>
      <c r="H147" s="233"/>
      <c r="I147" s="233"/>
      <c r="J147" s="233"/>
      <c r="K147" s="233"/>
      <c r="L147" s="233"/>
      <c r="M147" s="235"/>
      <c r="N147" s="236"/>
      <c r="O147" s="235"/>
      <c r="P147" s="236"/>
      <c r="Q147" s="236"/>
      <c r="R147" s="236"/>
      <c r="S147" s="237"/>
      <c r="T147" s="236"/>
      <c r="U147" s="233"/>
      <c r="V147" s="233"/>
      <c r="W147" s="233"/>
      <c r="X147" s="238"/>
    </row>
    <row r="148" spans="1:24" s="3" customFormat="1">
      <c r="A148" s="233"/>
      <c r="B148" s="242" t="s">
        <v>246</v>
      </c>
      <c r="C148" s="11"/>
      <c r="D148" s="234"/>
      <c r="E148" s="11"/>
      <c r="F148" s="233"/>
      <c r="G148" s="233"/>
      <c r="H148" s="233"/>
      <c r="I148" s="233"/>
      <c r="J148" s="233"/>
      <c r="K148" s="233"/>
      <c r="L148" s="233"/>
      <c r="M148" s="235"/>
      <c r="N148" s="236"/>
      <c r="O148" s="235"/>
      <c r="P148" s="236"/>
      <c r="Q148" s="236"/>
      <c r="R148" s="236"/>
      <c r="S148" s="237"/>
      <c r="T148" s="236"/>
      <c r="U148" s="233"/>
      <c r="V148" s="233"/>
      <c r="W148" s="233"/>
      <c r="X148" s="238"/>
    </row>
    <row r="149" spans="1:24" s="3" customFormat="1">
      <c r="A149" s="233"/>
      <c r="B149" s="444" t="s">
        <v>81</v>
      </c>
      <c r="C149" s="445"/>
      <c r="D149" s="444" t="s">
        <v>153</v>
      </c>
      <c r="E149" s="445"/>
      <c r="F149" s="124" t="s">
        <v>154</v>
      </c>
      <c r="G149" s="124" t="s">
        <v>155</v>
      </c>
      <c r="H149" s="124" t="s">
        <v>156</v>
      </c>
      <c r="I149" s="124" t="s">
        <v>157</v>
      </c>
      <c r="J149" s="126" t="s">
        <v>97</v>
      </c>
      <c r="K149" s="233"/>
      <c r="L149" s="233"/>
      <c r="M149" s="235"/>
      <c r="N149" s="236"/>
      <c r="O149" s="235"/>
      <c r="P149" s="236"/>
      <c r="Q149" s="236"/>
      <c r="R149" s="236"/>
      <c r="S149" s="237"/>
      <c r="T149" s="236"/>
      <c r="U149" s="233"/>
      <c r="V149" s="233"/>
      <c r="W149" s="233"/>
      <c r="X149" s="238"/>
    </row>
    <row r="150" spans="1:24" s="3" customFormat="1">
      <c r="A150" s="233"/>
      <c r="B150" s="434" t="s">
        <v>151</v>
      </c>
      <c r="C150" s="434"/>
      <c r="D150" s="435"/>
      <c r="E150" s="435"/>
      <c r="F150" s="50"/>
      <c r="G150" s="62"/>
      <c r="H150" s="185"/>
      <c r="I150" s="186">
        <f t="shared" ref="I150:I159" si="11">IF(B150=0,0,H150*G150*F150)</f>
        <v>0</v>
      </c>
      <c r="J150" s="59"/>
      <c r="K150" s="233"/>
      <c r="L150" s="233"/>
      <c r="M150" s="235"/>
      <c r="N150" s="236"/>
      <c r="O150" s="235"/>
      <c r="P150" s="236"/>
      <c r="Q150" s="236"/>
      <c r="R150" s="236"/>
      <c r="S150" s="237"/>
      <c r="T150" s="236"/>
      <c r="U150" s="233"/>
      <c r="V150" s="233"/>
      <c r="W150" s="233"/>
      <c r="X150" s="238"/>
    </row>
    <row r="151" spans="1:24" s="3" customFormat="1">
      <c r="A151" s="233"/>
      <c r="B151" s="434" t="s">
        <v>151</v>
      </c>
      <c r="C151" s="434"/>
      <c r="D151" s="435"/>
      <c r="E151" s="435"/>
      <c r="F151" s="50"/>
      <c r="G151" s="62"/>
      <c r="H151" s="185"/>
      <c r="I151" s="186">
        <f t="shared" si="11"/>
        <v>0</v>
      </c>
      <c r="J151" s="59"/>
      <c r="K151" s="233"/>
      <c r="L151" s="233"/>
      <c r="M151" s="235"/>
      <c r="N151" s="236"/>
      <c r="O151" s="235"/>
      <c r="P151" s="236"/>
      <c r="Q151" s="236"/>
      <c r="R151" s="236"/>
      <c r="S151" s="237"/>
      <c r="T151" s="236"/>
      <c r="U151" s="233"/>
      <c r="V151" s="233"/>
      <c r="W151" s="233"/>
      <c r="X151" s="238"/>
    </row>
    <row r="152" spans="1:24" s="3" customFormat="1">
      <c r="A152" s="233"/>
      <c r="B152" s="434" t="s">
        <v>151</v>
      </c>
      <c r="C152" s="434"/>
      <c r="D152" s="435"/>
      <c r="E152" s="435"/>
      <c r="F152" s="50"/>
      <c r="G152" s="62"/>
      <c r="H152" s="185"/>
      <c r="I152" s="186">
        <f t="shared" si="11"/>
        <v>0</v>
      </c>
      <c r="J152" s="59"/>
      <c r="K152" s="233"/>
      <c r="L152" s="233"/>
      <c r="M152" s="235"/>
      <c r="N152" s="236"/>
      <c r="O152" s="235"/>
      <c r="P152" s="236"/>
      <c r="Q152" s="236"/>
      <c r="R152" s="236"/>
      <c r="S152" s="237"/>
      <c r="T152" s="236"/>
      <c r="U152" s="233"/>
      <c r="V152" s="233"/>
      <c r="W152" s="233"/>
      <c r="X152" s="238"/>
    </row>
    <row r="153" spans="1:24" s="3" customFormat="1">
      <c r="A153" s="233"/>
      <c r="B153" s="434" t="s">
        <v>151</v>
      </c>
      <c r="C153" s="434"/>
      <c r="D153" s="435"/>
      <c r="E153" s="435"/>
      <c r="F153" s="50"/>
      <c r="G153" s="62"/>
      <c r="H153" s="185"/>
      <c r="I153" s="186">
        <f t="shared" si="11"/>
        <v>0</v>
      </c>
      <c r="J153" s="59"/>
      <c r="K153" s="233"/>
      <c r="L153" s="233"/>
      <c r="M153" s="235"/>
      <c r="N153" s="236"/>
      <c r="O153" s="235"/>
      <c r="P153" s="236"/>
      <c r="Q153" s="236"/>
      <c r="R153" s="236"/>
      <c r="S153" s="237"/>
      <c r="T153" s="236"/>
      <c r="U153" s="233"/>
      <c r="V153" s="233"/>
      <c r="W153" s="233"/>
      <c r="X153" s="238"/>
    </row>
    <row r="154" spans="1:24" s="3" customFormat="1">
      <c r="A154" s="233"/>
      <c r="B154" s="434" t="s">
        <v>151</v>
      </c>
      <c r="C154" s="434"/>
      <c r="D154" s="435"/>
      <c r="E154" s="435"/>
      <c r="F154" s="50"/>
      <c r="G154" s="62"/>
      <c r="H154" s="185"/>
      <c r="I154" s="186">
        <f t="shared" si="11"/>
        <v>0</v>
      </c>
      <c r="J154" s="59"/>
      <c r="K154" s="233"/>
      <c r="L154" s="233"/>
      <c r="M154" s="235"/>
      <c r="N154" s="236"/>
      <c r="O154" s="235"/>
      <c r="P154" s="236"/>
      <c r="Q154" s="236"/>
      <c r="R154" s="236"/>
      <c r="S154" s="237"/>
      <c r="T154" s="236"/>
      <c r="U154" s="233"/>
      <c r="V154" s="233"/>
      <c r="W154" s="233"/>
      <c r="X154" s="238"/>
    </row>
    <row r="155" spans="1:24" s="3" customFormat="1">
      <c r="A155" s="233"/>
      <c r="B155" s="434" t="s">
        <v>151</v>
      </c>
      <c r="C155" s="434"/>
      <c r="D155" s="435"/>
      <c r="E155" s="435"/>
      <c r="F155" s="50"/>
      <c r="G155" s="62"/>
      <c r="H155" s="185"/>
      <c r="I155" s="186">
        <f t="shared" si="11"/>
        <v>0</v>
      </c>
      <c r="J155" s="59"/>
      <c r="K155" s="233"/>
      <c r="L155" s="233"/>
      <c r="M155" s="235"/>
      <c r="N155" s="236"/>
      <c r="O155" s="235"/>
      <c r="P155" s="236"/>
      <c r="Q155" s="236"/>
      <c r="R155" s="236"/>
      <c r="S155" s="237"/>
      <c r="T155" s="236"/>
      <c r="U155" s="233"/>
      <c r="V155" s="233"/>
      <c r="W155" s="233"/>
      <c r="X155" s="238"/>
    </row>
    <row r="156" spans="1:24" s="3" customFormat="1">
      <c r="A156" s="233"/>
      <c r="B156" s="434" t="s">
        <v>151</v>
      </c>
      <c r="C156" s="434"/>
      <c r="D156" s="435"/>
      <c r="E156" s="435"/>
      <c r="F156" s="50"/>
      <c r="G156" s="62"/>
      <c r="H156" s="185"/>
      <c r="I156" s="186">
        <f t="shared" si="11"/>
        <v>0</v>
      </c>
      <c r="J156" s="59"/>
      <c r="K156" s="233"/>
      <c r="L156" s="233"/>
      <c r="M156" s="235"/>
      <c r="N156" s="236"/>
      <c r="O156" s="235"/>
      <c r="P156" s="236"/>
      <c r="Q156" s="236"/>
      <c r="R156" s="236"/>
      <c r="S156" s="237"/>
      <c r="T156" s="236"/>
      <c r="U156" s="233"/>
      <c r="V156" s="233"/>
      <c r="W156" s="233"/>
      <c r="X156" s="238"/>
    </row>
    <row r="157" spans="1:24" s="3" customFormat="1">
      <c r="A157" s="233"/>
      <c r="B157" s="434" t="s">
        <v>151</v>
      </c>
      <c r="C157" s="434"/>
      <c r="D157" s="435"/>
      <c r="E157" s="435"/>
      <c r="F157" s="50"/>
      <c r="G157" s="62"/>
      <c r="H157" s="185"/>
      <c r="I157" s="186">
        <f t="shared" si="11"/>
        <v>0</v>
      </c>
      <c r="J157" s="59"/>
      <c r="K157" s="233"/>
      <c r="L157" s="233"/>
      <c r="M157" s="235"/>
      <c r="N157" s="236"/>
      <c r="O157" s="235"/>
      <c r="P157" s="236"/>
      <c r="Q157" s="236"/>
      <c r="R157" s="236"/>
      <c r="S157" s="237"/>
      <c r="T157" s="236"/>
      <c r="U157" s="233"/>
      <c r="V157" s="233"/>
      <c r="W157" s="233"/>
      <c r="X157" s="238"/>
    </row>
    <row r="158" spans="1:24" s="3" customFormat="1">
      <c r="A158" s="233"/>
      <c r="B158" s="434" t="s">
        <v>151</v>
      </c>
      <c r="C158" s="434"/>
      <c r="D158" s="435"/>
      <c r="E158" s="435"/>
      <c r="F158" s="50"/>
      <c r="G158" s="62"/>
      <c r="H158" s="185"/>
      <c r="I158" s="186">
        <f t="shared" si="11"/>
        <v>0</v>
      </c>
      <c r="J158" s="59"/>
      <c r="K158" s="233"/>
      <c r="L158" s="233"/>
      <c r="M158" s="235"/>
      <c r="N158" s="236"/>
      <c r="O158" s="235"/>
      <c r="P158" s="236"/>
      <c r="Q158" s="236"/>
      <c r="R158" s="236"/>
      <c r="S158" s="237"/>
      <c r="T158" s="236"/>
      <c r="U158" s="233"/>
      <c r="V158" s="233"/>
      <c r="W158" s="233"/>
      <c r="X158" s="238"/>
    </row>
    <row r="159" spans="1:24" s="3" customFormat="1">
      <c r="A159" s="233"/>
      <c r="B159" s="434" t="s">
        <v>151</v>
      </c>
      <c r="C159" s="434"/>
      <c r="D159" s="435"/>
      <c r="E159" s="435"/>
      <c r="F159" s="50"/>
      <c r="G159" s="62"/>
      <c r="H159" s="185"/>
      <c r="I159" s="186">
        <f t="shared" si="11"/>
        <v>0</v>
      </c>
      <c r="J159" s="59"/>
      <c r="K159" s="233"/>
      <c r="L159" s="233"/>
      <c r="M159" s="235"/>
      <c r="N159" s="236"/>
      <c r="O159" s="235"/>
      <c r="P159" s="236"/>
      <c r="Q159" s="236"/>
      <c r="R159" s="236"/>
      <c r="S159" s="237"/>
      <c r="T159" s="236"/>
      <c r="U159" s="233"/>
      <c r="V159" s="233"/>
      <c r="W159" s="233"/>
      <c r="X159" s="238"/>
    </row>
    <row r="160" spans="1:24" s="3" customFormat="1">
      <c r="A160" s="233"/>
      <c r="B160" s="233"/>
      <c r="C160" s="233"/>
      <c r="D160" s="233"/>
      <c r="E160" s="233"/>
      <c r="F160" s="233"/>
      <c r="G160" s="233"/>
      <c r="H160" s="233"/>
      <c r="I160" s="233"/>
      <c r="J160" s="233"/>
      <c r="K160" s="233"/>
      <c r="L160" s="233"/>
      <c r="M160" s="235"/>
      <c r="N160" s="236"/>
      <c r="O160" s="235"/>
      <c r="P160" s="236"/>
      <c r="Q160" s="236"/>
      <c r="R160" s="236"/>
      <c r="S160" s="237"/>
      <c r="T160" s="236"/>
      <c r="U160" s="233"/>
      <c r="V160" s="233"/>
      <c r="W160" s="233"/>
      <c r="X160" s="238"/>
    </row>
    <row r="161" spans="1:24" s="3" customFormat="1">
      <c r="A161" s="233"/>
      <c r="B161" s="136"/>
      <c r="C161" s="11"/>
      <c r="D161" s="234"/>
      <c r="E161" s="11"/>
      <c r="F161" s="233"/>
      <c r="G161" s="233"/>
      <c r="H161" s="233"/>
      <c r="I161" s="233"/>
      <c r="J161" s="233"/>
      <c r="K161" s="233"/>
      <c r="L161" s="233"/>
      <c r="M161" s="235"/>
      <c r="N161" s="236"/>
      <c r="O161" s="235"/>
      <c r="P161" s="236"/>
      <c r="Q161" s="236"/>
      <c r="R161" s="236"/>
      <c r="S161" s="237"/>
      <c r="T161" s="236"/>
      <c r="U161" s="233"/>
      <c r="V161" s="233"/>
      <c r="W161" s="233"/>
      <c r="X161" s="238"/>
    </row>
    <row r="162" spans="1:24" s="181" customFormat="1" ht="18">
      <c r="A162" s="244"/>
      <c r="B162" s="251" t="s">
        <v>247</v>
      </c>
      <c r="C162" s="245"/>
      <c r="D162" s="246"/>
      <c r="E162" s="245"/>
      <c r="F162" s="244"/>
      <c r="G162" s="244"/>
      <c r="H162" s="244"/>
      <c r="I162" s="244"/>
      <c r="J162" s="244"/>
      <c r="K162" s="244"/>
      <c r="L162" s="244"/>
      <c r="M162" s="247"/>
      <c r="N162" s="248"/>
      <c r="O162" s="247"/>
      <c r="P162" s="248"/>
      <c r="Q162" s="248"/>
      <c r="R162" s="248"/>
      <c r="S162" s="249"/>
      <c r="T162" s="248"/>
      <c r="U162" s="244"/>
      <c r="V162" s="244"/>
      <c r="W162" s="244"/>
      <c r="X162" s="250"/>
    </row>
    <row r="163" spans="1:24" s="3" customFormat="1">
      <c r="A163" s="233"/>
      <c r="B163" s="242" t="s">
        <v>248</v>
      </c>
      <c r="C163" s="11"/>
      <c r="D163" s="234"/>
      <c r="E163" s="11"/>
      <c r="F163" s="233"/>
      <c r="G163" s="233"/>
      <c r="H163" s="233"/>
      <c r="I163" s="233"/>
      <c r="J163" s="233"/>
      <c r="K163" s="233"/>
      <c r="L163" s="233"/>
      <c r="M163" s="235"/>
      <c r="N163" s="236"/>
      <c r="O163" s="235"/>
      <c r="P163" s="236"/>
      <c r="Q163" s="236"/>
      <c r="R163" s="236"/>
      <c r="S163" s="237"/>
      <c r="T163" s="236"/>
      <c r="U163" s="233"/>
      <c r="V163" s="233"/>
      <c r="W163" s="233"/>
      <c r="X163" s="238"/>
    </row>
    <row r="164" spans="1:24" s="3" customFormat="1">
      <c r="A164" s="233"/>
      <c r="B164" s="444" t="s">
        <v>81</v>
      </c>
      <c r="C164" s="445"/>
      <c r="D164" s="444" t="s">
        <v>153</v>
      </c>
      <c r="E164" s="445"/>
      <c r="F164" s="124" t="s">
        <v>154</v>
      </c>
      <c r="G164" s="124" t="s">
        <v>155</v>
      </c>
      <c r="H164" s="124" t="s">
        <v>156</v>
      </c>
      <c r="I164" s="124" t="s">
        <v>157</v>
      </c>
      <c r="J164" s="126" t="s">
        <v>97</v>
      </c>
      <c r="K164" s="233"/>
      <c r="L164" s="233"/>
      <c r="M164" s="235"/>
      <c r="N164" s="236"/>
      <c r="O164" s="235"/>
      <c r="P164" s="236"/>
      <c r="Q164" s="236"/>
      <c r="R164" s="236"/>
      <c r="S164" s="237"/>
      <c r="T164" s="236"/>
      <c r="U164" s="233"/>
      <c r="V164" s="233"/>
      <c r="W164" s="233"/>
      <c r="X164" s="238"/>
    </row>
    <row r="165" spans="1:24" s="3" customFormat="1">
      <c r="A165" s="233"/>
      <c r="B165" s="434" t="s">
        <v>151</v>
      </c>
      <c r="C165" s="434"/>
      <c r="D165" s="435"/>
      <c r="E165" s="435"/>
      <c r="F165" s="50"/>
      <c r="G165" s="62"/>
      <c r="H165" s="185"/>
      <c r="I165" s="186">
        <f t="shared" ref="I165:I174" si="12">IF(B165=0,0,H165*G165*F165)</f>
        <v>0</v>
      </c>
      <c r="J165" s="59"/>
      <c r="K165" s="233"/>
      <c r="L165" s="233"/>
      <c r="M165" s="235"/>
      <c r="N165" s="236"/>
      <c r="O165" s="235"/>
      <c r="P165" s="236"/>
      <c r="Q165" s="236"/>
      <c r="R165" s="236"/>
      <c r="S165" s="237"/>
      <c r="T165" s="236"/>
      <c r="U165" s="233"/>
      <c r="V165" s="233"/>
      <c r="W165" s="233"/>
      <c r="X165" s="238"/>
    </row>
    <row r="166" spans="1:24" s="3" customFormat="1">
      <c r="A166" s="233"/>
      <c r="B166" s="434" t="s">
        <v>151</v>
      </c>
      <c r="C166" s="434"/>
      <c r="D166" s="435"/>
      <c r="E166" s="435"/>
      <c r="F166" s="50"/>
      <c r="G166" s="62"/>
      <c r="H166" s="185"/>
      <c r="I166" s="186">
        <f t="shared" si="12"/>
        <v>0</v>
      </c>
      <c r="J166" s="59"/>
      <c r="K166" s="233"/>
      <c r="L166" s="233"/>
      <c r="M166" s="235"/>
      <c r="N166" s="236"/>
      <c r="O166" s="235"/>
      <c r="P166" s="236"/>
      <c r="Q166" s="236"/>
      <c r="R166" s="236"/>
      <c r="S166" s="237"/>
      <c r="T166" s="236"/>
      <c r="U166" s="233"/>
      <c r="V166" s="233"/>
      <c r="W166" s="233"/>
      <c r="X166" s="238"/>
    </row>
    <row r="167" spans="1:24" s="3" customFormat="1">
      <c r="A167" s="233"/>
      <c r="B167" s="434" t="s">
        <v>151</v>
      </c>
      <c r="C167" s="434"/>
      <c r="D167" s="435"/>
      <c r="E167" s="435"/>
      <c r="F167" s="50"/>
      <c r="G167" s="62"/>
      <c r="H167" s="185"/>
      <c r="I167" s="186">
        <f t="shared" si="12"/>
        <v>0</v>
      </c>
      <c r="J167" s="59"/>
      <c r="K167" s="233"/>
      <c r="L167" s="233"/>
      <c r="M167" s="235"/>
      <c r="N167" s="236"/>
      <c r="O167" s="235"/>
      <c r="P167" s="236"/>
      <c r="Q167" s="236"/>
      <c r="R167" s="236"/>
      <c r="S167" s="237"/>
      <c r="T167" s="236"/>
      <c r="U167" s="233"/>
      <c r="V167" s="233"/>
      <c r="W167" s="233"/>
      <c r="X167" s="238"/>
    </row>
    <row r="168" spans="1:24" s="3" customFormat="1">
      <c r="A168" s="233"/>
      <c r="B168" s="434" t="s">
        <v>151</v>
      </c>
      <c r="C168" s="434"/>
      <c r="D168" s="435"/>
      <c r="E168" s="435"/>
      <c r="F168" s="50"/>
      <c r="G168" s="62"/>
      <c r="H168" s="185"/>
      <c r="I168" s="186">
        <f t="shared" si="12"/>
        <v>0</v>
      </c>
      <c r="J168" s="59"/>
      <c r="K168" s="233"/>
      <c r="L168" s="233"/>
      <c r="M168" s="235"/>
      <c r="N168" s="236"/>
      <c r="O168" s="235"/>
      <c r="P168" s="236"/>
      <c r="Q168" s="236"/>
      <c r="R168" s="236"/>
      <c r="S168" s="237"/>
      <c r="T168" s="236"/>
      <c r="U168" s="233"/>
      <c r="V168" s="233"/>
      <c r="W168" s="233"/>
      <c r="X168" s="238"/>
    </row>
    <row r="169" spans="1:24" s="3" customFormat="1">
      <c r="A169" s="233"/>
      <c r="B169" s="434" t="s">
        <v>151</v>
      </c>
      <c r="C169" s="434"/>
      <c r="D169" s="435"/>
      <c r="E169" s="435"/>
      <c r="F169" s="50"/>
      <c r="G169" s="62"/>
      <c r="H169" s="185"/>
      <c r="I169" s="186">
        <f t="shared" si="12"/>
        <v>0</v>
      </c>
      <c r="J169" s="59"/>
      <c r="K169" s="233"/>
      <c r="L169" s="233"/>
      <c r="M169" s="235"/>
      <c r="N169" s="236"/>
      <c r="O169" s="235"/>
      <c r="P169" s="236"/>
      <c r="Q169" s="236"/>
      <c r="R169" s="236"/>
      <c r="S169" s="237"/>
      <c r="T169" s="236"/>
      <c r="U169" s="233"/>
      <c r="V169" s="233"/>
      <c r="W169" s="233"/>
      <c r="X169" s="238"/>
    </row>
    <row r="170" spans="1:24" s="3" customFormat="1">
      <c r="A170" s="233"/>
      <c r="B170" s="434" t="s">
        <v>151</v>
      </c>
      <c r="C170" s="434"/>
      <c r="D170" s="435"/>
      <c r="E170" s="435"/>
      <c r="F170" s="50"/>
      <c r="G170" s="62"/>
      <c r="H170" s="185"/>
      <c r="I170" s="186">
        <f t="shared" si="12"/>
        <v>0</v>
      </c>
      <c r="J170" s="59"/>
      <c r="K170" s="233"/>
      <c r="L170" s="233"/>
      <c r="M170" s="235"/>
      <c r="N170" s="236"/>
      <c r="O170" s="235"/>
      <c r="P170" s="236"/>
      <c r="Q170" s="236"/>
      <c r="R170" s="236"/>
      <c r="S170" s="237"/>
      <c r="T170" s="236"/>
      <c r="U170" s="233"/>
      <c r="V170" s="233"/>
      <c r="W170" s="233"/>
      <c r="X170" s="238"/>
    </row>
    <row r="171" spans="1:24" s="3" customFormat="1">
      <c r="A171" s="233"/>
      <c r="B171" s="434" t="s">
        <v>151</v>
      </c>
      <c r="C171" s="434"/>
      <c r="D171" s="435"/>
      <c r="E171" s="435"/>
      <c r="F171" s="50"/>
      <c r="G171" s="62"/>
      <c r="H171" s="185"/>
      <c r="I171" s="186">
        <f t="shared" si="12"/>
        <v>0</v>
      </c>
      <c r="J171" s="59"/>
      <c r="K171" s="233"/>
      <c r="L171" s="233"/>
      <c r="M171" s="235"/>
      <c r="N171" s="236"/>
      <c r="O171" s="235"/>
      <c r="P171" s="236"/>
      <c r="Q171" s="236"/>
      <c r="R171" s="236"/>
      <c r="S171" s="237"/>
      <c r="T171" s="236"/>
      <c r="U171" s="233"/>
      <c r="V171" s="233"/>
      <c r="W171" s="233"/>
      <c r="X171" s="238"/>
    </row>
    <row r="172" spans="1:24" s="3" customFormat="1">
      <c r="A172" s="233"/>
      <c r="B172" s="434" t="s">
        <v>151</v>
      </c>
      <c r="C172" s="434"/>
      <c r="D172" s="435"/>
      <c r="E172" s="435"/>
      <c r="F172" s="50"/>
      <c r="G172" s="62"/>
      <c r="H172" s="185"/>
      <c r="I172" s="186">
        <f t="shared" si="12"/>
        <v>0</v>
      </c>
      <c r="J172" s="59"/>
      <c r="K172" s="233"/>
      <c r="L172" s="233"/>
      <c r="M172" s="235"/>
      <c r="N172" s="236"/>
      <c r="O172" s="235"/>
      <c r="P172" s="236"/>
      <c r="Q172" s="236"/>
      <c r="R172" s="236"/>
      <c r="S172" s="237"/>
      <c r="T172" s="236"/>
      <c r="U172" s="233"/>
      <c r="V172" s="233"/>
      <c r="W172" s="233"/>
      <c r="X172" s="238"/>
    </row>
    <row r="173" spans="1:24" s="3" customFormat="1">
      <c r="A173" s="233"/>
      <c r="B173" s="434" t="s">
        <v>151</v>
      </c>
      <c r="C173" s="434"/>
      <c r="D173" s="435"/>
      <c r="E173" s="435"/>
      <c r="F173" s="50"/>
      <c r="G173" s="62"/>
      <c r="H173" s="185"/>
      <c r="I173" s="186">
        <f t="shared" si="12"/>
        <v>0</v>
      </c>
      <c r="J173" s="59"/>
      <c r="K173" s="233"/>
      <c r="L173" s="233"/>
      <c r="M173" s="235"/>
      <c r="N173" s="236"/>
      <c r="O173" s="235"/>
      <c r="P173" s="236"/>
      <c r="Q173" s="236"/>
      <c r="R173" s="236"/>
      <c r="S173" s="237"/>
      <c r="T173" s="236"/>
      <c r="U173" s="233"/>
      <c r="V173" s="233"/>
      <c r="W173" s="233"/>
      <c r="X173" s="238"/>
    </row>
    <row r="174" spans="1:24" s="3" customFormat="1">
      <c r="A174" s="233"/>
      <c r="B174" s="434" t="s">
        <v>151</v>
      </c>
      <c r="C174" s="434"/>
      <c r="D174" s="435"/>
      <c r="E174" s="435"/>
      <c r="F174" s="50"/>
      <c r="G174" s="62"/>
      <c r="H174" s="185"/>
      <c r="I174" s="186">
        <f t="shared" si="12"/>
        <v>0</v>
      </c>
      <c r="J174" s="59"/>
      <c r="K174" s="233"/>
      <c r="L174" s="233"/>
      <c r="M174" s="235"/>
      <c r="N174" s="236"/>
      <c r="O174" s="235"/>
      <c r="P174" s="236"/>
      <c r="Q174" s="236"/>
      <c r="R174" s="236"/>
      <c r="S174" s="237"/>
      <c r="T174" s="236"/>
      <c r="U174" s="233"/>
      <c r="V174" s="233"/>
      <c r="W174" s="233"/>
      <c r="X174" s="238"/>
    </row>
    <row r="175" spans="1:24" s="3" customFormat="1">
      <c r="A175" s="233"/>
      <c r="B175" s="136"/>
      <c r="C175" s="11"/>
      <c r="D175" s="234"/>
      <c r="E175" s="11"/>
      <c r="F175" s="233"/>
      <c r="G175" s="233"/>
      <c r="H175" s="233"/>
      <c r="I175" s="233"/>
      <c r="J175" s="233"/>
      <c r="K175" s="233"/>
      <c r="L175" s="233"/>
      <c r="M175" s="235"/>
      <c r="N175" s="236"/>
      <c r="O175" s="235"/>
      <c r="P175" s="236"/>
      <c r="Q175" s="236"/>
      <c r="R175" s="236"/>
      <c r="S175" s="237"/>
      <c r="T175" s="236"/>
      <c r="U175" s="233"/>
      <c r="V175" s="233"/>
      <c r="W175" s="233"/>
      <c r="X175" s="238"/>
    </row>
    <row r="176" spans="1:24" s="3" customFormat="1">
      <c r="A176" s="233"/>
      <c r="B176" s="136"/>
      <c r="C176" s="11"/>
      <c r="D176" s="234"/>
      <c r="E176" s="11"/>
      <c r="F176" s="233"/>
      <c r="G176" s="233"/>
      <c r="H176" s="233"/>
      <c r="I176" s="233"/>
      <c r="J176" s="233"/>
      <c r="K176" s="233"/>
      <c r="L176" s="233"/>
      <c r="M176" s="235"/>
      <c r="N176" s="236"/>
      <c r="O176" s="235"/>
      <c r="P176" s="236"/>
      <c r="Q176" s="236"/>
      <c r="R176" s="236"/>
      <c r="S176" s="237"/>
      <c r="T176" s="236"/>
      <c r="U176" s="233"/>
      <c r="V176" s="233"/>
      <c r="W176" s="233"/>
      <c r="X176" s="238"/>
    </row>
    <row r="177" spans="1:24" s="181" customFormat="1" ht="18">
      <c r="A177" s="244"/>
      <c r="B177" s="251" t="s">
        <v>249</v>
      </c>
      <c r="C177" s="245"/>
      <c r="D177" s="246"/>
      <c r="E177" s="245"/>
      <c r="F177" s="244"/>
      <c r="G177" s="244"/>
      <c r="H177" s="244"/>
      <c r="I177" s="244"/>
      <c r="J177" s="244"/>
      <c r="K177" s="244"/>
      <c r="L177" s="244"/>
      <c r="M177" s="247"/>
      <c r="N177" s="248"/>
      <c r="O177" s="247"/>
      <c r="P177" s="248"/>
      <c r="Q177" s="248"/>
      <c r="R177" s="248"/>
      <c r="S177" s="249"/>
      <c r="T177" s="248"/>
      <c r="U177" s="244"/>
      <c r="V177" s="244"/>
      <c r="W177" s="244"/>
      <c r="X177" s="250"/>
    </row>
    <row r="178" spans="1:24" s="3" customFormat="1">
      <c r="A178" s="233"/>
      <c r="B178" s="242" t="s">
        <v>250</v>
      </c>
      <c r="C178" s="11"/>
      <c r="D178" s="234"/>
      <c r="E178" s="11"/>
      <c r="F178" s="233"/>
      <c r="G178" s="233"/>
      <c r="H178" s="233"/>
      <c r="I178" s="233"/>
      <c r="J178" s="233"/>
      <c r="K178" s="233"/>
      <c r="L178" s="233"/>
      <c r="M178" s="235"/>
      <c r="N178" s="236"/>
      <c r="O178" s="235"/>
      <c r="P178" s="236"/>
      <c r="Q178" s="236"/>
      <c r="R178" s="236"/>
      <c r="S178" s="237"/>
      <c r="T178" s="236"/>
      <c r="U178" s="233"/>
      <c r="V178" s="233"/>
      <c r="W178" s="233"/>
      <c r="X178" s="238"/>
    </row>
    <row r="179" spans="1:24" s="3" customFormat="1">
      <c r="A179" s="233"/>
      <c r="B179" s="444" t="s">
        <v>81</v>
      </c>
      <c r="C179" s="445"/>
      <c r="D179" s="444" t="s">
        <v>153</v>
      </c>
      <c r="E179" s="445"/>
      <c r="F179" s="124" t="s">
        <v>154</v>
      </c>
      <c r="G179" s="124" t="s">
        <v>155</v>
      </c>
      <c r="H179" s="124" t="s">
        <v>156</v>
      </c>
      <c r="I179" s="124" t="s">
        <v>157</v>
      </c>
      <c r="J179" s="126" t="s">
        <v>97</v>
      </c>
      <c r="K179" s="233"/>
      <c r="L179" s="233"/>
      <c r="M179" s="235"/>
      <c r="N179" s="236"/>
      <c r="O179" s="235"/>
      <c r="P179" s="236"/>
      <c r="Q179" s="236"/>
      <c r="R179" s="236"/>
      <c r="S179" s="237"/>
      <c r="T179" s="236"/>
      <c r="U179" s="233"/>
      <c r="V179" s="233"/>
      <c r="W179" s="233"/>
      <c r="X179" s="238"/>
    </row>
    <row r="180" spans="1:24" s="3" customFormat="1">
      <c r="A180" s="233"/>
      <c r="B180" s="434" t="s">
        <v>151</v>
      </c>
      <c r="C180" s="434"/>
      <c r="D180" s="435"/>
      <c r="E180" s="435"/>
      <c r="F180" s="50"/>
      <c r="G180" s="62"/>
      <c r="H180" s="185"/>
      <c r="I180" s="186">
        <f t="shared" ref="I180:I189" si="13">IF(B180=0,0,H180*G180*F180)</f>
        <v>0</v>
      </c>
      <c r="J180" s="59"/>
      <c r="K180" s="233"/>
      <c r="L180" s="233"/>
      <c r="M180" s="235"/>
      <c r="N180" s="236"/>
      <c r="O180" s="235"/>
      <c r="P180" s="236"/>
      <c r="Q180" s="236"/>
      <c r="R180" s="236"/>
      <c r="S180" s="237"/>
      <c r="T180" s="236"/>
      <c r="U180" s="233"/>
      <c r="V180" s="233"/>
      <c r="W180" s="233"/>
      <c r="X180" s="238"/>
    </row>
    <row r="181" spans="1:24" s="3" customFormat="1">
      <c r="A181" s="233"/>
      <c r="B181" s="434" t="s">
        <v>151</v>
      </c>
      <c r="C181" s="434"/>
      <c r="D181" s="435"/>
      <c r="E181" s="435"/>
      <c r="F181" s="50"/>
      <c r="G181" s="62"/>
      <c r="H181" s="185"/>
      <c r="I181" s="186">
        <f t="shared" si="13"/>
        <v>0</v>
      </c>
      <c r="J181" s="59"/>
      <c r="K181" s="233"/>
      <c r="L181" s="233"/>
      <c r="M181" s="235"/>
      <c r="N181" s="236"/>
      <c r="O181" s="235"/>
      <c r="P181" s="236"/>
      <c r="Q181" s="236"/>
      <c r="R181" s="236"/>
      <c r="S181" s="237"/>
      <c r="T181" s="236"/>
      <c r="U181" s="233"/>
      <c r="V181" s="233"/>
      <c r="W181" s="233"/>
      <c r="X181" s="238"/>
    </row>
    <row r="182" spans="1:24" s="3" customFormat="1">
      <c r="A182" s="233"/>
      <c r="B182" s="434" t="s">
        <v>151</v>
      </c>
      <c r="C182" s="434"/>
      <c r="D182" s="435"/>
      <c r="E182" s="435"/>
      <c r="F182" s="50"/>
      <c r="G182" s="62"/>
      <c r="H182" s="185"/>
      <c r="I182" s="186">
        <f t="shared" si="13"/>
        <v>0</v>
      </c>
      <c r="J182" s="59"/>
      <c r="K182" s="233"/>
      <c r="L182" s="233"/>
      <c r="M182" s="235"/>
      <c r="N182" s="236"/>
      <c r="O182" s="235"/>
      <c r="P182" s="236"/>
      <c r="Q182" s="236"/>
      <c r="R182" s="236"/>
      <c r="S182" s="237"/>
      <c r="T182" s="236"/>
      <c r="U182" s="233"/>
      <c r="V182" s="233"/>
      <c r="W182" s="233"/>
      <c r="X182" s="238"/>
    </row>
    <row r="183" spans="1:24" s="3" customFormat="1">
      <c r="A183" s="233"/>
      <c r="B183" s="434" t="s">
        <v>151</v>
      </c>
      <c r="C183" s="434"/>
      <c r="D183" s="435"/>
      <c r="E183" s="435"/>
      <c r="F183" s="50"/>
      <c r="G183" s="62"/>
      <c r="H183" s="185"/>
      <c r="I183" s="186">
        <f t="shared" si="13"/>
        <v>0</v>
      </c>
      <c r="J183" s="59"/>
      <c r="K183" s="233"/>
      <c r="L183" s="233"/>
      <c r="M183" s="235"/>
      <c r="N183" s="236"/>
      <c r="O183" s="235"/>
      <c r="P183" s="236"/>
      <c r="Q183" s="236"/>
      <c r="R183" s="236"/>
      <c r="S183" s="237"/>
      <c r="T183" s="236"/>
      <c r="U183" s="233"/>
      <c r="V183" s="233"/>
      <c r="W183" s="233"/>
      <c r="X183" s="238"/>
    </row>
    <row r="184" spans="1:24" s="3" customFormat="1">
      <c r="A184" s="233"/>
      <c r="B184" s="434" t="s">
        <v>151</v>
      </c>
      <c r="C184" s="434"/>
      <c r="D184" s="435"/>
      <c r="E184" s="435"/>
      <c r="F184" s="50"/>
      <c r="G184" s="62"/>
      <c r="H184" s="185"/>
      <c r="I184" s="186">
        <f t="shared" si="13"/>
        <v>0</v>
      </c>
      <c r="J184" s="59"/>
      <c r="K184" s="233"/>
      <c r="L184" s="233"/>
      <c r="M184" s="235"/>
      <c r="N184" s="236"/>
      <c r="O184" s="235"/>
      <c r="P184" s="236"/>
      <c r="Q184" s="236"/>
      <c r="R184" s="236"/>
      <c r="S184" s="237"/>
      <c r="T184" s="236"/>
      <c r="U184" s="233"/>
      <c r="V184" s="233"/>
      <c r="W184" s="233"/>
      <c r="X184" s="238"/>
    </row>
    <row r="185" spans="1:24" s="3" customFormat="1">
      <c r="A185" s="233"/>
      <c r="B185" s="434" t="s">
        <v>151</v>
      </c>
      <c r="C185" s="434"/>
      <c r="D185" s="435"/>
      <c r="E185" s="435"/>
      <c r="F185" s="50"/>
      <c r="G185" s="62"/>
      <c r="H185" s="185"/>
      <c r="I185" s="186">
        <f t="shared" si="13"/>
        <v>0</v>
      </c>
      <c r="J185" s="59"/>
      <c r="K185" s="233"/>
      <c r="L185" s="233"/>
      <c r="M185" s="235"/>
      <c r="N185" s="236"/>
      <c r="O185" s="235"/>
      <c r="P185" s="236"/>
      <c r="Q185" s="236"/>
      <c r="R185" s="236"/>
      <c r="S185" s="237"/>
      <c r="T185" s="236"/>
      <c r="U185" s="233"/>
      <c r="V185" s="233"/>
      <c r="W185" s="233"/>
      <c r="X185" s="238"/>
    </row>
    <row r="186" spans="1:24" s="3" customFormat="1">
      <c r="A186" s="233"/>
      <c r="B186" s="434" t="s">
        <v>151</v>
      </c>
      <c r="C186" s="434"/>
      <c r="D186" s="435"/>
      <c r="E186" s="435"/>
      <c r="F186" s="50"/>
      <c r="G186" s="62"/>
      <c r="H186" s="185"/>
      <c r="I186" s="186">
        <f t="shared" si="13"/>
        <v>0</v>
      </c>
      <c r="J186" s="59"/>
      <c r="K186" s="233"/>
      <c r="L186" s="233"/>
      <c r="M186" s="235"/>
      <c r="N186" s="236"/>
      <c r="O186" s="235"/>
      <c r="P186" s="236"/>
      <c r="Q186" s="236"/>
      <c r="R186" s="236"/>
      <c r="S186" s="237"/>
      <c r="T186" s="236"/>
      <c r="U186" s="233"/>
      <c r="V186" s="233"/>
      <c r="W186" s="233"/>
      <c r="X186" s="238"/>
    </row>
    <row r="187" spans="1:24" s="3" customFormat="1">
      <c r="A187" s="233"/>
      <c r="B187" s="434" t="s">
        <v>151</v>
      </c>
      <c r="C187" s="434"/>
      <c r="D187" s="435"/>
      <c r="E187" s="435"/>
      <c r="F187" s="50"/>
      <c r="G187" s="62"/>
      <c r="H187" s="185"/>
      <c r="I187" s="186">
        <f t="shared" si="13"/>
        <v>0</v>
      </c>
      <c r="J187" s="59"/>
      <c r="K187" s="233"/>
      <c r="L187" s="233"/>
      <c r="M187" s="235"/>
      <c r="N187" s="236"/>
      <c r="O187" s="235"/>
      <c r="P187" s="236"/>
      <c r="Q187" s="236"/>
      <c r="R187" s="236"/>
      <c r="S187" s="237"/>
      <c r="T187" s="236"/>
      <c r="U187" s="233"/>
      <c r="V187" s="233"/>
      <c r="W187" s="233"/>
      <c r="X187" s="238"/>
    </row>
    <row r="188" spans="1:24" s="3" customFormat="1">
      <c r="A188" s="233"/>
      <c r="B188" s="434" t="s">
        <v>151</v>
      </c>
      <c r="C188" s="434"/>
      <c r="D188" s="435"/>
      <c r="E188" s="435"/>
      <c r="F188" s="50"/>
      <c r="G188" s="62"/>
      <c r="H188" s="185"/>
      <c r="I188" s="186">
        <f t="shared" si="13"/>
        <v>0</v>
      </c>
      <c r="J188" s="59"/>
      <c r="K188" s="233"/>
      <c r="L188" s="233"/>
      <c r="M188" s="235"/>
      <c r="N188" s="236"/>
      <c r="O188" s="235"/>
      <c r="P188" s="236"/>
      <c r="Q188" s="236"/>
      <c r="R188" s="236"/>
      <c r="S188" s="237"/>
      <c r="T188" s="236"/>
      <c r="U188" s="233"/>
      <c r="V188" s="233"/>
      <c r="W188" s="233"/>
      <c r="X188" s="238"/>
    </row>
    <row r="189" spans="1:24" s="3" customFormat="1">
      <c r="A189" s="233"/>
      <c r="B189" s="434" t="s">
        <v>151</v>
      </c>
      <c r="C189" s="434"/>
      <c r="D189" s="435"/>
      <c r="E189" s="435"/>
      <c r="F189" s="50"/>
      <c r="G189" s="62"/>
      <c r="H189" s="185"/>
      <c r="I189" s="186">
        <f t="shared" si="13"/>
        <v>0</v>
      </c>
      <c r="J189" s="59"/>
      <c r="K189" s="233"/>
      <c r="L189" s="233"/>
      <c r="M189" s="235"/>
      <c r="N189" s="236"/>
      <c r="O189" s="235"/>
      <c r="P189" s="236"/>
      <c r="Q189" s="236"/>
      <c r="R189" s="236"/>
      <c r="S189" s="237"/>
      <c r="T189" s="236"/>
      <c r="U189" s="233"/>
      <c r="V189" s="233"/>
      <c r="W189" s="233"/>
      <c r="X189" s="238"/>
    </row>
    <row r="190" spans="1:24" s="3" customFormat="1">
      <c r="A190" s="233"/>
      <c r="B190" s="136"/>
      <c r="C190" s="11"/>
      <c r="D190" s="234"/>
      <c r="E190" s="11"/>
      <c r="F190" s="233"/>
      <c r="G190" s="233"/>
      <c r="H190" s="233"/>
      <c r="I190" s="233"/>
      <c r="J190" s="233"/>
      <c r="K190" s="233"/>
      <c r="L190" s="233"/>
      <c r="M190" s="235"/>
      <c r="N190" s="236"/>
      <c r="O190" s="235"/>
      <c r="P190" s="236"/>
      <c r="Q190" s="236"/>
      <c r="R190" s="236"/>
      <c r="S190" s="237"/>
      <c r="T190" s="236"/>
      <c r="U190" s="233"/>
      <c r="V190" s="233"/>
      <c r="W190" s="233"/>
      <c r="X190" s="238"/>
    </row>
    <row r="191" spans="1:24" customFormat="1">
      <c r="B191" s="63"/>
      <c r="C191" s="63"/>
      <c r="D191" s="7"/>
      <c r="E191" s="7"/>
      <c r="F191" s="7"/>
      <c r="G191" s="7"/>
      <c r="H191" s="7"/>
      <c r="I191" s="7"/>
      <c r="J191" s="7"/>
      <c r="K191" s="7"/>
      <c r="L191" s="7"/>
      <c r="M191" s="7"/>
      <c r="N191" s="7"/>
      <c r="O191" s="7"/>
      <c r="P191" s="7"/>
      <c r="Q191" s="7"/>
      <c r="R191" s="7"/>
    </row>
    <row r="192" spans="1:24" customFormat="1">
      <c r="B192" s="64"/>
      <c r="C192" s="64"/>
      <c r="D192" s="65"/>
      <c r="E192" s="65"/>
      <c r="F192" s="65"/>
      <c r="G192" s="65"/>
      <c r="H192" s="65"/>
      <c r="I192" s="65"/>
      <c r="J192" s="65"/>
      <c r="K192" s="65"/>
      <c r="L192" s="65"/>
      <c r="M192" s="7"/>
      <c r="N192" s="7"/>
      <c r="O192" s="7"/>
      <c r="P192" s="7"/>
      <c r="Q192" s="7"/>
      <c r="R192" s="7"/>
    </row>
    <row r="193" spans="1:24" s="3" customFormat="1">
      <c r="A193" s="233"/>
      <c r="B193" s="187"/>
      <c r="C193" s="11"/>
      <c r="D193" s="234"/>
      <c r="E193" s="11"/>
      <c r="F193" s="233"/>
      <c r="G193" s="233"/>
      <c r="H193" s="233"/>
      <c r="I193" s="233"/>
      <c r="J193" s="233"/>
      <c r="K193" s="233"/>
      <c r="L193" s="233"/>
      <c r="M193" s="235"/>
      <c r="N193" s="236"/>
      <c r="O193" s="235"/>
      <c r="P193" s="236"/>
      <c r="Q193" s="236"/>
      <c r="R193" s="236"/>
      <c r="S193" s="237"/>
      <c r="T193" s="236"/>
      <c r="U193" s="233"/>
      <c r="V193" s="233"/>
      <c r="W193" s="233"/>
      <c r="X193" s="238"/>
    </row>
    <row r="194" spans="1:24" s="3" customFormat="1" ht="18">
      <c r="A194" s="233"/>
      <c r="B194" s="140" t="s">
        <v>251</v>
      </c>
      <c r="C194" s="11"/>
      <c r="D194" s="234"/>
      <c r="E194" s="11"/>
      <c r="F194" s="233"/>
      <c r="G194" s="233"/>
      <c r="H194" s="233"/>
      <c r="I194" s="233"/>
      <c r="J194" s="233"/>
      <c r="K194" s="233"/>
      <c r="L194" s="233"/>
      <c r="M194" s="235"/>
      <c r="N194" s="236"/>
      <c r="O194" s="235"/>
      <c r="P194" s="236"/>
      <c r="Q194" s="236"/>
      <c r="R194" s="236"/>
      <c r="S194" s="237"/>
      <c r="T194" s="236"/>
      <c r="U194" s="233"/>
      <c r="V194" s="233"/>
      <c r="W194" s="233"/>
      <c r="X194" s="238"/>
    </row>
    <row r="195" spans="1:24" s="3" customFormat="1">
      <c r="A195" s="233"/>
      <c r="B195" s="136" t="s">
        <v>252</v>
      </c>
      <c r="C195" s="11"/>
      <c r="D195" s="234"/>
      <c r="E195" s="11"/>
      <c r="F195" s="233"/>
      <c r="G195" s="233"/>
      <c r="H195" s="233"/>
      <c r="I195" s="233"/>
      <c r="J195" s="233"/>
      <c r="K195" s="233"/>
      <c r="L195" s="233"/>
      <c r="M195" s="235"/>
      <c r="N195" s="236"/>
      <c r="O195" s="235"/>
      <c r="P195" s="236"/>
      <c r="Q195" s="236"/>
      <c r="R195" s="236"/>
      <c r="S195" s="237"/>
      <c r="T195" s="236"/>
      <c r="U195" s="233"/>
      <c r="V195" s="233"/>
      <c r="W195" s="233"/>
      <c r="X195" s="238"/>
    </row>
    <row r="196" spans="1:24" s="3" customFormat="1">
      <c r="A196" s="136"/>
      <c r="B196" s="136" t="s">
        <v>253</v>
      </c>
      <c r="C196" s="11"/>
      <c r="D196" s="234"/>
      <c r="E196" s="11"/>
      <c r="F196" s="233"/>
      <c r="G196" s="233"/>
      <c r="H196" s="233"/>
      <c r="I196" s="233"/>
      <c r="J196" s="233"/>
      <c r="K196" s="233"/>
      <c r="L196" s="233"/>
      <c r="M196" s="235"/>
      <c r="N196" s="236"/>
      <c r="O196" s="235"/>
      <c r="P196" s="236"/>
      <c r="Q196" s="236"/>
      <c r="R196" s="236"/>
      <c r="S196" s="237"/>
      <c r="T196" s="236"/>
      <c r="U196" s="233"/>
      <c r="V196" s="233"/>
      <c r="W196" s="233"/>
      <c r="X196" s="238"/>
    </row>
    <row r="197" spans="1:24" s="3" customFormat="1">
      <c r="A197" s="136"/>
      <c r="B197" s="136"/>
      <c r="C197" s="11"/>
      <c r="D197" s="234"/>
      <c r="E197" s="11"/>
      <c r="F197" s="233"/>
      <c r="G197" s="233"/>
      <c r="H197" s="233"/>
      <c r="I197" s="233"/>
      <c r="J197" s="233"/>
      <c r="K197" s="233"/>
      <c r="L197" s="233"/>
      <c r="M197" s="235"/>
      <c r="N197" s="236"/>
      <c r="O197" s="235"/>
      <c r="P197" s="236"/>
      <c r="Q197" s="236"/>
      <c r="R197" s="236"/>
      <c r="S197" s="237"/>
      <c r="T197" s="236"/>
      <c r="U197" s="233"/>
      <c r="V197" s="233"/>
      <c r="W197" s="233"/>
      <c r="X197" s="238"/>
    </row>
    <row r="198" spans="1:24" s="3" customFormat="1">
      <c r="A198" s="233"/>
      <c r="B198" s="9"/>
      <c r="C198" s="42" t="s">
        <v>254</v>
      </c>
      <c r="D198" s="62" t="s">
        <v>256</v>
      </c>
      <c r="E198" s="252" t="s">
        <v>255</v>
      </c>
      <c r="F198" s="233"/>
      <c r="G198" s="233"/>
      <c r="H198" s="233"/>
      <c r="I198" s="233"/>
      <c r="J198" s="233"/>
      <c r="K198" s="233"/>
      <c r="L198" s="233"/>
      <c r="M198" s="235"/>
      <c r="N198" s="236"/>
      <c r="O198" s="235"/>
      <c r="P198" s="236"/>
      <c r="Q198" s="236"/>
      <c r="R198" s="236"/>
      <c r="S198" s="237"/>
      <c r="T198" s="236"/>
      <c r="U198" s="233"/>
      <c r="V198" s="233"/>
      <c r="W198" s="233"/>
      <c r="X198" s="238"/>
    </row>
    <row r="199" spans="1:24" s="3" customFormat="1">
      <c r="A199" s="233"/>
      <c r="B199" s="187"/>
      <c r="C199" s="11"/>
      <c r="D199" s="9"/>
      <c r="E199" s="11"/>
      <c r="F199" s="233"/>
      <c r="G199" s="233"/>
      <c r="H199" s="233"/>
      <c r="I199" s="233"/>
      <c r="J199" s="233"/>
      <c r="K199" s="233"/>
      <c r="L199" s="233"/>
      <c r="M199" s="235"/>
      <c r="N199" s="236"/>
      <c r="O199" s="235"/>
      <c r="P199" s="236"/>
      <c r="Q199" s="236"/>
      <c r="R199" s="236"/>
      <c r="S199" s="237"/>
      <c r="T199" s="236"/>
      <c r="U199" s="233"/>
      <c r="V199" s="233"/>
      <c r="W199" s="233"/>
      <c r="X199" s="238"/>
    </row>
    <row r="200" spans="1:24" s="3" customFormat="1" ht="15" customHeight="1">
      <c r="A200" s="233"/>
      <c r="B200" s="430" t="s">
        <v>81</v>
      </c>
      <c r="C200" s="431"/>
      <c r="D200" s="442" t="s">
        <v>226</v>
      </c>
      <c r="E200" s="443"/>
      <c r="F200" s="443"/>
      <c r="G200" s="446" t="s">
        <v>231</v>
      </c>
      <c r="H200" s="447"/>
      <c r="I200" s="447"/>
      <c r="J200" s="233"/>
      <c r="K200" s="233"/>
      <c r="L200" s="233"/>
      <c r="M200" s="235"/>
      <c r="N200" s="236"/>
      <c r="O200" s="235"/>
      <c r="P200" s="236"/>
      <c r="Q200" s="236"/>
      <c r="R200" s="236"/>
      <c r="S200" s="237"/>
      <c r="T200" s="236"/>
      <c r="U200" s="233"/>
      <c r="V200" s="233"/>
      <c r="W200" s="233"/>
      <c r="X200" s="238"/>
    </row>
    <row r="201" spans="1:24" s="79" customFormat="1" ht="28.8">
      <c r="A201" s="253"/>
      <c r="B201" s="432"/>
      <c r="C201" s="433"/>
      <c r="D201" s="122" t="s">
        <v>227</v>
      </c>
      <c r="E201" s="122" t="s">
        <v>234</v>
      </c>
      <c r="F201" s="122" t="s">
        <v>235</v>
      </c>
      <c r="G201" s="121" t="s">
        <v>230</v>
      </c>
      <c r="H201" s="121" t="s">
        <v>236</v>
      </c>
      <c r="I201" s="121" t="s">
        <v>237</v>
      </c>
      <c r="J201" s="253"/>
      <c r="K201" s="253"/>
      <c r="L201" s="253"/>
      <c r="M201" s="254"/>
      <c r="N201" s="255"/>
      <c r="O201" s="254"/>
      <c r="P201" s="255"/>
      <c r="Q201" s="255"/>
      <c r="R201" s="255"/>
      <c r="S201" s="255"/>
      <c r="T201" s="255"/>
      <c r="U201" s="253"/>
      <c r="V201" s="253"/>
      <c r="W201" s="253"/>
      <c r="X201" s="256"/>
    </row>
    <row r="202" spans="1:24" s="3" customFormat="1">
      <c r="A202" s="233"/>
      <c r="B202" s="66" t="s">
        <v>137</v>
      </c>
      <c r="C202" s="60" t="str">
        <f>IF(intervencao1=0,"Do not fill this line",intervencao1)</f>
        <v>Intrauterine device levonorgestrel</v>
      </c>
      <c r="D202" s="185"/>
      <c r="E202" s="185"/>
      <c r="F202" s="185"/>
      <c r="G202" s="185"/>
      <c r="H202" s="185"/>
      <c r="I202" s="185"/>
      <c r="J202" s="257"/>
      <c r="K202" s="233"/>
      <c r="L202" s="233"/>
      <c r="M202" s="235"/>
      <c r="N202" s="236"/>
      <c r="O202" s="235"/>
      <c r="P202" s="236"/>
      <c r="Q202" s="236"/>
      <c r="R202" s="236"/>
      <c r="S202" s="237"/>
      <c r="T202" s="236"/>
      <c r="U202" s="233"/>
      <c r="V202" s="233"/>
      <c r="W202" s="233"/>
      <c r="X202" s="238"/>
    </row>
    <row r="203" spans="1:24" s="3" customFormat="1">
      <c r="A203" s="233"/>
      <c r="B203" s="66" t="s">
        <v>138</v>
      </c>
      <c r="C203" s="60" t="str">
        <f>IF(intervencao2=0,"Do not fill this line",intervencao2)</f>
        <v>Do not fill this line</v>
      </c>
      <c r="D203" s="185"/>
      <c r="E203" s="185"/>
      <c r="F203" s="185"/>
      <c r="G203" s="186">
        <f>G202</f>
        <v>0</v>
      </c>
      <c r="H203" s="186">
        <f>H202</f>
        <v>0</v>
      </c>
      <c r="I203" s="186">
        <f>I202</f>
        <v>0</v>
      </c>
      <c r="J203" s="257"/>
      <c r="K203" s="233"/>
      <c r="L203" s="233"/>
      <c r="M203" s="235"/>
      <c r="N203" s="236"/>
      <c r="O203" s="235"/>
      <c r="P203" s="236"/>
      <c r="Q203" s="236"/>
      <c r="R203" s="236"/>
      <c r="S203" s="237"/>
      <c r="T203" s="236"/>
      <c r="U203" s="233"/>
      <c r="V203" s="233"/>
      <c r="W203" s="233"/>
      <c r="X203" s="238"/>
    </row>
    <row r="204" spans="1:24" s="3" customFormat="1">
      <c r="A204" s="233"/>
      <c r="B204" s="66" t="s">
        <v>139</v>
      </c>
      <c r="C204" s="60" t="str">
        <f>IF(intervencao3=0,"Do not fill this line",intervencao3)</f>
        <v>Do not fill this line</v>
      </c>
      <c r="D204" s="185"/>
      <c r="E204" s="185"/>
      <c r="F204" s="185"/>
      <c r="G204" s="186">
        <f t="shared" ref="G204:G215" si="14">G203</f>
        <v>0</v>
      </c>
      <c r="H204" s="186">
        <f t="shared" ref="H204:I215" si="15">H203</f>
        <v>0</v>
      </c>
      <c r="I204" s="186">
        <f t="shared" si="15"/>
        <v>0</v>
      </c>
      <c r="J204" s="233"/>
      <c r="K204" s="233"/>
      <c r="L204" s="233"/>
      <c r="M204" s="235"/>
      <c r="N204" s="236"/>
      <c r="O204" s="235"/>
      <c r="P204" s="236"/>
      <c r="Q204" s="236"/>
      <c r="R204" s="236"/>
      <c r="S204" s="237"/>
      <c r="T204" s="236"/>
      <c r="U204" s="233"/>
      <c r="V204" s="233"/>
      <c r="W204" s="233"/>
      <c r="X204" s="238"/>
    </row>
    <row r="205" spans="1:24" s="3" customFormat="1">
      <c r="A205" s="233"/>
      <c r="B205" s="66" t="s">
        <v>140</v>
      </c>
      <c r="C205" s="60" t="str">
        <f>IF(intervencao4=0,"Do not fill this line",intervencao4)</f>
        <v>Do not fill this line</v>
      </c>
      <c r="D205" s="185"/>
      <c r="E205" s="185"/>
      <c r="F205" s="185"/>
      <c r="G205" s="186">
        <f t="shared" si="14"/>
        <v>0</v>
      </c>
      <c r="H205" s="186">
        <f t="shared" si="15"/>
        <v>0</v>
      </c>
      <c r="I205" s="186">
        <f t="shared" si="15"/>
        <v>0</v>
      </c>
      <c r="J205" s="233"/>
      <c r="K205" s="233"/>
      <c r="L205" s="233"/>
      <c r="M205" s="235"/>
      <c r="N205" s="236"/>
      <c r="O205" s="235"/>
      <c r="P205" s="236"/>
      <c r="Q205" s="236"/>
      <c r="R205" s="236"/>
      <c r="S205" s="237"/>
      <c r="T205" s="236"/>
      <c r="U205" s="233"/>
      <c r="V205" s="233"/>
      <c r="W205" s="233"/>
      <c r="X205" s="238"/>
    </row>
    <row r="206" spans="1:24" s="3" customFormat="1">
      <c r="A206" s="233"/>
      <c r="B206" s="66" t="s">
        <v>141</v>
      </c>
      <c r="C206" s="60" t="str">
        <f>IF(comparador1=0,"Do not fill this line",comparador1)</f>
        <v>Oral contraceptive</v>
      </c>
      <c r="D206" s="185"/>
      <c r="E206" s="185"/>
      <c r="F206" s="185"/>
      <c r="G206" s="186">
        <f t="shared" si="14"/>
        <v>0</v>
      </c>
      <c r="H206" s="186">
        <f t="shared" si="15"/>
        <v>0</v>
      </c>
      <c r="I206" s="186">
        <f t="shared" si="15"/>
        <v>0</v>
      </c>
      <c r="J206" s="233"/>
      <c r="K206" s="233"/>
      <c r="L206" s="233"/>
      <c r="M206" s="235"/>
      <c r="N206" s="236"/>
      <c r="O206" s="235"/>
      <c r="P206" s="236"/>
      <c r="Q206" s="236"/>
      <c r="R206" s="236"/>
      <c r="S206" s="237"/>
      <c r="T206" s="236"/>
      <c r="U206" s="233"/>
      <c r="V206" s="233"/>
      <c r="W206" s="233"/>
      <c r="X206" s="238"/>
    </row>
    <row r="207" spans="1:24" s="3" customFormat="1">
      <c r="A207" s="233"/>
      <c r="B207" s="66" t="s">
        <v>142</v>
      </c>
      <c r="C207" s="60" t="str">
        <f>IF(comparador2=0,"Do not fill this line",comparador2)</f>
        <v>Do not fill this line</v>
      </c>
      <c r="D207" s="185"/>
      <c r="E207" s="185"/>
      <c r="F207" s="185"/>
      <c r="G207" s="186">
        <f t="shared" si="14"/>
        <v>0</v>
      </c>
      <c r="H207" s="186">
        <f t="shared" si="15"/>
        <v>0</v>
      </c>
      <c r="I207" s="186">
        <f t="shared" si="15"/>
        <v>0</v>
      </c>
      <c r="J207" s="233"/>
      <c r="K207" s="233"/>
      <c r="L207" s="233"/>
      <c r="M207" s="235"/>
      <c r="N207" s="236"/>
      <c r="O207" s="235"/>
      <c r="P207" s="236"/>
      <c r="Q207" s="236"/>
      <c r="R207" s="236"/>
      <c r="S207" s="237"/>
      <c r="T207" s="236"/>
      <c r="U207" s="233"/>
      <c r="V207" s="233"/>
      <c r="W207" s="233"/>
      <c r="X207" s="238"/>
    </row>
    <row r="208" spans="1:24" s="3" customFormat="1">
      <c r="A208" s="233"/>
      <c r="B208" s="66" t="s">
        <v>143</v>
      </c>
      <c r="C208" s="60" t="str">
        <f>IF(comparador3=0,"Do not fill this line",comparador3)</f>
        <v>Do not fill this line</v>
      </c>
      <c r="D208" s="185"/>
      <c r="E208" s="185"/>
      <c r="F208" s="185"/>
      <c r="G208" s="186">
        <f t="shared" si="14"/>
        <v>0</v>
      </c>
      <c r="H208" s="186">
        <f t="shared" si="15"/>
        <v>0</v>
      </c>
      <c r="I208" s="186">
        <f t="shared" si="15"/>
        <v>0</v>
      </c>
      <c r="J208" s="233"/>
      <c r="K208" s="233"/>
      <c r="L208" s="233"/>
      <c r="M208" s="235"/>
      <c r="N208" s="236"/>
      <c r="O208" s="235"/>
      <c r="P208" s="236"/>
      <c r="Q208" s="236"/>
      <c r="R208" s="236"/>
      <c r="S208" s="237"/>
      <c r="T208" s="236"/>
      <c r="U208" s="233"/>
      <c r="V208" s="233"/>
      <c r="W208" s="233"/>
      <c r="X208" s="238"/>
    </row>
    <row r="209" spans="1:24" s="3" customFormat="1">
      <c r="A209" s="233"/>
      <c r="B209" s="66" t="s">
        <v>144</v>
      </c>
      <c r="C209" s="60" t="str">
        <f>IF(comparador4=0,"Do not fill this line",comparador4)</f>
        <v>Do not fill this line</v>
      </c>
      <c r="D209" s="185"/>
      <c r="E209" s="185"/>
      <c r="F209" s="185"/>
      <c r="G209" s="186">
        <f t="shared" si="14"/>
        <v>0</v>
      </c>
      <c r="H209" s="186">
        <f t="shared" si="15"/>
        <v>0</v>
      </c>
      <c r="I209" s="186">
        <f t="shared" si="15"/>
        <v>0</v>
      </c>
      <c r="J209" s="233"/>
      <c r="K209" s="233"/>
      <c r="L209" s="233"/>
      <c r="M209" s="235"/>
      <c r="N209" s="236"/>
      <c r="O209" s="235"/>
      <c r="P209" s="236"/>
      <c r="Q209" s="236"/>
      <c r="R209" s="236"/>
      <c r="S209" s="237"/>
      <c r="T209" s="236"/>
      <c r="U209" s="233"/>
      <c r="V209" s="233"/>
      <c r="W209" s="233"/>
      <c r="X209" s="238"/>
    </row>
    <row r="210" spans="1:24" s="3" customFormat="1">
      <c r="A210" s="233"/>
      <c r="B210" s="66" t="s">
        <v>145</v>
      </c>
      <c r="C210" s="60" t="str">
        <f>IF(comparador5=0,"Do not fill this line",comparador5)</f>
        <v>Do not fill this line</v>
      </c>
      <c r="D210" s="185"/>
      <c r="E210" s="185"/>
      <c r="F210" s="185"/>
      <c r="G210" s="186">
        <f t="shared" si="14"/>
        <v>0</v>
      </c>
      <c r="H210" s="186">
        <f t="shared" si="15"/>
        <v>0</v>
      </c>
      <c r="I210" s="186">
        <f t="shared" si="15"/>
        <v>0</v>
      </c>
      <c r="J210" s="233"/>
      <c r="K210" s="233"/>
      <c r="L210" s="233"/>
      <c r="M210" s="235"/>
      <c r="N210" s="236"/>
      <c r="O210" s="235"/>
      <c r="P210" s="236"/>
      <c r="Q210" s="236"/>
      <c r="R210" s="236"/>
      <c r="S210" s="237"/>
      <c r="T210" s="236"/>
      <c r="U210" s="233"/>
      <c r="V210" s="233"/>
      <c r="W210" s="233"/>
      <c r="X210" s="238"/>
    </row>
    <row r="211" spans="1:24" s="3" customFormat="1">
      <c r="A211" s="233"/>
      <c r="B211" s="66" t="s">
        <v>146</v>
      </c>
      <c r="C211" s="60" t="str">
        <f>IF(comparador6=0,"Do not fill this line",comparador6)</f>
        <v>Do not fill this line</v>
      </c>
      <c r="D211" s="185"/>
      <c r="E211" s="185"/>
      <c r="F211" s="185"/>
      <c r="G211" s="186">
        <f t="shared" si="14"/>
        <v>0</v>
      </c>
      <c r="H211" s="186">
        <f t="shared" si="15"/>
        <v>0</v>
      </c>
      <c r="I211" s="186">
        <f t="shared" si="15"/>
        <v>0</v>
      </c>
      <c r="J211" s="233"/>
      <c r="K211" s="233"/>
      <c r="L211" s="233"/>
      <c r="M211" s="235"/>
      <c r="N211" s="236"/>
      <c r="O211" s="235"/>
      <c r="P211" s="236"/>
      <c r="Q211" s="236"/>
      <c r="R211" s="236"/>
      <c r="S211" s="237"/>
      <c r="T211" s="236"/>
      <c r="U211" s="233"/>
      <c r="V211" s="233"/>
      <c r="W211" s="233"/>
      <c r="X211" s="238"/>
    </row>
    <row r="212" spans="1:24" s="3" customFormat="1">
      <c r="A212" s="233"/>
      <c r="B212" s="66" t="s">
        <v>147</v>
      </c>
      <c r="C212" s="60" t="str">
        <f>IF(comparador7=0,"Do not fill this line",comparador7)</f>
        <v>Do not fill this line</v>
      </c>
      <c r="D212" s="185"/>
      <c r="E212" s="185"/>
      <c r="F212" s="185"/>
      <c r="G212" s="186">
        <f t="shared" si="14"/>
        <v>0</v>
      </c>
      <c r="H212" s="186">
        <f t="shared" si="15"/>
        <v>0</v>
      </c>
      <c r="I212" s="186">
        <f t="shared" si="15"/>
        <v>0</v>
      </c>
      <c r="J212" s="233"/>
      <c r="K212" s="233"/>
      <c r="L212" s="233"/>
      <c r="M212" s="235"/>
      <c r="N212" s="236"/>
      <c r="O212" s="235"/>
      <c r="P212" s="236"/>
      <c r="Q212" s="236"/>
      <c r="R212" s="236"/>
      <c r="S212" s="237"/>
      <c r="T212" s="236"/>
      <c r="U212" s="233"/>
      <c r="V212" s="233"/>
      <c r="W212" s="233"/>
      <c r="X212" s="238"/>
    </row>
    <row r="213" spans="1:24" s="3" customFormat="1">
      <c r="A213" s="233"/>
      <c r="B213" s="66" t="s">
        <v>148</v>
      </c>
      <c r="C213" s="60" t="str">
        <f>IF(comparador8=0,"Do not fill this line",comparador8)</f>
        <v>Do not fill this line</v>
      </c>
      <c r="D213" s="185"/>
      <c r="E213" s="185"/>
      <c r="F213" s="185"/>
      <c r="G213" s="186">
        <f t="shared" si="14"/>
        <v>0</v>
      </c>
      <c r="H213" s="186">
        <f t="shared" si="15"/>
        <v>0</v>
      </c>
      <c r="I213" s="186">
        <f t="shared" si="15"/>
        <v>0</v>
      </c>
      <c r="J213" s="233"/>
      <c r="K213" s="233"/>
      <c r="L213" s="233"/>
      <c r="M213" s="235"/>
      <c r="N213" s="236"/>
      <c r="O213" s="235"/>
      <c r="P213" s="236"/>
      <c r="Q213" s="236"/>
      <c r="R213" s="236"/>
      <c r="S213" s="237"/>
      <c r="T213" s="236"/>
      <c r="U213" s="233"/>
      <c r="V213" s="233"/>
      <c r="W213" s="233"/>
      <c r="X213" s="238"/>
    </row>
    <row r="214" spans="1:24" s="3" customFormat="1">
      <c r="A214" s="233"/>
      <c r="B214" s="66" t="s">
        <v>149</v>
      </c>
      <c r="C214" s="60" t="str">
        <f>IF(comparador9=0,"Do not fill this line",comparador9)</f>
        <v>Do not fill this line</v>
      </c>
      <c r="D214" s="185"/>
      <c r="E214" s="185"/>
      <c r="F214" s="185"/>
      <c r="G214" s="186">
        <f t="shared" si="14"/>
        <v>0</v>
      </c>
      <c r="H214" s="186">
        <f t="shared" si="15"/>
        <v>0</v>
      </c>
      <c r="I214" s="186">
        <f t="shared" si="15"/>
        <v>0</v>
      </c>
      <c r="J214" s="233"/>
      <c r="K214" s="233"/>
      <c r="L214" s="233"/>
      <c r="M214" s="235"/>
      <c r="N214" s="236"/>
      <c r="O214" s="235"/>
      <c r="P214" s="236"/>
      <c r="Q214" s="236"/>
      <c r="R214" s="236"/>
      <c r="S214" s="237"/>
      <c r="T214" s="236"/>
      <c r="U214" s="233"/>
      <c r="V214" s="233"/>
      <c r="W214" s="233"/>
      <c r="X214" s="238"/>
    </row>
    <row r="215" spans="1:24" s="3" customFormat="1">
      <c r="A215" s="233"/>
      <c r="B215" s="66" t="s">
        <v>150</v>
      </c>
      <c r="C215" s="60" t="str">
        <f>IF(comparador10=0,"Do not fill this line",comparador10)</f>
        <v>Do not fill this line</v>
      </c>
      <c r="D215" s="185"/>
      <c r="E215" s="185"/>
      <c r="F215" s="185"/>
      <c r="G215" s="186">
        <f t="shared" si="14"/>
        <v>0</v>
      </c>
      <c r="H215" s="186">
        <f t="shared" si="15"/>
        <v>0</v>
      </c>
      <c r="I215" s="186">
        <f t="shared" si="15"/>
        <v>0</v>
      </c>
      <c r="J215" s="233"/>
      <c r="K215" s="233"/>
      <c r="L215" s="233"/>
      <c r="M215" s="235"/>
      <c r="N215" s="236"/>
      <c r="O215" s="235"/>
      <c r="P215" s="236"/>
      <c r="Q215" s="236"/>
      <c r="R215" s="236"/>
      <c r="S215" s="237"/>
      <c r="T215" s="236"/>
      <c r="U215" s="233"/>
      <c r="V215" s="233"/>
      <c r="W215" s="233"/>
      <c r="X215" s="238"/>
    </row>
    <row r="216" spans="1:24" s="3" customFormat="1">
      <c r="A216" s="233"/>
      <c r="B216" s="163"/>
      <c r="C216" s="83"/>
      <c r="D216" s="234"/>
      <c r="E216" s="11"/>
      <c r="F216" s="233"/>
      <c r="G216" s="233"/>
      <c r="H216" s="233"/>
      <c r="I216" s="233"/>
      <c r="J216" s="233"/>
      <c r="K216" s="233"/>
      <c r="L216" s="233"/>
      <c r="M216" s="235"/>
      <c r="N216" s="236"/>
      <c r="O216" s="235"/>
      <c r="P216" s="236"/>
      <c r="Q216" s="236"/>
      <c r="R216" s="236"/>
      <c r="S216" s="237"/>
      <c r="T216" s="236"/>
      <c r="U216" s="233"/>
      <c r="V216" s="233"/>
      <c r="W216" s="233"/>
      <c r="X216" s="238"/>
    </row>
    <row r="217" spans="1:24" s="3" customFormat="1">
      <c r="A217" s="233"/>
      <c r="B217" s="187"/>
      <c r="C217" s="11"/>
      <c r="D217" s="234"/>
      <c r="E217" s="11"/>
      <c r="F217" s="233"/>
      <c r="G217" s="233"/>
      <c r="H217" s="233"/>
      <c r="I217" s="233"/>
      <c r="J217" s="233"/>
      <c r="K217" s="233"/>
      <c r="L217" s="233"/>
      <c r="M217" s="235"/>
      <c r="N217" s="236"/>
      <c r="O217" s="235"/>
      <c r="P217" s="236"/>
      <c r="Q217" s="236"/>
      <c r="R217" s="236"/>
      <c r="S217" s="237"/>
      <c r="T217" s="236"/>
      <c r="U217" s="233"/>
      <c r="V217" s="233"/>
      <c r="W217" s="233"/>
      <c r="X217" s="238"/>
    </row>
    <row r="228" spans="2:13">
      <c r="B228" s="7"/>
      <c r="C228" s="7"/>
      <c r="D228" s="7"/>
      <c r="E228" s="7"/>
      <c r="F228" s="7"/>
      <c r="G228" s="7"/>
      <c r="H228" s="7"/>
      <c r="I228" s="7"/>
      <c r="J228" s="7"/>
      <c r="K228" s="7"/>
      <c r="L228" s="142"/>
      <c r="M228" s="142"/>
    </row>
    <row r="229" spans="2:13">
      <c r="B229" s="65"/>
      <c r="C229" s="65"/>
      <c r="D229" s="65"/>
      <c r="E229" s="65"/>
      <c r="F229" s="65"/>
      <c r="G229" s="65"/>
      <c r="H229" s="65"/>
      <c r="I229" s="65"/>
      <c r="J229" s="65"/>
      <c r="K229" s="65"/>
      <c r="L229" s="65"/>
      <c r="M229" s="65"/>
    </row>
    <row r="230" spans="2:13">
      <c r="B230" s="406" t="s">
        <v>77</v>
      </c>
      <c r="C230" s="406"/>
      <c r="D230" s="406"/>
      <c r="E230" s="406"/>
      <c r="F230" s="406"/>
      <c r="G230" s="406"/>
      <c r="H230" s="406"/>
      <c r="I230" s="406"/>
      <c r="J230" s="406"/>
      <c r="K230" s="406"/>
      <c r="L230" s="406"/>
      <c r="M230" s="406"/>
    </row>
    <row r="231" spans="2:13">
      <c r="B231" s="406"/>
      <c r="C231" s="406"/>
      <c r="D231" s="406"/>
      <c r="E231" s="406"/>
      <c r="F231" s="406"/>
      <c r="G231" s="406"/>
      <c r="H231" s="406"/>
      <c r="I231" s="406"/>
      <c r="J231" s="406"/>
      <c r="K231" s="406"/>
      <c r="L231" s="406"/>
      <c r="M231" s="406"/>
    </row>
    <row r="232" spans="2:13" s="3" customFormat="1" ht="85.95" customHeight="1">
      <c r="B232" s="405" t="e" vm="1">
        <v>#VALUE!</v>
      </c>
      <c r="C232" s="405"/>
      <c r="D232" s="405"/>
      <c r="E232" s="405"/>
      <c r="F232" s="405"/>
      <c r="G232" s="405"/>
      <c r="H232" s="405"/>
      <c r="I232" s="405"/>
      <c r="J232" s="405"/>
      <c r="K232" s="405"/>
      <c r="L232" s="405"/>
      <c r="M232" s="405"/>
    </row>
  </sheetData>
  <sheetProtection algorithmName="SHA-512" hashValue="YMD1BZL3/G0UOIkTlnysnG3d1LS8eVuydjjKCvPlkV7P4cSTrvJfUPRNuCz/w6TPtP3hFsyJju8t0CX7exOsIg==" saltValue="sNfFz4OotFykXId28xtgeA==" spinCount="100000" sheet="1" formatCells="0" formatColumns="0" formatRows="0"/>
  <mergeCells count="229">
    <mergeCell ref="G200:I200"/>
    <mergeCell ref="B152:C152"/>
    <mergeCell ref="D152:E152"/>
    <mergeCell ref="B153:C153"/>
    <mergeCell ref="D153:E153"/>
    <mergeCell ref="B154:C154"/>
    <mergeCell ref="D154:E154"/>
    <mergeCell ref="B155:C155"/>
    <mergeCell ref="D155:E155"/>
    <mergeCell ref="B156:C156"/>
    <mergeCell ref="D156:E156"/>
    <mergeCell ref="B164:C164"/>
    <mergeCell ref="D164:E164"/>
    <mergeCell ref="B165:C165"/>
    <mergeCell ref="D165:E165"/>
    <mergeCell ref="B166:C166"/>
    <mergeCell ref="D166:E166"/>
    <mergeCell ref="B170:C170"/>
    <mergeCell ref="D170:E170"/>
    <mergeCell ref="B171:C171"/>
    <mergeCell ref="D171:E171"/>
    <mergeCell ref="B172:C172"/>
    <mergeCell ref="D172:E172"/>
    <mergeCell ref="B157:C157"/>
    <mergeCell ref="D30:F30"/>
    <mergeCell ref="G30:I30"/>
    <mergeCell ref="B149:C149"/>
    <mergeCell ref="D149:E149"/>
    <mergeCell ref="B150:C150"/>
    <mergeCell ref="D150:E150"/>
    <mergeCell ref="B151:C151"/>
    <mergeCell ref="D151:E151"/>
    <mergeCell ref="B82:C82"/>
    <mergeCell ref="D82:E82"/>
    <mergeCell ref="B83:C83"/>
    <mergeCell ref="D83:E83"/>
    <mergeCell ref="B84:C84"/>
    <mergeCell ref="D84:E84"/>
    <mergeCell ref="D75:E75"/>
    <mergeCell ref="D76:E76"/>
    <mergeCell ref="B75:C75"/>
    <mergeCell ref="B76:C76"/>
    <mergeCell ref="B77:C77"/>
    <mergeCell ref="D77:E77"/>
    <mergeCell ref="B78:C78"/>
    <mergeCell ref="D78:E78"/>
    <mergeCell ref="B79:C79"/>
    <mergeCell ref="D79:E79"/>
    <mergeCell ref="B105:C105"/>
    <mergeCell ref="D105:E105"/>
    <mergeCell ref="B94:C94"/>
    <mergeCell ref="D94:E94"/>
    <mergeCell ref="B95:C95"/>
    <mergeCell ref="D95:E95"/>
    <mergeCell ref="B96:C96"/>
    <mergeCell ref="D96:E96"/>
    <mergeCell ref="B97:C97"/>
    <mergeCell ref="D97:E97"/>
    <mergeCell ref="B98:C98"/>
    <mergeCell ref="D98:E98"/>
    <mergeCell ref="B102:C102"/>
    <mergeCell ref="D102:E102"/>
    <mergeCell ref="B103:C103"/>
    <mergeCell ref="D103:E103"/>
    <mergeCell ref="B104:C104"/>
    <mergeCell ref="D104:E104"/>
    <mergeCell ref="B99:C99"/>
    <mergeCell ref="D99:E99"/>
    <mergeCell ref="B114:C114"/>
    <mergeCell ref="D114:E114"/>
    <mergeCell ref="B115:C115"/>
    <mergeCell ref="D115:E115"/>
    <mergeCell ref="B116:C116"/>
    <mergeCell ref="D116:E116"/>
    <mergeCell ref="B112:C112"/>
    <mergeCell ref="D112:E112"/>
    <mergeCell ref="B113:C113"/>
    <mergeCell ref="D113:E113"/>
    <mergeCell ref="D120:E120"/>
    <mergeCell ref="B121:C121"/>
    <mergeCell ref="D121:E121"/>
    <mergeCell ref="B122:C122"/>
    <mergeCell ref="D122:E122"/>
    <mergeCell ref="B117:C117"/>
    <mergeCell ref="D117:E117"/>
    <mergeCell ref="B118:C118"/>
    <mergeCell ref="D118:E118"/>
    <mergeCell ref="B119:C119"/>
    <mergeCell ref="D119:E119"/>
    <mergeCell ref="D157:E157"/>
    <mergeCell ref="B158:C158"/>
    <mergeCell ref="D158:E158"/>
    <mergeCell ref="B159:C159"/>
    <mergeCell ref="D159:E159"/>
    <mergeCell ref="D200:F200"/>
    <mergeCell ref="B167:C167"/>
    <mergeCell ref="D167:E167"/>
    <mergeCell ref="B168:C168"/>
    <mergeCell ref="D168:E168"/>
    <mergeCell ref="B169:C169"/>
    <mergeCell ref="D169:E169"/>
    <mergeCell ref="B180:C180"/>
    <mergeCell ref="D180:E180"/>
    <mergeCell ref="B181:C181"/>
    <mergeCell ref="D181:E181"/>
    <mergeCell ref="B173:C173"/>
    <mergeCell ref="B179:C179"/>
    <mergeCell ref="D179:E179"/>
    <mergeCell ref="B142:C142"/>
    <mergeCell ref="D142:E142"/>
    <mergeCell ref="B139:C139"/>
    <mergeCell ref="D139:E139"/>
    <mergeCell ref="B140:C140"/>
    <mergeCell ref="D140:E140"/>
    <mergeCell ref="B130:C130"/>
    <mergeCell ref="D130:E130"/>
    <mergeCell ref="B131:C131"/>
    <mergeCell ref="D131:E131"/>
    <mergeCell ref="B138:C138"/>
    <mergeCell ref="D138:E138"/>
    <mergeCell ref="B141:C141"/>
    <mergeCell ref="D141:E141"/>
    <mergeCell ref="B135:C135"/>
    <mergeCell ref="D135:E135"/>
    <mergeCell ref="D67:E67"/>
    <mergeCell ref="D68:E68"/>
    <mergeCell ref="B65:C65"/>
    <mergeCell ref="B132:C132"/>
    <mergeCell ref="D132:E132"/>
    <mergeCell ref="B133:C133"/>
    <mergeCell ref="D133:E133"/>
    <mergeCell ref="B134:C134"/>
    <mergeCell ref="D134:E134"/>
    <mergeCell ref="B129:C129"/>
    <mergeCell ref="D129:E129"/>
    <mergeCell ref="B126:C126"/>
    <mergeCell ref="D126:E126"/>
    <mergeCell ref="B127:C127"/>
    <mergeCell ref="D127:E127"/>
    <mergeCell ref="B128:C128"/>
    <mergeCell ref="D128:E128"/>
    <mergeCell ref="B123:C123"/>
    <mergeCell ref="D123:E123"/>
    <mergeCell ref="B124:C124"/>
    <mergeCell ref="D124:E124"/>
    <mergeCell ref="B125:C125"/>
    <mergeCell ref="D125:E125"/>
    <mergeCell ref="B120:C120"/>
    <mergeCell ref="B66:C66"/>
    <mergeCell ref="B67:C67"/>
    <mergeCell ref="B68:C68"/>
    <mergeCell ref="B136:C136"/>
    <mergeCell ref="D136:E136"/>
    <mergeCell ref="B137:C137"/>
    <mergeCell ref="D137:E137"/>
    <mergeCell ref="B55:C55"/>
    <mergeCell ref="B56:C56"/>
    <mergeCell ref="B58:C58"/>
    <mergeCell ref="B59:C59"/>
    <mergeCell ref="B60:C60"/>
    <mergeCell ref="B61:C61"/>
    <mergeCell ref="B62:C62"/>
    <mergeCell ref="D63:E63"/>
    <mergeCell ref="D64:E64"/>
    <mergeCell ref="B63:C63"/>
    <mergeCell ref="B64:C64"/>
    <mergeCell ref="B100:C100"/>
    <mergeCell ref="D100:E100"/>
    <mergeCell ref="B101:C101"/>
    <mergeCell ref="D101:E101"/>
    <mergeCell ref="D65:E65"/>
    <mergeCell ref="D66:E66"/>
    <mergeCell ref="B54:C54"/>
    <mergeCell ref="D54:E54"/>
    <mergeCell ref="D55:E55"/>
    <mergeCell ref="D56:E56"/>
    <mergeCell ref="D58:E58"/>
    <mergeCell ref="D59:E59"/>
    <mergeCell ref="D60:E60"/>
    <mergeCell ref="D61:E61"/>
    <mergeCell ref="D62:E62"/>
    <mergeCell ref="B57:C57"/>
    <mergeCell ref="D57:E57"/>
    <mergeCell ref="B91:C91"/>
    <mergeCell ref="D91:E91"/>
    <mergeCell ref="B92:C92"/>
    <mergeCell ref="D92:E92"/>
    <mergeCell ref="B93:C93"/>
    <mergeCell ref="D93:E93"/>
    <mergeCell ref="B80:C80"/>
    <mergeCell ref="D80:E80"/>
    <mergeCell ref="B81:C81"/>
    <mergeCell ref="D81:E81"/>
    <mergeCell ref="B88:C88"/>
    <mergeCell ref="D88:E88"/>
    <mergeCell ref="B89:C89"/>
    <mergeCell ref="D89:E89"/>
    <mergeCell ref="B90:C90"/>
    <mergeCell ref="D90:E90"/>
    <mergeCell ref="B85:C85"/>
    <mergeCell ref="D85:E85"/>
    <mergeCell ref="B86:C86"/>
    <mergeCell ref="D86:E86"/>
    <mergeCell ref="B87:C87"/>
    <mergeCell ref="D87:E87"/>
    <mergeCell ref="B230:M231"/>
    <mergeCell ref="B232:M232"/>
    <mergeCell ref="J30:J31"/>
    <mergeCell ref="B30:C31"/>
    <mergeCell ref="B200:C201"/>
    <mergeCell ref="B182:C182"/>
    <mergeCell ref="D182:E182"/>
    <mergeCell ref="B188:C188"/>
    <mergeCell ref="D188:E188"/>
    <mergeCell ref="B189:C189"/>
    <mergeCell ref="D189:E189"/>
    <mergeCell ref="B183:C183"/>
    <mergeCell ref="D183:E183"/>
    <mergeCell ref="B184:C184"/>
    <mergeCell ref="D184:E184"/>
    <mergeCell ref="B185:C185"/>
    <mergeCell ref="D185:E185"/>
    <mergeCell ref="B186:C186"/>
    <mergeCell ref="D186:E186"/>
    <mergeCell ref="B187:C187"/>
    <mergeCell ref="D187:E187"/>
    <mergeCell ref="D173:E173"/>
    <mergeCell ref="B174:C174"/>
    <mergeCell ref="D174:E174"/>
  </mergeCells>
  <phoneticPr fontId="2" type="noConversion"/>
  <conditionalFormatting sqref="D202:F215">
    <cfRule type="expression" dxfId="41" priority="3">
      <formula>$C202="Do not fill this line"</formula>
    </cfRule>
  </conditionalFormatting>
  <conditionalFormatting sqref="D203:F203">
    <cfRule type="expression" dxfId="40" priority="2" stopIfTrue="1">
      <formula>$B203="Do not fill this line"</formula>
    </cfRule>
  </conditionalFormatting>
  <conditionalFormatting sqref="D204:F204">
    <cfRule type="expression" dxfId="39" priority="1" stopIfTrue="1">
      <formula>$B204="Do not fill this line"</formula>
    </cfRule>
  </conditionalFormatting>
  <dataValidations count="1">
    <dataValidation type="list" allowBlank="1" showInputMessage="1" showErrorMessage="1" sqref="D198" xr:uid="{5325D9D5-22F4-48A4-BF54-82E62C1FF21B}">
      <formula1>"Yes,No"</formula1>
    </dataValidation>
  </dataValidations>
  <pageMargins left="0.511811024" right="0.511811024" top="0.78740157499999996" bottom="0.78740157499999996" header="0.31496062000000002" footer="0.31496062000000002"/>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D0F04ED-0066-4E66-BB7C-0D6FEB812679}">
          <x14:formula1>
            <xm:f>Definitions!$S$5:$S$18</xm:f>
          </x14:formula1>
          <xm:sqref>B113:C142 B55:C68 B76:C105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5DF4A-A31F-4978-A6AF-C6E1EDFF46FF}">
  <sheetPr codeName="Planilha8">
    <tabColor rgb="FFDDCFAD"/>
  </sheetPr>
  <dimension ref="A1:AQ141"/>
  <sheetViews>
    <sheetView showGridLines="0" showRowColHeaders="0" topLeftCell="A8" zoomScaleNormal="100" workbookViewId="0">
      <selection activeCell="D19" sqref="D19"/>
    </sheetView>
  </sheetViews>
  <sheetFormatPr defaultColWidth="8.77734375" defaultRowHeight="14.4"/>
  <cols>
    <col min="1" max="1" width="4.33203125" style="3" customWidth="1"/>
    <col min="2" max="2" width="4" style="3" customWidth="1"/>
    <col min="3" max="3" width="39.44140625" style="3" customWidth="1"/>
    <col min="4" max="8" width="9.77734375" style="3" customWidth="1"/>
    <col min="9" max="9" width="19.109375" style="3" customWidth="1"/>
    <col min="10" max="10" width="11" style="172" customWidth="1"/>
    <col min="11" max="11" width="11.33203125" style="3" customWidth="1"/>
    <col min="12" max="12" width="11.44140625" style="3" customWidth="1"/>
    <col min="13" max="13" width="11.77734375" style="4" customWidth="1"/>
    <col min="14" max="14" width="6.33203125" style="4" customWidth="1"/>
    <col min="15" max="16" width="6.33203125" style="3" customWidth="1"/>
    <col min="17" max="17" width="27" style="305" customWidth="1"/>
    <col min="18" max="21" width="10.33203125" style="305" customWidth="1"/>
    <col min="22" max="22" width="2.6640625" style="305" customWidth="1"/>
    <col min="23" max="23" width="2.6640625" style="3" customWidth="1"/>
    <col min="24" max="24" width="25.77734375" style="305" customWidth="1"/>
    <col min="25" max="28" width="10.33203125" style="305" customWidth="1"/>
    <col min="29" max="29" width="2.6640625" style="305" customWidth="1"/>
    <col min="30" max="30" width="2.6640625" style="3" customWidth="1"/>
    <col min="31" max="31" width="25.77734375" style="305" customWidth="1"/>
    <col min="32" max="35" width="10.33203125" style="3" customWidth="1"/>
    <col min="36" max="37" width="2.6640625" style="3" customWidth="1"/>
    <col min="38" max="38" width="25.77734375" style="3" customWidth="1"/>
    <col min="39" max="39" width="11.44140625" style="3" customWidth="1"/>
    <col min="40" max="40" width="11.109375" style="3" customWidth="1"/>
    <col min="41" max="41" width="12" style="3" customWidth="1"/>
    <col min="42" max="42" width="11.44140625" style="3" customWidth="1"/>
    <col min="43" max="43" width="12.44140625" style="3" customWidth="1"/>
    <col min="44" max="16384" width="8.77734375" style="3"/>
  </cols>
  <sheetData>
    <row r="1" spans="1:31" s="130" customFormat="1" ht="33.6">
      <c r="A1" s="127"/>
      <c r="B1" s="128" t="str">
        <f>Introduction!$B$1</f>
        <v>Budget impact analysis of Intrauterine device levonorgestrel for treatment of Leiomioma presenting with heavy bleeding</v>
      </c>
      <c r="C1" s="128"/>
      <c r="D1" s="129"/>
      <c r="E1" s="127"/>
      <c r="F1" s="127"/>
      <c r="G1" s="127"/>
      <c r="H1" s="127"/>
      <c r="I1" s="127"/>
      <c r="J1" s="127"/>
      <c r="K1" s="127"/>
      <c r="L1" s="127"/>
      <c r="M1" s="217"/>
      <c r="N1" s="217"/>
      <c r="O1" s="127"/>
      <c r="P1" s="127"/>
      <c r="Q1" s="129"/>
      <c r="R1" s="129"/>
      <c r="S1" s="129"/>
      <c r="T1" s="129"/>
      <c r="U1" s="129"/>
      <c r="V1" s="129"/>
      <c r="W1" s="127"/>
      <c r="X1" s="129"/>
      <c r="Y1" s="129"/>
      <c r="Z1" s="129"/>
      <c r="AA1" s="129"/>
      <c r="AB1" s="129"/>
      <c r="AC1" s="129"/>
      <c r="AD1" s="127"/>
      <c r="AE1" s="129"/>
    </row>
    <row r="2" spans="1:31" s="130" customFormat="1" ht="18">
      <c r="A2" s="127"/>
      <c r="B2" s="131"/>
      <c r="C2" s="131"/>
      <c r="D2" s="132"/>
      <c r="E2" s="133"/>
      <c r="F2" s="133"/>
      <c r="G2" s="133"/>
      <c r="H2" s="133"/>
      <c r="I2" s="133"/>
      <c r="J2" s="133"/>
      <c r="K2" s="133"/>
      <c r="L2" s="133"/>
      <c r="M2" s="217"/>
      <c r="N2" s="217"/>
      <c r="O2" s="127"/>
      <c r="P2" s="127"/>
      <c r="Q2" s="129"/>
      <c r="R2" s="129"/>
      <c r="S2" s="129"/>
      <c r="T2" s="129"/>
      <c r="U2" s="129"/>
      <c r="V2" s="129"/>
      <c r="W2" s="127"/>
      <c r="X2" s="129"/>
      <c r="Y2" s="129"/>
      <c r="Z2" s="129"/>
      <c r="AA2" s="129"/>
      <c r="AB2" s="129"/>
      <c r="AC2" s="129"/>
      <c r="AD2" s="127"/>
      <c r="AE2" s="129"/>
    </row>
    <row r="3" spans="1:31" s="134" customFormat="1" ht="4.2">
      <c r="D3" s="135"/>
      <c r="M3" s="218"/>
      <c r="N3" s="218"/>
      <c r="Q3" s="135"/>
      <c r="R3" s="135"/>
      <c r="S3" s="135"/>
      <c r="T3" s="135"/>
      <c r="U3" s="135"/>
      <c r="V3" s="135"/>
      <c r="X3" s="135"/>
      <c r="Y3" s="135"/>
      <c r="Z3" s="135"/>
      <c r="AA3" s="135"/>
      <c r="AB3" s="135"/>
      <c r="AC3" s="135"/>
      <c r="AE3" s="135"/>
    </row>
    <row r="4" spans="1:31">
      <c r="A4" s="9"/>
      <c r="B4" s="9"/>
      <c r="C4" s="9"/>
      <c r="D4" s="9"/>
      <c r="E4" s="9"/>
      <c r="F4" s="9"/>
      <c r="G4" s="9"/>
      <c r="H4" s="9"/>
      <c r="I4" s="9"/>
      <c r="J4" s="9"/>
      <c r="K4" s="9"/>
      <c r="L4" s="9"/>
      <c r="O4" s="9"/>
      <c r="P4" s="9"/>
      <c r="Q4" s="11"/>
      <c r="R4" s="11"/>
      <c r="S4" s="11"/>
      <c r="T4" s="11"/>
      <c r="U4" s="11"/>
      <c r="V4" s="11"/>
      <c r="W4" s="9"/>
      <c r="X4" s="11"/>
      <c r="Y4" s="11"/>
      <c r="Z4" s="11"/>
      <c r="AA4" s="11"/>
      <c r="AB4" s="11"/>
      <c r="AC4" s="11"/>
      <c r="AD4" s="9"/>
      <c r="AE4" s="11"/>
    </row>
    <row r="5" spans="1:31" s="137" customFormat="1" ht="18">
      <c r="A5" s="136"/>
      <c r="C5" s="140" t="s">
        <v>198</v>
      </c>
      <c r="D5" s="138"/>
      <c r="F5" s="43"/>
      <c r="M5" s="187"/>
      <c r="N5" s="187"/>
      <c r="Q5" s="138"/>
      <c r="R5" s="138"/>
      <c r="S5" s="138"/>
      <c r="T5" s="138"/>
      <c r="U5" s="138"/>
      <c r="V5" s="138"/>
      <c r="X5" s="138"/>
      <c r="Y5" s="138"/>
      <c r="Z5" s="138"/>
      <c r="AA5" s="138"/>
      <c r="AB5" s="138"/>
      <c r="AC5" s="138"/>
      <c r="AE5" s="138"/>
    </row>
    <row r="6" spans="1:31" customFormat="1">
      <c r="C6" s="136" t="s">
        <v>199</v>
      </c>
      <c r="M6" s="283"/>
      <c r="N6" s="283"/>
      <c r="Q6" s="284"/>
      <c r="R6" s="284"/>
      <c r="S6" s="284"/>
      <c r="T6" s="284"/>
      <c r="U6" s="284"/>
      <c r="V6" s="284"/>
      <c r="X6" s="284"/>
      <c r="Y6" s="284"/>
      <c r="Z6" s="284"/>
      <c r="AA6" s="284"/>
      <c r="AB6" s="284"/>
      <c r="AC6" s="284"/>
      <c r="AE6" s="284"/>
    </row>
    <row r="7" spans="1:31" customFormat="1">
      <c r="C7" s="136" t="s">
        <v>200</v>
      </c>
      <c r="M7" s="283"/>
      <c r="N7" s="283"/>
      <c r="Q7" s="284"/>
      <c r="R7" s="284"/>
      <c r="S7" s="284"/>
      <c r="T7" s="284"/>
      <c r="U7" s="284"/>
      <c r="V7" s="284"/>
      <c r="X7" s="284"/>
      <c r="Y7" s="284"/>
      <c r="Z7" s="284"/>
      <c r="AA7" s="284"/>
      <c r="AB7" s="284"/>
      <c r="AC7" s="284"/>
      <c r="AE7" s="284"/>
    </row>
    <row r="8" spans="1:31">
      <c r="A8" s="9"/>
      <c r="B8" s="9"/>
      <c r="C8" s="136" t="s">
        <v>201</v>
      </c>
      <c r="D8" s="9"/>
      <c r="E8" s="11"/>
      <c r="F8" s="9"/>
      <c r="G8" s="9"/>
      <c r="H8" s="9"/>
      <c r="I8" s="9"/>
      <c r="K8" s="9"/>
      <c r="L8" s="9"/>
      <c r="O8" s="9"/>
      <c r="P8" s="9"/>
      <c r="Q8" s="11"/>
      <c r="R8" s="11"/>
      <c r="S8" s="11"/>
      <c r="T8" s="11"/>
      <c r="U8" s="11"/>
      <c r="V8" s="11"/>
      <c r="W8" s="9"/>
      <c r="X8" s="11"/>
      <c r="Y8" s="11"/>
      <c r="Z8" s="11"/>
      <c r="AA8" s="11"/>
      <c r="AB8" s="11"/>
      <c r="AC8" s="11"/>
      <c r="AD8" s="9"/>
      <c r="AE8" s="11"/>
    </row>
    <row r="9" spans="1:31">
      <c r="A9" s="9"/>
      <c r="B9" s="9"/>
      <c r="C9" s="4"/>
      <c r="D9" s="9"/>
      <c r="E9" s="11"/>
      <c r="F9" s="9"/>
      <c r="G9" s="9"/>
      <c r="H9" s="9"/>
      <c r="I9" s="9"/>
      <c r="K9" s="9"/>
      <c r="L9" s="9"/>
      <c r="O9" s="9"/>
      <c r="P9" s="9"/>
      <c r="Q9" s="11"/>
      <c r="R9" s="11"/>
      <c r="S9" s="11"/>
      <c r="T9" s="11"/>
      <c r="U9" s="11"/>
      <c r="V9" s="11"/>
      <c r="W9" s="9"/>
      <c r="X9" s="11"/>
      <c r="Y9" s="11"/>
      <c r="Z9" s="11"/>
      <c r="AA9" s="11"/>
      <c r="AB9" s="11"/>
      <c r="AC9" s="11"/>
      <c r="AD9" s="9"/>
      <c r="AE9" s="11"/>
    </row>
    <row r="10" spans="1:31">
      <c r="A10" s="9"/>
      <c r="B10" s="9"/>
      <c r="C10" s="448" t="s">
        <v>202</v>
      </c>
      <c r="D10" s="448"/>
      <c r="E10" s="448"/>
      <c r="F10" s="448"/>
      <c r="G10" s="448"/>
      <c r="H10" s="448"/>
      <c r="I10" s="9"/>
      <c r="K10" s="9"/>
      <c r="L10" s="9"/>
      <c r="O10" s="9"/>
      <c r="P10" s="9"/>
      <c r="Q10" s="11"/>
      <c r="R10" s="11"/>
      <c r="S10" s="11"/>
      <c r="T10" s="11"/>
      <c r="U10" s="11"/>
      <c r="V10" s="11"/>
      <c r="W10" s="9"/>
      <c r="X10" s="11"/>
      <c r="Y10" s="11"/>
      <c r="Z10" s="11"/>
      <c r="AA10" s="11"/>
      <c r="AB10" s="11"/>
      <c r="AC10" s="11"/>
      <c r="AD10" s="9"/>
      <c r="AE10" s="11"/>
    </row>
    <row r="11" spans="1:31">
      <c r="A11" s="9"/>
      <c r="B11" s="9"/>
      <c r="C11" s="285" t="str">
        <f>IF(D12=0,"Informe a resposta para cada ano"," ")</f>
        <v xml:space="preserve"> </v>
      </c>
      <c r="D11" s="189" t="s">
        <v>193</v>
      </c>
      <c r="E11" s="189" t="s">
        <v>194</v>
      </c>
      <c r="F11" s="189" t="s">
        <v>195</v>
      </c>
      <c r="G11" s="189" t="s">
        <v>197</v>
      </c>
      <c r="H11" s="189" t="s">
        <v>196</v>
      </c>
      <c r="I11" s="9"/>
      <c r="K11" s="9"/>
      <c r="L11" s="9"/>
      <c r="O11" s="9"/>
      <c r="P11" s="9"/>
      <c r="Q11" s="11"/>
      <c r="R11" s="11"/>
      <c r="S11" s="11"/>
      <c r="T11" s="11"/>
      <c r="U11" s="11"/>
      <c r="V11" s="11"/>
      <c r="W11" s="9"/>
      <c r="X11" s="11"/>
      <c r="Y11" s="11"/>
      <c r="Z11" s="11"/>
      <c r="AA11" s="11"/>
      <c r="AB11" s="11"/>
      <c r="AC11" s="11"/>
      <c r="AD11" s="9"/>
      <c r="AE11" s="11"/>
    </row>
    <row r="12" spans="1:31">
      <c r="A12" s="9"/>
      <c r="B12" s="9"/>
      <c r="C12" s="10" t="str">
        <f>IF(intervencao1=0,"Do not fill this line",intervencao1)</f>
        <v>Intrauterine device levonorgestrel</v>
      </c>
      <c r="D12" s="212">
        <v>1</v>
      </c>
      <c r="E12" s="212">
        <v>0</v>
      </c>
      <c r="F12" s="212">
        <v>0</v>
      </c>
      <c r="G12" s="212">
        <v>0</v>
      </c>
      <c r="H12" s="212">
        <v>0</v>
      </c>
      <c r="I12" s="286" t="s">
        <v>204</v>
      </c>
      <c r="K12" s="9"/>
      <c r="L12" s="9"/>
      <c r="O12" s="9"/>
      <c r="P12" s="9"/>
      <c r="Q12" s="11"/>
      <c r="R12" s="11"/>
      <c r="S12" s="11"/>
      <c r="T12" s="11"/>
      <c r="U12" s="11"/>
      <c r="V12" s="11"/>
      <c r="W12" s="9"/>
      <c r="X12" s="11"/>
      <c r="Y12" s="11"/>
      <c r="Z12" s="11"/>
      <c r="AA12" s="11"/>
      <c r="AB12" s="11"/>
      <c r="AC12" s="11"/>
      <c r="AD12" s="9"/>
      <c r="AE12" s="11"/>
    </row>
    <row r="13" spans="1:31">
      <c r="A13" s="9"/>
      <c r="B13" s="9"/>
      <c r="C13" s="10" t="str">
        <f>IF(intervencao2=0,"Do not fill this line",intervencao2)</f>
        <v>Do not fill this line</v>
      </c>
      <c r="D13" s="212"/>
      <c r="E13" s="212"/>
      <c r="F13" s="212"/>
      <c r="G13" s="212"/>
      <c r="H13" s="212"/>
      <c r="I13" s="286" t="s">
        <v>204</v>
      </c>
      <c r="K13" s="9"/>
      <c r="L13" s="9"/>
      <c r="O13" s="9"/>
      <c r="P13" s="9"/>
      <c r="Q13" s="11"/>
      <c r="R13" s="11"/>
      <c r="S13" s="11"/>
      <c r="T13" s="11"/>
      <c r="U13" s="11"/>
      <c r="V13" s="11"/>
      <c r="W13" s="9"/>
      <c r="X13" s="11"/>
      <c r="Y13" s="11"/>
      <c r="Z13" s="11"/>
      <c r="AA13" s="11"/>
      <c r="AB13" s="11"/>
      <c r="AC13" s="11"/>
      <c r="AD13" s="9"/>
      <c r="AE13" s="11"/>
    </row>
    <row r="14" spans="1:31">
      <c r="A14" s="9"/>
      <c r="B14" s="9"/>
      <c r="C14" s="10" t="str">
        <f>IF(intervencao3=0,"Do not fill this line",intervencao3)</f>
        <v>Do not fill this line</v>
      </c>
      <c r="D14" s="212"/>
      <c r="E14" s="212"/>
      <c r="F14" s="212"/>
      <c r="G14" s="212"/>
      <c r="H14" s="212"/>
      <c r="I14" s="286" t="s">
        <v>204</v>
      </c>
      <c r="K14" s="9"/>
      <c r="L14" s="9"/>
      <c r="O14" s="9"/>
      <c r="P14" s="9"/>
      <c r="Q14" s="11"/>
      <c r="R14" s="11"/>
      <c r="S14" s="11"/>
      <c r="T14" s="11"/>
      <c r="U14" s="11"/>
      <c r="V14" s="11"/>
      <c r="W14" s="9"/>
      <c r="X14" s="11"/>
      <c r="Y14" s="11"/>
      <c r="Z14" s="11"/>
      <c r="AA14" s="11"/>
      <c r="AB14" s="11"/>
      <c r="AC14" s="11"/>
      <c r="AD14" s="9"/>
      <c r="AE14" s="11"/>
    </row>
    <row r="15" spans="1:31">
      <c r="A15" s="9"/>
      <c r="B15" s="9"/>
      <c r="C15" s="10" t="str">
        <f>IF(intervencao4=0,"Do not fill this line",intervencao4)</f>
        <v>Do not fill this line</v>
      </c>
      <c r="D15" s="212"/>
      <c r="E15" s="212"/>
      <c r="F15" s="212"/>
      <c r="G15" s="212"/>
      <c r="H15" s="212"/>
      <c r="I15" s="286" t="s">
        <v>204</v>
      </c>
      <c r="K15" s="9"/>
      <c r="L15" s="9"/>
      <c r="O15" s="9"/>
      <c r="P15" s="9"/>
      <c r="Q15" s="11"/>
      <c r="R15" s="11"/>
      <c r="S15" s="11"/>
      <c r="T15" s="11"/>
      <c r="U15" s="11"/>
      <c r="V15" s="11"/>
      <c r="W15" s="9"/>
      <c r="X15" s="11"/>
      <c r="Y15" s="11"/>
      <c r="Z15" s="11"/>
      <c r="AA15" s="11"/>
      <c r="AB15" s="11"/>
      <c r="AC15" s="11"/>
      <c r="AD15" s="9"/>
      <c r="AE15" s="11"/>
    </row>
    <row r="16" spans="1:31">
      <c r="A16" s="9"/>
      <c r="B16" s="9"/>
      <c r="C16" s="10"/>
      <c r="D16" s="9"/>
      <c r="E16" s="11"/>
      <c r="F16" s="9"/>
      <c r="G16" s="9"/>
      <c r="H16" s="9"/>
      <c r="I16" s="9"/>
      <c r="K16" s="9"/>
      <c r="L16" s="9"/>
      <c r="O16" s="9"/>
      <c r="P16" s="9"/>
      <c r="Q16" s="11"/>
      <c r="R16" s="11"/>
      <c r="S16" s="11"/>
      <c r="T16" s="11"/>
      <c r="U16" s="11"/>
      <c r="V16" s="11"/>
      <c r="W16" s="9"/>
      <c r="X16" s="11"/>
      <c r="Y16" s="11"/>
      <c r="Z16" s="11"/>
      <c r="AA16" s="11"/>
      <c r="AB16" s="11"/>
      <c r="AC16" s="11"/>
      <c r="AD16" s="9"/>
      <c r="AE16" s="11"/>
    </row>
    <row r="17" spans="2:31">
      <c r="B17" s="9"/>
      <c r="C17" s="448" t="s">
        <v>203</v>
      </c>
      <c r="D17" s="448"/>
      <c r="E17" s="448"/>
      <c r="F17" s="448"/>
      <c r="G17" s="448"/>
      <c r="H17" s="448"/>
      <c r="I17" s="9"/>
      <c r="K17" s="9"/>
      <c r="L17" s="9"/>
      <c r="O17" s="9"/>
      <c r="P17" s="9"/>
      <c r="Q17" s="11"/>
      <c r="R17" s="11"/>
      <c r="S17" s="11"/>
      <c r="T17" s="11"/>
      <c r="U17" s="11"/>
      <c r="V17" s="11"/>
      <c r="W17" s="9"/>
      <c r="X17" s="11"/>
      <c r="Y17" s="11"/>
      <c r="Z17" s="11"/>
      <c r="AA17" s="11"/>
      <c r="AB17" s="11"/>
      <c r="AC17" s="11"/>
      <c r="AD17" s="9"/>
      <c r="AE17" s="11"/>
    </row>
    <row r="18" spans="2:31">
      <c r="B18" s="9"/>
      <c r="C18" s="285" t="str">
        <f>IF(D19=0,"Informe a resposta para cada ano"," ")</f>
        <v xml:space="preserve"> </v>
      </c>
      <c r="D18" s="189" t="s">
        <v>193</v>
      </c>
      <c r="E18" s="189" t="s">
        <v>194</v>
      </c>
      <c r="F18" s="189" t="s">
        <v>195</v>
      </c>
      <c r="G18" s="189" t="s">
        <v>197</v>
      </c>
      <c r="H18" s="189" t="s">
        <v>196</v>
      </c>
      <c r="I18" s="9"/>
      <c r="K18" s="9"/>
      <c r="L18" s="9"/>
      <c r="O18" s="9"/>
      <c r="P18" s="9"/>
      <c r="Q18" s="11"/>
      <c r="R18" s="11"/>
      <c r="S18" s="11"/>
      <c r="T18" s="11"/>
      <c r="U18" s="11"/>
      <c r="V18" s="11"/>
      <c r="W18" s="9"/>
      <c r="X18" s="11"/>
      <c r="Y18" s="11"/>
      <c r="Z18" s="11"/>
      <c r="AA18" s="11"/>
      <c r="AB18" s="11"/>
      <c r="AC18" s="11"/>
      <c r="AD18" s="9"/>
      <c r="AE18" s="11"/>
    </row>
    <row r="19" spans="2:31">
      <c r="B19" s="9"/>
      <c r="C19" s="10" t="str">
        <f>IF(comparador1=0,"Do not fill this line",comparador1)</f>
        <v>Oral contraceptive</v>
      </c>
      <c r="D19" s="212">
        <v>12</v>
      </c>
      <c r="E19" s="212">
        <v>12</v>
      </c>
      <c r="F19" s="212">
        <v>12</v>
      </c>
      <c r="G19" s="212">
        <v>12</v>
      </c>
      <c r="H19" s="212">
        <v>12</v>
      </c>
      <c r="I19" s="286" t="s">
        <v>204</v>
      </c>
      <c r="K19" s="9"/>
      <c r="L19" s="9"/>
      <c r="O19" s="9"/>
      <c r="P19" s="9"/>
      <c r="Q19" s="11"/>
      <c r="R19" s="11"/>
      <c r="S19" s="11"/>
      <c r="T19" s="11"/>
      <c r="U19" s="11"/>
      <c r="V19" s="11"/>
      <c r="W19" s="9"/>
      <c r="X19" s="11"/>
      <c r="Y19" s="11"/>
      <c r="Z19" s="11"/>
      <c r="AA19" s="11"/>
      <c r="AB19" s="11"/>
      <c r="AC19" s="11"/>
      <c r="AD19" s="9"/>
      <c r="AE19" s="11"/>
    </row>
    <row r="20" spans="2:31">
      <c r="B20" s="9"/>
      <c r="C20" s="10" t="str">
        <f>IF(comparador2=0,"Do not fill this line",comparador2)</f>
        <v>Do not fill this line</v>
      </c>
      <c r="D20" s="212"/>
      <c r="E20" s="212"/>
      <c r="F20" s="212"/>
      <c r="G20" s="212"/>
      <c r="H20" s="212"/>
      <c r="I20" s="286" t="s">
        <v>204</v>
      </c>
      <c r="K20" s="9"/>
      <c r="L20" s="9"/>
      <c r="O20" s="9"/>
      <c r="P20" s="9"/>
      <c r="Q20" s="11"/>
      <c r="R20" s="11"/>
      <c r="S20" s="11"/>
      <c r="T20" s="11"/>
      <c r="U20" s="11"/>
      <c r="V20" s="11"/>
      <c r="W20" s="9"/>
      <c r="X20" s="11"/>
      <c r="Y20" s="11"/>
      <c r="Z20" s="11"/>
      <c r="AA20" s="11"/>
      <c r="AB20" s="11"/>
      <c r="AC20" s="11"/>
      <c r="AD20" s="9"/>
      <c r="AE20" s="11"/>
    </row>
    <row r="21" spans="2:31">
      <c r="B21" s="9"/>
      <c r="C21" s="10" t="str">
        <f>IF(comparador3=0,"Do not fill this line",comparador3)</f>
        <v>Do not fill this line</v>
      </c>
      <c r="D21" s="212"/>
      <c r="E21" s="212"/>
      <c r="F21" s="212"/>
      <c r="G21" s="212"/>
      <c r="H21" s="212"/>
      <c r="I21" s="286" t="s">
        <v>204</v>
      </c>
      <c r="K21" s="9"/>
      <c r="L21" s="9"/>
      <c r="O21" s="9"/>
      <c r="P21" s="9"/>
      <c r="Q21" s="11"/>
      <c r="R21" s="11"/>
      <c r="S21" s="11"/>
      <c r="T21" s="11"/>
      <c r="U21" s="11"/>
      <c r="V21" s="11"/>
      <c r="W21" s="9"/>
      <c r="X21" s="11"/>
      <c r="Y21" s="11"/>
      <c r="Z21" s="11"/>
      <c r="AA21" s="11"/>
      <c r="AB21" s="11"/>
      <c r="AC21" s="11"/>
      <c r="AD21" s="9"/>
      <c r="AE21" s="11"/>
    </row>
    <row r="22" spans="2:31">
      <c r="B22" s="9"/>
      <c r="C22" s="10" t="str">
        <f>IF(comparador4=0,"Do not fill this line",comparador4)</f>
        <v>Do not fill this line</v>
      </c>
      <c r="D22" s="212"/>
      <c r="E22" s="212"/>
      <c r="F22" s="212"/>
      <c r="G22" s="212"/>
      <c r="H22" s="212"/>
      <c r="I22" s="286" t="s">
        <v>204</v>
      </c>
      <c r="K22" s="9"/>
      <c r="L22" s="9"/>
      <c r="O22" s="9"/>
      <c r="P22" s="9"/>
      <c r="Q22" s="11"/>
      <c r="R22" s="11"/>
      <c r="S22" s="11"/>
      <c r="T22" s="11"/>
      <c r="U22" s="11"/>
      <c r="V22" s="11"/>
      <c r="W22" s="9"/>
      <c r="X22" s="11"/>
      <c r="Y22" s="11"/>
      <c r="Z22" s="11"/>
      <c r="AA22" s="11"/>
      <c r="AB22" s="11"/>
      <c r="AC22" s="11"/>
      <c r="AD22" s="9"/>
      <c r="AE22" s="11"/>
    </row>
    <row r="23" spans="2:31">
      <c r="B23" s="9"/>
      <c r="C23" s="10" t="str">
        <f>IF(comparador5=0,"Do not fill this line",comparador5)</f>
        <v>Do not fill this line</v>
      </c>
      <c r="D23" s="212"/>
      <c r="E23" s="212"/>
      <c r="F23" s="212"/>
      <c r="G23" s="212"/>
      <c r="H23" s="212"/>
      <c r="I23" s="286" t="s">
        <v>204</v>
      </c>
      <c r="K23" s="9"/>
      <c r="L23" s="9"/>
      <c r="O23" s="9"/>
      <c r="P23" s="9"/>
      <c r="Q23" s="11"/>
      <c r="R23" s="11"/>
      <c r="S23" s="11"/>
      <c r="T23" s="11"/>
      <c r="U23" s="11"/>
      <c r="V23" s="11"/>
      <c r="W23" s="9"/>
      <c r="X23" s="11"/>
      <c r="Y23" s="11"/>
      <c r="Z23" s="11"/>
      <c r="AA23" s="11"/>
      <c r="AB23" s="11"/>
      <c r="AC23" s="11"/>
      <c r="AD23" s="9"/>
      <c r="AE23" s="11"/>
    </row>
    <row r="24" spans="2:31">
      <c r="B24" s="9"/>
      <c r="C24" s="10" t="str">
        <f>IF(comparador6=0,"Do not fill this line",comparador6)</f>
        <v>Do not fill this line</v>
      </c>
      <c r="D24" s="212"/>
      <c r="E24" s="212"/>
      <c r="F24" s="212"/>
      <c r="G24" s="212"/>
      <c r="H24" s="212"/>
      <c r="I24" s="286" t="s">
        <v>204</v>
      </c>
      <c r="K24" s="9"/>
      <c r="L24" s="9"/>
      <c r="O24" s="9"/>
      <c r="P24" s="9"/>
      <c r="Q24" s="11"/>
      <c r="R24" s="11"/>
      <c r="S24" s="11"/>
      <c r="T24" s="11"/>
      <c r="U24" s="11"/>
      <c r="V24" s="11"/>
      <c r="W24" s="9"/>
      <c r="X24" s="11"/>
      <c r="Y24" s="11"/>
      <c r="Z24" s="11"/>
      <c r="AA24" s="11"/>
      <c r="AB24" s="11"/>
      <c r="AC24" s="11"/>
      <c r="AD24" s="9"/>
      <c r="AE24" s="11"/>
    </row>
    <row r="25" spans="2:31">
      <c r="B25" s="9"/>
      <c r="C25" s="10" t="str">
        <f>IF(comparador7=0,"Do not fill this line",comparador7)</f>
        <v>Do not fill this line</v>
      </c>
      <c r="D25" s="212"/>
      <c r="E25" s="212"/>
      <c r="F25" s="212"/>
      <c r="G25" s="212"/>
      <c r="H25" s="212"/>
      <c r="I25" s="286" t="s">
        <v>204</v>
      </c>
      <c r="K25" s="9"/>
      <c r="L25" s="9"/>
      <c r="O25" s="9"/>
      <c r="P25" s="9"/>
      <c r="Q25" s="11"/>
      <c r="R25" s="11"/>
      <c r="S25" s="11"/>
      <c r="T25" s="11"/>
      <c r="U25" s="11"/>
      <c r="V25" s="11"/>
      <c r="W25" s="9"/>
      <c r="X25" s="11"/>
      <c r="Y25" s="11"/>
      <c r="Z25" s="11"/>
      <c r="AA25" s="11"/>
      <c r="AB25" s="11"/>
      <c r="AC25" s="11"/>
      <c r="AD25" s="9"/>
      <c r="AE25" s="11"/>
    </row>
    <row r="26" spans="2:31">
      <c r="B26" s="9"/>
      <c r="C26" s="10" t="str">
        <f>IF(comparador8=0,"Do not fill this line",comparador8)</f>
        <v>Do not fill this line</v>
      </c>
      <c r="D26" s="212"/>
      <c r="E26" s="212"/>
      <c r="F26" s="212"/>
      <c r="G26" s="212"/>
      <c r="H26" s="212"/>
      <c r="I26" s="286" t="s">
        <v>204</v>
      </c>
      <c r="K26" s="9"/>
      <c r="L26" s="9"/>
      <c r="O26" s="9"/>
      <c r="P26" s="9"/>
      <c r="Q26" s="11"/>
      <c r="R26" s="11"/>
      <c r="S26" s="11"/>
      <c r="T26" s="11"/>
      <c r="U26" s="11"/>
      <c r="V26" s="11"/>
      <c r="W26" s="9"/>
      <c r="X26" s="11"/>
      <c r="Y26" s="11"/>
      <c r="Z26" s="11"/>
      <c r="AA26" s="11"/>
      <c r="AB26" s="11"/>
      <c r="AC26" s="11"/>
      <c r="AD26" s="9"/>
      <c r="AE26" s="11"/>
    </row>
    <row r="27" spans="2:31">
      <c r="B27" s="9"/>
      <c r="C27" s="10" t="str">
        <f>IF(comparador9=0,"Do not fill this line",comparador9)</f>
        <v>Do not fill this line</v>
      </c>
      <c r="D27" s="212"/>
      <c r="E27" s="212"/>
      <c r="F27" s="212"/>
      <c r="G27" s="212"/>
      <c r="H27" s="212"/>
      <c r="I27" s="286" t="s">
        <v>204</v>
      </c>
      <c r="K27" s="9"/>
      <c r="L27" s="9"/>
      <c r="O27" s="9"/>
      <c r="P27" s="9"/>
      <c r="Q27" s="11"/>
      <c r="R27" s="11"/>
      <c r="S27" s="11"/>
      <c r="T27" s="11"/>
      <c r="U27" s="11"/>
      <c r="V27" s="11"/>
      <c r="W27" s="9"/>
      <c r="X27" s="11"/>
      <c r="Y27" s="11"/>
      <c r="Z27" s="11"/>
      <c r="AA27" s="11"/>
      <c r="AB27" s="11"/>
      <c r="AC27" s="11"/>
      <c r="AD27" s="9"/>
      <c r="AE27" s="11"/>
    </row>
    <row r="28" spans="2:31">
      <c r="B28" s="9"/>
      <c r="C28" s="10" t="str">
        <f>IF(comparador10=0,"Do not fill this line",comparador10)</f>
        <v>Do not fill this line</v>
      </c>
      <c r="D28" s="212"/>
      <c r="E28" s="212"/>
      <c r="F28" s="212"/>
      <c r="G28" s="212"/>
      <c r="H28" s="212"/>
      <c r="I28" s="286" t="s">
        <v>204</v>
      </c>
      <c r="K28" s="9"/>
      <c r="L28" s="9"/>
      <c r="O28" s="9"/>
      <c r="P28" s="9"/>
      <c r="Q28" s="11"/>
      <c r="R28" s="11"/>
      <c r="S28" s="11"/>
      <c r="T28" s="11"/>
      <c r="U28" s="11"/>
      <c r="V28" s="11"/>
      <c r="W28" s="9"/>
      <c r="X28" s="11"/>
      <c r="Y28" s="11"/>
      <c r="Z28" s="11"/>
      <c r="AA28" s="11"/>
      <c r="AB28" s="11"/>
      <c r="AC28" s="11"/>
      <c r="AD28" s="9"/>
      <c r="AE28" s="11"/>
    </row>
    <row r="29" spans="2:31">
      <c r="B29" s="9"/>
      <c r="C29" s="9"/>
      <c r="D29" s="9"/>
      <c r="E29" s="9"/>
      <c r="F29" s="9"/>
      <c r="G29" s="9"/>
      <c r="H29" s="9"/>
      <c r="I29" s="9"/>
      <c r="K29" s="9"/>
      <c r="L29" s="9"/>
      <c r="O29" s="9"/>
      <c r="P29" s="9"/>
      <c r="Q29" s="11"/>
      <c r="R29" s="11"/>
      <c r="S29" s="11"/>
      <c r="T29" s="11"/>
      <c r="U29" s="11"/>
      <c r="V29" s="11"/>
      <c r="W29" s="9"/>
      <c r="X29" s="11"/>
      <c r="Y29" s="11"/>
      <c r="Z29" s="11"/>
      <c r="AA29" s="11"/>
      <c r="AB29" s="11"/>
      <c r="AC29" s="11"/>
      <c r="AD29" s="9"/>
      <c r="AE29" s="11"/>
    </row>
    <row r="30" spans="2:31">
      <c r="B30" s="9"/>
      <c r="C30" s="9"/>
      <c r="D30" s="9"/>
      <c r="E30" s="9"/>
      <c r="F30" s="9"/>
      <c r="G30" s="9"/>
      <c r="H30" s="9"/>
      <c r="I30" s="9"/>
      <c r="K30" s="9"/>
      <c r="L30" s="9"/>
      <c r="O30" s="9"/>
      <c r="P30" s="9"/>
      <c r="Q30" s="11"/>
      <c r="R30" s="11"/>
      <c r="S30" s="11"/>
      <c r="T30" s="11"/>
      <c r="U30" s="11"/>
      <c r="V30" s="11"/>
      <c r="W30" s="9"/>
      <c r="X30" s="11"/>
      <c r="Y30" s="11"/>
      <c r="Z30" s="11"/>
      <c r="AA30" s="11"/>
      <c r="AB30" s="11"/>
      <c r="AC30" s="11"/>
      <c r="AD30" s="9"/>
      <c r="AE30" s="11"/>
    </row>
    <row r="31" spans="2:31" customFormat="1">
      <c r="C31" s="63"/>
      <c r="D31" s="7"/>
      <c r="E31" s="7"/>
      <c r="F31" s="7"/>
      <c r="G31" s="7"/>
      <c r="H31" s="7"/>
      <c r="I31" s="7"/>
      <c r="J31" s="7"/>
      <c r="K31" s="7"/>
      <c r="L31" s="7"/>
      <c r="M31" s="7"/>
      <c r="N31" s="7"/>
      <c r="O31" s="7"/>
      <c r="P31" s="7"/>
      <c r="Q31" s="287"/>
      <c r="R31" s="287"/>
      <c r="S31" s="287"/>
      <c r="T31" s="284"/>
      <c r="U31" s="284"/>
      <c r="V31" s="284"/>
      <c r="W31" s="7"/>
      <c r="X31" s="284"/>
      <c r="Y31" s="284"/>
      <c r="Z31" s="284"/>
      <c r="AA31" s="284"/>
      <c r="AB31" s="284"/>
      <c r="AC31" s="284"/>
      <c r="AE31" s="284"/>
    </row>
    <row r="32" spans="2:31" customFormat="1">
      <c r="C32" s="64"/>
      <c r="D32" s="65"/>
      <c r="E32" s="65"/>
      <c r="F32" s="65"/>
      <c r="G32" s="65"/>
      <c r="H32" s="65"/>
      <c r="I32" s="65"/>
      <c r="J32" s="65"/>
      <c r="K32" s="65"/>
      <c r="L32" s="65"/>
      <c r="M32" s="65"/>
      <c r="N32" s="65"/>
      <c r="O32" s="7"/>
      <c r="P32" s="7"/>
      <c r="Q32" s="287"/>
      <c r="R32" s="287"/>
      <c r="S32" s="287"/>
      <c r="T32" s="284"/>
      <c r="U32" s="284"/>
      <c r="V32" s="284"/>
      <c r="W32" s="7"/>
      <c r="X32" s="284"/>
      <c r="Y32" s="284"/>
      <c r="Z32" s="284"/>
      <c r="AA32" s="284"/>
      <c r="AB32" s="284"/>
      <c r="AC32" s="284"/>
      <c r="AE32" s="284"/>
    </row>
    <row r="33" spans="3:39" customFormat="1">
      <c r="C33" s="63"/>
      <c r="D33" s="7"/>
      <c r="E33" s="7"/>
      <c r="F33" s="7"/>
      <c r="G33" s="7"/>
      <c r="H33" s="7"/>
      <c r="I33" s="7"/>
      <c r="J33" s="7"/>
      <c r="K33" s="7"/>
      <c r="L33" s="7"/>
      <c r="M33" s="7"/>
      <c r="N33" s="7"/>
      <c r="O33" s="7"/>
      <c r="P33" s="7"/>
      <c r="Q33" s="287"/>
      <c r="R33" s="287"/>
      <c r="S33" s="287"/>
      <c r="T33" s="284"/>
      <c r="U33" s="284"/>
      <c r="V33" s="284"/>
      <c r="W33" s="7"/>
      <c r="X33" s="284"/>
      <c r="Y33" s="284"/>
      <c r="Z33" s="284"/>
      <c r="AA33" s="284"/>
      <c r="AB33" s="284"/>
      <c r="AC33" s="284"/>
      <c r="AE33" s="284"/>
    </row>
    <row r="34" spans="3:39">
      <c r="C34" s="9"/>
      <c r="D34" s="9"/>
      <c r="E34" s="9"/>
      <c r="F34" s="9"/>
      <c r="G34" s="9"/>
      <c r="H34" s="9"/>
      <c r="I34" s="9"/>
      <c r="K34" s="9"/>
      <c r="L34" s="9"/>
      <c r="O34" s="9"/>
      <c r="P34" s="9"/>
      <c r="Q34" s="11"/>
      <c r="R34" s="11"/>
      <c r="S34" s="11"/>
      <c r="T34" s="11"/>
      <c r="U34" s="11"/>
      <c r="V34" s="11"/>
      <c r="W34" s="9"/>
      <c r="X34" s="11"/>
      <c r="Y34" s="11"/>
      <c r="Z34" s="11"/>
      <c r="AA34" s="11"/>
      <c r="AB34" s="11"/>
      <c r="AC34" s="11"/>
      <c r="AD34" s="9"/>
      <c r="AE34" s="11"/>
      <c r="AF34" s="9"/>
      <c r="AG34" s="9"/>
      <c r="AH34" s="9"/>
      <c r="AI34" s="9"/>
      <c r="AJ34" s="9"/>
      <c r="AK34" s="9"/>
      <c r="AL34" s="9"/>
      <c r="AM34" s="9"/>
    </row>
    <row r="35" spans="3:39" customFormat="1" ht="18">
      <c r="C35" s="140" t="s">
        <v>258</v>
      </c>
      <c r="M35" s="283"/>
      <c r="N35" s="283"/>
      <c r="Q35" s="284"/>
      <c r="R35" s="284"/>
      <c r="S35" s="284"/>
      <c r="T35" s="284"/>
      <c r="U35" s="284"/>
      <c r="V35" s="284"/>
      <c r="X35" s="284"/>
      <c r="Y35" s="284"/>
      <c r="Z35" s="284"/>
      <c r="AA35" s="284"/>
      <c r="AB35" s="284"/>
      <c r="AC35" s="284"/>
      <c r="AE35" s="284"/>
    </row>
    <row r="36" spans="3:39">
      <c r="C36" t="s">
        <v>259</v>
      </c>
      <c r="D36" s="9"/>
      <c r="E36" s="9"/>
      <c r="F36" s="9"/>
      <c r="G36" s="9"/>
      <c r="H36" s="9"/>
      <c r="I36" s="9"/>
      <c r="K36" s="9"/>
      <c r="L36" s="9"/>
      <c r="O36" s="9"/>
      <c r="P36" s="9"/>
      <c r="Q36" s="11"/>
      <c r="R36" s="11"/>
      <c r="S36" s="11"/>
      <c r="T36" s="11"/>
      <c r="U36" s="11"/>
      <c r="V36" s="11"/>
      <c r="W36" s="9"/>
      <c r="X36" s="11"/>
      <c r="Y36" s="11"/>
      <c r="Z36" s="11"/>
      <c r="AA36" s="11"/>
      <c r="AB36" s="11"/>
      <c r="AC36" s="11"/>
      <c r="AD36" s="9"/>
      <c r="AE36" s="11"/>
      <c r="AF36" s="9"/>
      <c r="AG36" s="9"/>
      <c r="AH36" s="9"/>
      <c r="AI36" s="9"/>
      <c r="AJ36" s="9"/>
      <c r="AK36" s="9"/>
      <c r="AL36" s="9"/>
      <c r="AM36" s="9"/>
    </row>
    <row r="37" spans="3:39" customFormat="1">
      <c r="C37" t="s">
        <v>260</v>
      </c>
      <c r="M37" s="283"/>
      <c r="N37" s="283"/>
      <c r="Q37" s="284"/>
      <c r="R37" s="284"/>
      <c r="S37" s="284"/>
      <c r="T37" s="284"/>
      <c r="U37" s="284"/>
      <c r="V37" s="284"/>
      <c r="X37" s="284"/>
      <c r="Y37" s="284"/>
      <c r="Z37" s="284"/>
      <c r="AA37" s="284"/>
      <c r="AB37" s="284"/>
      <c r="AC37" s="284"/>
      <c r="AE37" s="284"/>
    </row>
    <row r="38" spans="3:39" customFormat="1">
      <c r="C38" s="136"/>
      <c r="M38" s="283"/>
      <c r="N38" s="283"/>
      <c r="Q38" s="284"/>
      <c r="R38" s="284"/>
      <c r="S38" s="284"/>
      <c r="T38" s="284"/>
      <c r="U38" s="284"/>
      <c r="V38" s="284"/>
      <c r="X38" s="284"/>
      <c r="Y38" s="284"/>
      <c r="Z38" s="284"/>
      <c r="AA38" s="284"/>
      <c r="AB38" s="284"/>
      <c r="AC38" s="284"/>
      <c r="AE38" s="284"/>
    </row>
    <row r="39" spans="3:39" customFormat="1">
      <c r="C39" s="187"/>
      <c r="M39" s="283"/>
      <c r="N39" s="283"/>
      <c r="Q39" s="284"/>
      <c r="R39" s="284"/>
      <c r="S39" s="284"/>
      <c r="T39" s="284"/>
      <c r="U39" s="284"/>
      <c r="V39" s="284"/>
      <c r="X39" s="284"/>
      <c r="Y39" s="284"/>
      <c r="Z39" s="284"/>
      <c r="AA39" s="284"/>
      <c r="AB39" s="284"/>
      <c r="AC39" s="284"/>
      <c r="AE39" s="284"/>
    </row>
    <row r="40" spans="3:39">
      <c r="C40" s="465" t="s">
        <v>261</v>
      </c>
      <c r="D40" s="7"/>
      <c r="E40" s="436" t="s">
        <v>256</v>
      </c>
      <c r="F40" s="466"/>
      <c r="G40" s="437"/>
      <c r="H40" s="288">
        <f>IF(E40="No",2,1)</f>
        <v>2</v>
      </c>
      <c r="I40" s="9"/>
      <c r="J40" s="7"/>
      <c r="K40" s="7"/>
      <c r="L40" s="7"/>
      <c r="M40" s="289"/>
      <c r="N40" s="289"/>
      <c r="O40" s="9"/>
      <c r="P40" s="9"/>
      <c r="Q40" s="11"/>
      <c r="R40" s="11"/>
      <c r="S40" s="11"/>
      <c r="T40" s="11"/>
      <c r="U40" s="11"/>
      <c r="V40" s="11"/>
      <c r="W40" s="9"/>
      <c r="X40" s="11"/>
      <c r="Y40" s="11"/>
      <c r="Z40" s="11"/>
      <c r="AA40" s="11"/>
      <c r="AB40" s="11"/>
      <c r="AC40" s="11"/>
      <c r="AD40" s="9"/>
      <c r="AE40" s="11"/>
      <c r="AF40" s="9"/>
      <c r="AG40" s="9"/>
      <c r="AH40" s="9"/>
      <c r="AI40" s="9"/>
      <c r="AJ40" s="9"/>
      <c r="AK40" s="9"/>
      <c r="AL40" s="9"/>
      <c r="AM40" s="9"/>
    </row>
    <row r="41" spans="3:39">
      <c r="C41" s="465"/>
      <c r="D41" s="7"/>
      <c r="E41" s="290" t="s">
        <v>314</v>
      </c>
      <c r="F41" s="7"/>
      <c r="G41" s="7"/>
      <c r="H41" s="7"/>
      <c r="I41" s="7"/>
      <c r="J41" s="7"/>
      <c r="K41" s="7"/>
      <c r="L41" s="7"/>
      <c r="M41" s="289"/>
      <c r="N41" s="289"/>
      <c r="O41" s="9"/>
      <c r="P41" s="9"/>
      <c r="Q41" s="11"/>
      <c r="R41" s="11"/>
      <c r="S41" s="11"/>
      <c r="T41" s="11"/>
      <c r="U41" s="11"/>
      <c r="V41" s="11"/>
      <c r="W41" s="9"/>
      <c r="X41" s="11"/>
      <c r="Y41" s="11"/>
      <c r="Z41" s="11"/>
      <c r="AA41" s="11"/>
      <c r="AB41" s="11"/>
      <c r="AC41" s="11"/>
      <c r="AD41" s="9"/>
      <c r="AE41" s="11"/>
      <c r="AF41" s="9"/>
      <c r="AG41" s="9"/>
      <c r="AH41" s="9"/>
      <c r="AI41" s="9"/>
      <c r="AJ41" s="9"/>
      <c r="AK41" s="9"/>
      <c r="AL41" s="9"/>
      <c r="AM41" s="9"/>
    </row>
    <row r="42" spans="3:39">
      <c r="C42" s="9"/>
      <c r="D42" s="7"/>
      <c r="E42" s="7"/>
      <c r="F42" s="7"/>
      <c r="G42" s="7"/>
      <c r="H42" s="7"/>
      <c r="I42" s="7"/>
      <c r="J42" s="7"/>
      <c r="K42" s="7"/>
      <c r="L42" s="7"/>
      <c r="M42" s="289"/>
      <c r="N42" s="289"/>
      <c r="O42" s="9"/>
      <c r="P42" s="9"/>
      <c r="Q42" s="11"/>
      <c r="R42" s="11"/>
      <c r="S42" s="11"/>
      <c r="T42" s="11"/>
      <c r="U42" s="11"/>
      <c r="V42" s="11"/>
      <c r="W42" s="9"/>
      <c r="X42" s="11"/>
      <c r="Y42" s="11"/>
      <c r="Z42" s="11"/>
      <c r="AA42" s="11"/>
      <c r="AB42" s="11"/>
      <c r="AC42" s="11"/>
      <c r="AD42" s="9"/>
      <c r="AE42" s="11"/>
      <c r="AF42" s="9"/>
      <c r="AG42" s="9"/>
      <c r="AH42" s="9"/>
      <c r="AI42" s="9"/>
      <c r="AJ42" s="9"/>
      <c r="AK42" s="9"/>
      <c r="AL42" s="9"/>
      <c r="AM42" s="9"/>
    </row>
    <row r="43" spans="3:39">
      <c r="C43" s="42"/>
      <c r="D43" s="7"/>
      <c r="E43" s="7"/>
      <c r="F43" s="7"/>
      <c r="G43" s="7"/>
      <c r="H43" s="7"/>
      <c r="I43" s="7"/>
      <c r="J43" s="7"/>
      <c r="K43" s="7"/>
      <c r="L43" s="7"/>
      <c r="M43" s="289"/>
      <c r="N43" s="289"/>
      <c r="O43" s="9"/>
      <c r="P43" s="9"/>
      <c r="Q43" s="11"/>
      <c r="R43" s="11"/>
      <c r="S43" s="11"/>
      <c r="T43" s="11"/>
      <c r="U43" s="11"/>
      <c r="V43" s="11"/>
      <c r="W43" s="9"/>
      <c r="X43" s="11"/>
      <c r="Y43" s="11"/>
      <c r="Z43" s="11"/>
      <c r="AA43" s="11"/>
      <c r="AB43" s="11"/>
      <c r="AC43" s="11"/>
      <c r="AD43" s="9"/>
      <c r="AE43" s="11"/>
      <c r="AF43" s="9"/>
      <c r="AG43" s="9"/>
      <c r="AH43" s="9"/>
      <c r="AI43" s="9"/>
      <c r="AJ43" s="9"/>
      <c r="AK43" s="9"/>
      <c r="AL43" s="9"/>
      <c r="AM43" s="9"/>
    </row>
    <row r="44" spans="3:39">
      <c r="C44" s="42"/>
      <c r="D44" s="7"/>
      <c r="E44" s="7"/>
      <c r="F44" s="7"/>
      <c r="G44" s="7"/>
      <c r="H44" s="7"/>
      <c r="I44" s="7"/>
      <c r="J44" s="7"/>
      <c r="K44" s="7"/>
      <c r="L44" s="7"/>
      <c r="M44" s="289"/>
      <c r="N44" s="289"/>
      <c r="O44" s="9"/>
      <c r="P44" s="9"/>
      <c r="Q44" s="11"/>
      <c r="R44" s="11"/>
      <c r="S44" s="11"/>
      <c r="T44" s="11"/>
      <c r="U44" s="11"/>
      <c r="V44" s="11"/>
      <c r="W44" s="9"/>
      <c r="X44" s="11"/>
      <c r="Y44" s="11"/>
      <c r="Z44" s="11"/>
      <c r="AA44" s="11"/>
      <c r="AB44" s="11"/>
      <c r="AC44" s="11"/>
      <c r="AD44" s="9"/>
      <c r="AE44" s="11"/>
      <c r="AF44" s="9"/>
      <c r="AG44" s="9"/>
      <c r="AH44" s="9"/>
      <c r="AI44" s="9"/>
      <c r="AJ44" s="9"/>
      <c r="AK44" s="9"/>
      <c r="AL44" s="9"/>
      <c r="AM44" s="9"/>
    </row>
    <row r="45" spans="3:39">
      <c r="C45" s="239"/>
      <c r="D45" s="289"/>
      <c r="E45" s="7"/>
      <c r="F45" s="7"/>
      <c r="G45" s="7"/>
      <c r="H45" s="7"/>
      <c r="I45" s="7"/>
      <c r="J45" s="7"/>
      <c r="K45" s="7"/>
      <c r="L45" s="7"/>
      <c r="M45" s="289"/>
      <c r="N45" s="289"/>
      <c r="O45" s="9"/>
      <c r="P45" s="9"/>
      <c r="Q45" s="11"/>
      <c r="R45" s="11"/>
      <c r="S45" s="11"/>
      <c r="T45" s="11"/>
      <c r="U45" s="11"/>
      <c r="V45" s="11"/>
      <c r="W45" s="9"/>
      <c r="X45" s="11"/>
      <c r="Y45" s="11"/>
      <c r="Z45" s="11"/>
      <c r="AA45" s="11"/>
      <c r="AB45" s="11"/>
      <c r="AC45" s="11"/>
      <c r="AD45" s="9"/>
      <c r="AE45" s="11"/>
      <c r="AF45" s="9"/>
      <c r="AG45" s="9"/>
      <c r="AH45" s="9"/>
      <c r="AI45" s="9"/>
      <c r="AJ45" s="9"/>
      <c r="AK45" s="9"/>
      <c r="AL45" s="9"/>
      <c r="AM45" s="9"/>
    </row>
    <row r="46" spans="3:39">
      <c r="C46" s="239"/>
      <c r="D46" s="7"/>
      <c r="E46" s="7"/>
      <c r="F46" s="7"/>
      <c r="G46" s="7"/>
      <c r="H46" s="7"/>
      <c r="I46" s="7"/>
      <c r="J46" s="7"/>
      <c r="K46" s="7"/>
      <c r="L46" s="7"/>
      <c r="M46" s="289"/>
      <c r="N46" s="289"/>
      <c r="O46" s="9"/>
      <c r="P46" s="9"/>
      <c r="Q46" s="11"/>
      <c r="R46" s="11"/>
      <c r="S46" s="11"/>
      <c r="T46" s="11"/>
      <c r="U46" s="11"/>
      <c r="V46" s="11"/>
      <c r="W46" s="9"/>
      <c r="X46" s="11"/>
      <c r="Y46" s="11"/>
      <c r="Z46" s="11"/>
      <c r="AA46" s="11"/>
      <c r="AB46" s="11"/>
      <c r="AC46" s="11"/>
      <c r="AD46" s="9"/>
      <c r="AE46" s="11"/>
      <c r="AF46" s="9"/>
      <c r="AG46" s="9"/>
      <c r="AH46" s="9"/>
      <c r="AI46" s="9"/>
      <c r="AJ46" s="9"/>
      <c r="AK46" s="9"/>
      <c r="AL46" s="9"/>
      <c r="AM46" s="9"/>
    </row>
    <row r="47" spans="3:39">
      <c r="C47" s="239"/>
      <c r="D47" s="7"/>
      <c r="E47" s="7"/>
      <c r="F47" s="7"/>
      <c r="G47" s="7"/>
      <c r="H47" s="7"/>
      <c r="I47" s="7"/>
      <c r="J47" s="7"/>
      <c r="K47" s="7"/>
      <c r="L47" s="7"/>
      <c r="M47" s="289"/>
      <c r="N47" s="289"/>
      <c r="O47" s="9"/>
      <c r="P47" s="9"/>
      <c r="Q47" s="11"/>
      <c r="R47" s="11"/>
      <c r="S47" s="11"/>
      <c r="T47" s="11"/>
      <c r="U47" s="11"/>
      <c r="V47" s="11"/>
      <c r="W47" s="9"/>
      <c r="X47" s="11"/>
      <c r="Y47" s="11"/>
      <c r="Z47" s="11"/>
      <c r="AA47" s="11"/>
      <c r="AB47" s="11"/>
      <c r="AC47" s="11"/>
      <c r="AD47" s="9"/>
      <c r="AE47" s="11"/>
      <c r="AF47" s="9"/>
      <c r="AG47" s="9"/>
      <c r="AH47" s="9"/>
      <c r="AI47" s="9"/>
      <c r="AJ47" s="9"/>
      <c r="AK47" s="9"/>
      <c r="AL47" s="9"/>
      <c r="AM47" s="9"/>
    </row>
    <row r="48" spans="3:39">
      <c r="C48" s="239"/>
      <c r="D48" s="7"/>
      <c r="E48" s="7"/>
      <c r="F48" s="7"/>
      <c r="G48" s="7"/>
      <c r="H48" s="7"/>
      <c r="I48" s="7"/>
      <c r="J48" s="7"/>
      <c r="K48" s="7"/>
      <c r="L48" s="7"/>
      <c r="M48" s="289"/>
      <c r="N48" s="289"/>
      <c r="O48" s="9"/>
      <c r="P48" s="9"/>
      <c r="Q48" s="11"/>
      <c r="R48" s="11"/>
      <c r="S48" s="11"/>
      <c r="T48" s="11"/>
      <c r="U48" s="11"/>
      <c r="V48" s="11"/>
      <c r="W48" s="9"/>
      <c r="X48" s="11"/>
      <c r="Y48" s="11"/>
      <c r="Z48" s="11"/>
      <c r="AA48" s="11"/>
      <c r="AB48" s="11"/>
      <c r="AC48" s="11"/>
      <c r="AD48" s="9"/>
      <c r="AE48" s="11"/>
      <c r="AF48" s="9"/>
      <c r="AG48" s="9"/>
      <c r="AH48" s="9"/>
      <c r="AI48" s="9"/>
      <c r="AJ48" s="9"/>
      <c r="AK48" s="9"/>
      <c r="AL48" s="9"/>
      <c r="AM48" s="9"/>
    </row>
    <row r="49" spans="3:42">
      <c r="C49" s="239"/>
      <c r="D49" s="7"/>
      <c r="E49" s="7"/>
      <c r="F49" s="7"/>
      <c r="G49" s="7"/>
      <c r="H49" s="7"/>
      <c r="I49" s="7"/>
      <c r="J49" s="7"/>
      <c r="K49" s="7"/>
      <c r="L49" s="7"/>
      <c r="M49" s="289"/>
      <c r="N49" s="289"/>
      <c r="O49" s="9"/>
      <c r="P49" s="9"/>
      <c r="Q49" s="11"/>
      <c r="R49" s="11"/>
      <c r="S49" s="11"/>
      <c r="T49" s="11"/>
      <c r="U49" s="11"/>
      <c r="V49" s="11"/>
      <c r="W49" s="9"/>
      <c r="X49" s="11"/>
      <c r="Y49" s="11"/>
      <c r="Z49" s="11"/>
      <c r="AA49" s="11"/>
      <c r="AB49" s="11"/>
      <c r="AC49" s="11"/>
      <c r="AD49" s="9"/>
      <c r="AE49" s="11"/>
      <c r="AF49" s="9"/>
      <c r="AG49" s="9"/>
      <c r="AH49" s="9"/>
      <c r="AI49" s="9"/>
      <c r="AJ49" s="9"/>
      <c r="AK49" s="9"/>
      <c r="AL49" s="9"/>
      <c r="AM49" s="9"/>
      <c r="AN49" s="9"/>
      <c r="AO49" s="9"/>
      <c r="AP49" s="9"/>
    </row>
    <row r="50" spans="3:42">
      <c r="C50" s="239"/>
      <c r="D50" s="7"/>
      <c r="E50" s="7"/>
      <c r="F50" s="7"/>
      <c r="G50" s="7"/>
      <c r="H50" s="7"/>
      <c r="I50" s="7"/>
      <c r="J50" s="7"/>
      <c r="K50" s="7"/>
      <c r="L50" s="7"/>
      <c r="M50" s="289"/>
      <c r="N50" s="289"/>
      <c r="O50" s="9"/>
      <c r="P50" s="9"/>
      <c r="Q50" s="11"/>
      <c r="R50" s="11"/>
      <c r="S50" s="11"/>
      <c r="T50" s="11"/>
      <c r="U50" s="11"/>
      <c r="V50" s="11"/>
      <c r="W50" s="9"/>
      <c r="X50" s="11"/>
      <c r="Y50" s="11"/>
      <c r="Z50" s="11"/>
      <c r="AA50" s="11"/>
      <c r="AB50" s="11"/>
      <c r="AC50" s="11"/>
      <c r="AD50" s="9"/>
      <c r="AE50" s="11"/>
      <c r="AF50" s="9"/>
      <c r="AG50" s="9"/>
      <c r="AH50" s="9"/>
      <c r="AI50" s="9"/>
      <c r="AJ50" s="9"/>
      <c r="AK50" s="9"/>
      <c r="AL50" s="9"/>
      <c r="AM50" s="9"/>
      <c r="AN50" s="9"/>
      <c r="AO50" s="9"/>
      <c r="AP50" s="9"/>
    </row>
    <row r="51" spans="3:42">
      <c r="C51" s="239"/>
      <c r="D51" s="7"/>
      <c r="E51" s="7"/>
      <c r="F51" s="7"/>
      <c r="G51" s="7"/>
      <c r="H51" s="7"/>
      <c r="I51" s="7"/>
      <c r="J51" s="7"/>
      <c r="K51" s="7"/>
      <c r="L51" s="7"/>
      <c r="M51" s="289"/>
      <c r="N51" s="289"/>
      <c r="O51" s="9"/>
      <c r="P51" s="9"/>
      <c r="Q51" s="11"/>
      <c r="R51" s="11"/>
      <c r="S51" s="11"/>
      <c r="T51" s="11"/>
      <c r="U51" s="11"/>
      <c r="V51" s="11"/>
      <c r="W51" s="9"/>
      <c r="X51" s="11"/>
      <c r="Y51" s="11"/>
      <c r="Z51" s="11"/>
      <c r="AA51" s="11"/>
      <c r="AB51" s="11"/>
      <c r="AC51" s="11"/>
      <c r="AD51" s="9"/>
      <c r="AE51" s="11"/>
      <c r="AF51" s="9"/>
      <c r="AG51" s="9"/>
      <c r="AH51" s="9"/>
      <c r="AI51" s="9"/>
      <c r="AJ51" s="9"/>
      <c r="AK51" s="9"/>
      <c r="AL51" s="9"/>
      <c r="AM51" s="9"/>
      <c r="AN51" s="9"/>
      <c r="AO51" s="9"/>
      <c r="AP51" s="9"/>
    </row>
    <row r="52" spans="3:42">
      <c r="C52" s="239"/>
      <c r="D52" s="7"/>
      <c r="E52" s="7"/>
      <c r="F52" s="7"/>
      <c r="G52" s="7"/>
      <c r="H52" s="7"/>
      <c r="I52" s="7"/>
      <c r="J52" s="7"/>
      <c r="K52" s="312" t="str">
        <f>IF(AND(desc_por_ob="Yes",SUM(V64:V78)&gt;0),"Attention! Invalid data. When using both discontinuation and death rates, they must be related events.","")</f>
        <v/>
      </c>
      <c r="L52" s="7"/>
      <c r="M52" s="289"/>
      <c r="N52" s="289"/>
      <c r="O52" s="9"/>
      <c r="P52" s="9"/>
      <c r="Q52" s="11"/>
      <c r="R52" s="11"/>
      <c r="S52" s="11"/>
      <c r="T52" s="11"/>
      <c r="U52" s="11"/>
      <c r="V52" s="11"/>
      <c r="W52" s="9"/>
      <c r="X52" s="11"/>
      <c r="Y52" s="11"/>
      <c r="Z52" s="11"/>
      <c r="AA52" s="11"/>
      <c r="AB52" s="11"/>
      <c r="AC52" s="11"/>
      <c r="AD52" s="9"/>
      <c r="AE52" s="11"/>
      <c r="AF52" s="11"/>
      <c r="AG52" s="11"/>
      <c r="AH52" s="11"/>
      <c r="AI52" s="11"/>
      <c r="AJ52" s="11"/>
      <c r="AK52" s="11"/>
      <c r="AL52" s="11"/>
      <c r="AM52" s="11"/>
      <c r="AN52" s="9"/>
      <c r="AO52" s="9"/>
      <c r="AP52" s="9"/>
    </row>
    <row r="53" spans="3:42">
      <c r="C53" s="7"/>
      <c r="D53" s="7"/>
      <c r="E53" s="7"/>
      <c r="F53" s="7"/>
      <c r="G53" s="7"/>
      <c r="H53" s="7"/>
      <c r="I53" s="7"/>
      <c r="J53" s="7"/>
      <c r="K53" s="312" t="str">
        <f>IF(AND(desc_por_ob="Yes",SUM(V65:V79)&gt;0),"The annual death rate cannot exceed the discontinuation rate, because death is a subset of total treatment discontinuation.","")</f>
        <v/>
      </c>
      <c r="L53" s="7"/>
      <c r="M53" s="289"/>
      <c r="N53" s="289"/>
      <c r="O53" s="9"/>
      <c r="P53" s="9"/>
      <c r="Q53" s="11"/>
      <c r="R53" s="11"/>
      <c r="S53" s="11"/>
      <c r="T53" s="11"/>
      <c r="U53" s="11"/>
      <c r="V53" s="11"/>
      <c r="W53" s="9"/>
      <c r="X53" s="11"/>
      <c r="Y53" s="11"/>
      <c r="Z53" s="11"/>
      <c r="AA53" s="11"/>
      <c r="AB53" s="11"/>
      <c r="AC53" s="11"/>
      <c r="AD53" s="9"/>
      <c r="AE53" s="11"/>
      <c r="AF53" s="9"/>
      <c r="AG53" s="9"/>
      <c r="AH53" s="9"/>
      <c r="AI53" s="9"/>
      <c r="AJ53" s="9"/>
      <c r="AK53" s="9"/>
      <c r="AL53" s="9"/>
      <c r="AM53" s="9"/>
      <c r="AN53" s="9"/>
      <c r="AO53" s="9"/>
      <c r="AP53" s="9"/>
    </row>
    <row r="54" spans="3:42">
      <c r="C54" s="465" t="s">
        <v>262</v>
      </c>
      <c r="D54" s="7"/>
      <c r="E54" s="436" t="s">
        <v>362</v>
      </c>
      <c r="F54" s="466"/>
      <c r="G54" s="437"/>
      <c r="H54" s="288">
        <f>IF(E54="Median usage time",1,IF(E54="Discontinuation rate",2,IF(E54="Progression-free survival",3,4)))</f>
        <v>2</v>
      </c>
      <c r="I54" s="465" t="s">
        <v>317</v>
      </c>
      <c r="J54" s="380" t="s">
        <v>299</v>
      </c>
      <c r="K54" s="481"/>
      <c r="L54" s="482"/>
      <c r="M54" s="482"/>
      <c r="N54" s="316"/>
      <c r="O54" s="316"/>
      <c r="P54" s="316"/>
      <c r="Q54" s="11"/>
      <c r="R54" s="11"/>
      <c r="S54" s="11"/>
      <c r="T54" s="11"/>
      <c r="U54" s="11"/>
      <c r="V54" s="11"/>
      <c r="W54" s="9"/>
      <c r="X54" s="11"/>
      <c r="Y54" s="11"/>
      <c r="Z54" s="11"/>
      <c r="AA54" s="11"/>
      <c r="AB54" s="11"/>
      <c r="AC54" s="11"/>
      <c r="AD54" s="9"/>
      <c r="AE54" s="11"/>
      <c r="AF54" s="9"/>
      <c r="AG54" s="9"/>
      <c r="AH54" s="9"/>
      <c r="AI54" s="9"/>
      <c r="AJ54" s="9"/>
      <c r="AK54" s="9"/>
      <c r="AL54" s="9"/>
      <c r="AM54" s="9"/>
      <c r="AN54" s="9"/>
      <c r="AO54" s="9"/>
      <c r="AP54" s="9"/>
    </row>
    <row r="55" spans="3:42">
      <c r="C55" s="465"/>
      <c r="D55" s="7"/>
      <c r="E55" s="291"/>
      <c r="F55" s="7"/>
      <c r="G55" s="7"/>
      <c r="H55" s="288"/>
      <c r="I55" s="465"/>
      <c r="J55" s="7"/>
      <c r="K55" s="290"/>
      <c r="L55" s="7"/>
      <c r="M55" s="289"/>
      <c r="N55" s="289"/>
      <c r="O55" s="9"/>
      <c r="P55" s="9"/>
      <c r="Q55" s="11"/>
      <c r="R55" s="11"/>
      <c r="S55" s="11"/>
      <c r="T55" s="11"/>
      <c r="U55" s="11"/>
      <c r="V55" s="11"/>
      <c r="W55" s="9"/>
      <c r="X55" s="11"/>
      <c r="Y55" s="11"/>
      <c r="Z55" s="11"/>
      <c r="AA55" s="11"/>
      <c r="AB55" s="11"/>
      <c r="AC55" s="11"/>
      <c r="AD55" s="9"/>
      <c r="AE55" s="11"/>
      <c r="AF55" s="9"/>
      <c r="AG55" s="9"/>
      <c r="AH55" s="9"/>
      <c r="AI55" s="9"/>
      <c r="AJ55" s="9"/>
      <c r="AK55" s="9"/>
      <c r="AL55" s="9"/>
      <c r="AM55" s="9"/>
      <c r="AN55" s="9"/>
      <c r="AO55" s="9"/>
      <c r="AP55" s="9"/>
    </row>
    <row r="56" spans="3:42">
      <c r="C56" s="48"/>
      <c r="D56" s="7"/>
      <c r="E56" s="290"/>
      <c r="F56" s="7"/>
      <c r="G56" s="7"/>
      <c r="H56" s="288"/>
      <c r="I56" s="7"/>
      <c r="J56" s="7"/>
      <c r="K56" s="290"/>
      <c r="L56" s="7"/>
      <c r="M56" s="289"/>
      <c r="N56" s="289"/>
      <c r="O56" s="9"/>
      <c r="P56" s="9"/>
      <c r="Q56" s="11"/>
      <c r="R56" s="11"/>
      <c r="S56" s="11"/>
      <c r="T56" s="11"/>
      <c r="U56" s="11"/>
      <c r="V56" s="11"/>
      <c r="W56" s="9"/>
      <c r="X56" s="11"/>
      <c r="Y56" s="11"/>
      <c r="Z56" s="11"/>
      <c r="AA56" s="11"/>
      <c r="AB56" s="11"/>
      <c r="AC56" s="11"/>
      <c r="AD56" s="9"/>
      <c r="AE56" s="11"/>
      <c r="AF56" s="9"/>
      <c r="AG56" s="9"/>
      <c r="AH56" s="9"/>
      <c r="AI56" s="9"/>
      <c r="AJ56" s="9"/>
      <c r="AK56" s="9"/>
      <c r="AL56" s="9"/>
      <c r="AM56" s="9"/>
      <c r="AN56" s="9"/>
      <c r="AO56" s="9"/>
      <c r="AP56" s="9"/>
    </row>
    <row r="57" spans="3:42">
      <c r="C57" s="7"/>
      <c r="D57" s="7"/>
      <c r="E57" s="7"/>
      <c r="F57" s="7"/>
      <c r="G57" s="7"/>
      <c r="H57" s="288"/>
      <c r="I57" s="7"/>
      <c r="J57" s="7"/>
      <c r="K57" s="290"/>
      <c r="L57" s="7"/>
      <c r="M57" s="289"/>
      <c r="N57" s="289"/>
      <c r="O57" s="9"/>
      <c r="P57" s="9"/>
      <c r="Q57" s="11"/>
      <c r="R57" s="11"/>
      <c r="S57" s="11"/>
      <c r="T57" s="11"/>
      <c r="U57" s="11"/>
      <c r="V57" s="11"/>
      <c r="W57" s="9"/>
      <c r="X57" s="11"/>
      <c r="Y57" s="11"/>
      <c r="Z57" s="11"/>
      <c r="AA57" s="11"/>
      <c r="AB57" s="11"/>
      <c r="AC57" s="11"/>
      <c r="AD57" s="9"/>
      <c r="AE57" s="11"/>
      <c r="AF57" s="9"/>
      <c r="AG57" s="9"/>
      <c r="AH57" s="9"/>
      <c r="AI57" s="9"/>
      <c r="AJ57" s="9"/>
      <c r="AK57" s="9"/>
      <c r="AL57" s="9"/>
      <c r="AM57" s="9"/>
      <c r="AN57" s="9"/>
      <c r="AO57" s="9"/>
      <c r="AP57" s="9"/>
    </row>
    <row r="58" spans="3:42">
      <c r="C58" s="465" t="s">
        <v>263</v>
      </c>
      <c r="D58" s="7"/>
      <c r="E58" s="436" t="s">
        <v>315</v>
      </c>
      <c r="F58" s="466"/>
      <c r="G58" s="437"/>
      <c r="H58" s="288">
        <f>IF(E58="Annual data",1,2)</f>
        <v>1</v>
      </c>
      <c r="I58" s="7"/>
      <c r="J58" s="7"/>
      <c r="K58" s="7"/>
      <c r="L58" s="7"/>
      <c r="M58" s="289"/>
      <c r="N58" s="289"/>
      <c r="O58" s="9"/>
      <c r="P58" s="9"/>
      <c r="Q58" s="11"/>
      <c r="R58" s="11"/>
      <c r="S58" s="11"/>
      <c r="T58" s="11"/>
      <c r="U58" s="11"/>
      <c r="V58" s="11"/>
      <c r="W58" s="9"/>
      <c r="X58" s="11"/>
      <c r="Y58" s="11"/>
      <c r="Z58" s="11"/>
      <c r="AA58" s="11"/>
      <c r="AB58" s="11"/>
      <c r="AC58" s="11"/>
      <c r="AD58" s="9"/>
      <c r="AE58" s="11"/>
      <c r="AF58" s="9"/>
      <c r="AG58" s="9"/>
      <c r="AH58" s="9"/>
      <c r="AI58" s="9"/>
      <c r="AJ58" s="9"/>
      <c r="AK58" s="9"/>
      <c r="AL58" s="9"/>
      <c r="AM58" s="9"/>
      <c r="AN58" s="9"/>
      <c r="AO58" s="9"/>
      <c r="AP58" s="9"/>
    </row>
    <row r="59" spans="3:42">
      <c r="C59" s="465"/>
      <c r="D59" s="7"/>
      <c r="E59" s="292" t="s">
        <v>265</v>
      </c>
      <c r="F59" s="7"/>
      <c r="G59" s="7"/>
      <c r="H59" s="7"/>
      <c r="I59" s="7"/>
      <c r="J59" s="7"/>
      <c r="K59" s="7"/>
      <c r="L59" s="7"/>
      <c r="M59" s="289"/>
      <c r="N59" s="289"/>
      <c r="O59" s="9"/>
      <c r="P59" s="9"/>
      <c r="Q59" s="11"/>
      <c r="R59" s="11"/>
      <c r="S59" s="11"/>
      <c r="T59" s="11"/>
      <c r="U59" s="11"/>
      <c r="V59" s="11"/>
      <c r="W59" s="9"/>
      <c r="X59" s="11"/>
      <c r="Y59" s="11"/>
      <c r="Z59" s="11"/>
      <c r="AA59" s="11"/>
      <c r="AB59" s="11"/>
      <c r="AC59" s="11"/>
      <c r="AD59" s="9"/>
      <c r="AE59" s="11"/>
      <c r="AF59" s="9"/>
      <c r="AG59" s="9"/>
      <c r="AH59" s="9"/>
      <c r="AI59" s="9"/>
      <c r="AJ59" s="9"/>
      <c r="AK59" s="9"/>
      <c r="AL59" s="11"/>
      <c r="AM59" s="9"/>
      <c r="AN59" s="9"/>
      <c r="AO59" s="9"/>
      <c r="AP59" s="9"/>
    </row>
    <row r="60" spans="3:42">
      <c r="C60" s="48"/>
      <c r="D60" s="7"/>
      <c r="E60" s="290" t="s">
        <v>264</v>
      </c>
      <c r="F60" s="7"/>
      <c r="G60" s="7"/>
      <c r="H60" s="7"/>
      <c r="I60" s="7"/>
      <c r="J60" s="7"/>
      <c r="K60" s="7"/>
      <c r="L60" s="7"/>
      <c r="M60" s="289"/>
      <c r="N60" s="289"/>
      <c r="O60" s="9"/>
      <c r="P60" s="9"/>
      <c r="Q60" s="11"/>
      <c r="R60" s="11"/>
      <c r="S60" s="11"/>
      <c r="T60" s="11"/>
      <c r="U60" s="11"/>
      <c r="V60" s="11"/>
      <c r="W60" s="9"/>
      <c r="X60" s="11"/>
      <c r="Y60" s="11"/>
      <c r="Z60" s="11"/>
      <c r="AA60" s="11"/>
      <c r="AB60" s="11"/>
      <c r="AC60" s="11"/>
      <c r="AD60" s="9"/>
      <c r="AE60" s="11"/>
      <c r="AF60" s="9"/>
      <c r="AG60" s="9"/>
      <c r="AH60" s="9"/>
      <c r="AI60" s="9"/>
      <c r="AJ60" s="9"/>
      <c r="AK60" s="9"/>
      <c r="AL60" s="11"/>
      <c r="AM60" s="9"/>
      <c r="AN60" s="9"/>
      <c r="AO60" s="9"/>
      <c r="AP60" s="9"/>
    </row>
    <row r="61" spans="3:42" ht="15" customHeight="1">
      <c r="C61" s="48"/>
      <c r="D61" s="7"/>
      <c r="E61" s="290"/>
      <c r="F61" s="7"/>
      <c r="G61" s="7"/>
      <c r="H61" s="7"/>
      <c r="I61" s="7"/>
      <c r="J61" s="7"/>
      <c r="K61" s="7"/>
      <c r="L61" s="7"/>
      <c r="M61" s="289"/>
      <c r="N61" s="289"/>
      <c r="O61" s="9"/>
      <c r="P61" s="9"/>
      <c r="Q61" s="453" t="s">
        <v>281</v>
      </c>
      <c r="R61" s="454"/>
      <c r="S61" s="454"/>
      <c r="T61" s="454"/>
      <c r="U61" s="455"/>
      <c r="V61" s="11"/>
      <c r="W61" s="9"/>
      <c r="X61" s="453" t="s">
        <v>282</v>
      </c>
      <c r="Y61" s="454"/>
      <c r="Z61" s="454"/>
      <c r="AA61" s="454"/>
      <c r="AB61" s="455"/>
      <c r="AC61" s="11"/>
      <c r="AD61" s="9"/>
      <c r="AE61" s="453" t="s">
        <v>283</v>
      </c>
      <c r="AF61" s="454"/>
      <c r="AG61" s="454"/>
      <c r="AH61" s="454"/>
      <c r="AI61" s="454"/>
      <c r="AJ61" s="9"/>
      <c r="AK61" s="9"/>
      <c r="AL61" s="453" t="s">
        <v>284</v>
      </c>
      <c r="AM61" s="454"/>
      <c r="AN61" s="454"/>
      <c r="AO61" s="454"/>
      <c r="AP61" s="454"/>
    </row>
    <row r="62" spans="3:42">
      <c r="C62" s="293" t="s">
        <v>277</v>
      </c>
      <c r="D62" s="7"/>
      <c r="E62" s="290"/>
      <c r="F62" s="7"/>
      <c r="G62" s="7"/>
      <c r="H62" s="293" t="str">
        <f>"7.2.2. Table for discontinuaiton rate and PFS"</f>
        <v>7.2.2. Table for discontinuaiton rate and PFS</v>
      </c>
      <c r="I62" s="7"/>
      <c r="J62" s="7"/>
      <c r="K62" s="7"/>
      <c r="L62" s="7"/>
      <c r="M62" s="7"/>
      <c r="N62" s="7"/>
      <c r="O62" s="7"/>
      <c r="P62" s="7"/>
      <c r="Q62" s="456"/>
      <c r="R62" s="457"/>
      <c r="S62" s="457"/>
      <c r="T62" s="457"/>
      <c r="U62" s="458"/>
      <c r="V62" s="11"/>
      <c r="W62" s="7"/>
      <c r="X62" s="456"/>
      <c r="Y62" s="457"/>
      <c r="Z62" s="457"/>
      <c r="AA62" s="457"/>
      <c r="AB62" s="458"/>
      <c r="AC62" s="11"/>
      <c r="AD62" s="9"/>
      <c r="AE62" s="456"/>
      <c r="AF62" s="457"/>
      <c r="AG62" s="457"/>
      <c r="AH62" s="457"/>
      <c r="AI62" s="457"/>
      <c r="AJ62" s="9"/>
      <c r="AK62" s="9"/>
      <c r="AL62" s="456"/>
      <c r="AM62" s="457"/>
      <c r="AN62" s="457"/>
      <c r="AO62" s="457"/>
      <c r="AP62" s="457"/>
    </row>
    <row r="63" spans="3:42">
      <c r="C63" s="430" t="str">
        <f>IF(uso=1,"Enter the average time of use",IF(uso=4,"Enter "&amp;E54,"Do not fill in this table"))</f>
        <v>Do not fill in this table</v>
      </c>
      <c r="D63" s="474" t="s">
        <v>278</v>
      </c>
      <c r="E63" s="474"/>
      <c r="F63" s="7"/>
      <c r="G63" s="7"/>
      <c r="H63" s="467" t="str">
        <f>IF(uso=1,"Do not fill in this table",IF(uso=2,"Enter the discontinuation rate","Enter the progression-free survival"))</f>
        <v>Enter the discontinuation rate</v>
      </c>
      <c r="I63" s="449"/>
      <c r="J63" s="311" t="s">
        <v>285</v>
      </c>
      <c r="K63" s="311" t="s">
        <v>286</v>
      </c>
      <c r="L63" s="311" t="s">
        <v>287</v>
      </c>
      <c r="M63" s="311" t="s">
        <v>288</v>
      </c>
      <c r="N63" s="7"/>
      <c r="O63" s="7"/>
      <c r="P63" s="7"/>
      <c r="Q63" s="449" t="s">
        <v>276</v>
      </c>
      <c r="R63" s="295" t="s">
        <v>285</v>
      </c>
      <c r="S63" s="295" t="s">
        <v>286</v>
      </c>
      <c r="T63" s="295" t="s">
        <v>287</v>
      </c>
      <c r="U63" s="295" t="s">
        <v>288</v>
      </c>
      <c r="V63" s="11"/>
      <c r="W63" s="7"/>
      <c r="X63" s="449" t="s">
        <v>276</v>
      </c>
      <c r="Y63" s="295" t="s">
        <v>285</v>
      </c>
      <c r="Z63" s="295" t="s">
        <v>286</v>
      </c>
      <c r="AA63" s="295" t="s">
        <v>287</v>
      </c>
      <c r="AB63" s="295" t="s">
        <v>288</v>
      </c>
      <c r="AC63" s="11"/>
      <c r="AD63" s="9"/>
      <c r="AE63" s="449" t="s">
        <v>276</v>
      </c>
      <c r="AF63" s="295" t="s">
        <v>285</v>
      </c>
      <c r="AG63" s="295" t="s">
        <v>286</v>
      </c>
      <c r="AH63" s="295" t="s">
        <v>287</v>
      </c>
      <c r="AI63" s="295" t="s">
        <v>288</v>
      </c>
      <c r="AJ63" s="9"/>
      <c r="AK63" s="9"/>
      <c r="AL63" s="296" t="s">
        <v>276</v>
      </c>
      <c r="AM63" s="295" t="s">
        <v>285</v>
      </c>
      <c r="AN63" s="295" t="s">
        <v>286</v>
      </c>
      <c r="AO63" s="295" t="s">
        <v>287</v>
      </c>
      <c r="AP63" s="295" t="s">
        <v>288</v>
      </c>
    </row>
    <row r="64" spans="3:42">
      <c r="C64" s="473"/>
      <c r="D64" s="473"/>
      <c r="E64" s="473"/>
      <c r="F64" s="7"/>
      <c r="G64" s="7"/>
      <c r="H64" s="467"/>
      <c r="I64" s="467"/>
      <c r="J64" s="486" t="s">
        <v>280</v>
      </c>
      <c r="K64" s="487"/>
      <c r="L64" s="487"/>
      <c r="M64" s="488"/>
      <c r="N64" s="7"/>
      <c r="O64" s="7"/>
      <c r="P64" s="7"/>
      <c r="Q64" s="450"/>
      <c r="R64" s="297"/>
      <c r="S64" s="298"/>
      <c r="T64" s="298"/>
      <c r="U64" s="298"/>
      <c r="V64" s="11"/>
      <c r="W64" s="7"/>
      <c r="X64" s="450"/>
      <c r="Y64" s="297"/>
      <c r="Z64" s="298"/>
      <c r="AA64" s="298"/>
      <c r="AB64" s="298"/>
      <c r="AC64" s="11"/>
      <c r="AD64" s="9"/>
      <c r="AE64" s="450"/>
      <c r="AF64" s="297"/>
      <c r="AG64" s="298"/>
      <c r="AH64" s="298"/>
      <c r="AI64" s="298"/>
      <c r="AJ64" s="9"/>
      <c r="AK64" s="9"/>
      <c r="AL64" s="299"/>
      <c r="AM64" s="297"/>
      <c r="AN64" s="298"/>
      <c r="AO64" s="298"/>
      <c r="AP64" s="298"/>
    </row>
    <row r="65" spans="3:43">
      <c r="C65" s="300" t="str">
        <f>IF(intervencao1=0,"Do not fill this line",intervencao1)</f>
        <v>Intrauterine device levonorgestrel</v>
      </c>
      <c r="D65" s="461"/>
      <c r="E65" s="462"/>
      <c r="F65" s="7"/>
      <c r="G65" s="7"/>
      <c r="H65" s="470" t="str">
        <f>IF(intervencao1=0,"Do not fill this line",intervencao1)</f>
        <v>Intrauterine device levonorgestrel</v>
      </c>
      <c r="I65" s="470"/>
      <c r="J65" s="310"/>
      <c r="K65" s="310"/>
      <c r="L65" s="310"/>
      <c r="M65" s="310"/>
      <c r="N65" s="7"/>
      <c r="O65" s="7"/>
      <c r="P65" s="7"/>
      <c r="Q65" s="227" t="str">
        <f>IF(intervencao1=0,"Do not fill this line",intervencao1)</f>
        <v>Intrauterine device levonorgestrel</v>
      </c>
      <c r="R65" s="227">
        <f t="shared" ref="R65:U68" si="0">IFERROR(IF(AND(descontinua=1,OR(uso=1,uso=4)),Y65,IF(AND(descontinua=1,uso=2),AM65,IF(AND(descontinua=1,uso=3),AF65,0))),0)</f>
        <v>0</v>
      </c>
      <c r="S65" s="227">
        <f t="shared" si="0"/>
        <v>0</v>
      </c>
      <c r="T65" s="227">
        <f t="shared" si="0"/>
        <v>0</v>
      </c>
      <c r="U65" s="227">
        <f t="shared" si="0"/>
        <v>0</v>
      </c>
      <c r="V65" s="11">
        <f>IF(OR(R65&lt;R113,S65&lt;S113,T65&lt;T113,U65&lt;U113),1,0)</f>
        <v>0</v>
      </c>
      <c r="W65" s="7"/>
      <c r="X65" s="223" t="str">
        <f>IF(intervencao1=0,"Do not fill this line",intervencao1)</f>
        <v>Intrauterine device levonorgestrel</v>
      </c>
      <c r="Y65" s="227" t="e">
        <f>1-AVERAGEIF(Data!AK$10:AK$21,"&gt;0",Data!AK$10:AK$21)</f>
        <v>#DIV/0!</v>
      </c>
      <c r="Z65" s="227" t="e">
        <f>1-AVERAGEIF(Data!AK$22:AK$33,"&gt;0",Data!AK$22:AK$33)</f>
        <v>#DIV/0!</v>
      </c>
      <c r="AA65" s="227" t="e">
        <f>1-AVERAGEIF(Data!AK$34:AK$45,"&gt;0",Data!AK$34:AK$45)</f>
        <v>#DIV/0!</v>
      </c>
      <c r="AB65" s="227" t="e">
        <f>1-AVERAGEIF(Data!AK$46:AK$57,"&gt;0",Data!AK$46:AK$57)</f>
        <v>#DIV/0!</v>
      </c>
      <c r="AC65" s="11"/>
      <c r="AD65" s="9"/>
      <c r="AE65" s="223" t="str">
        <f>IF(intervencao1=0,"Do not fill this line",intervencao1)</f>
        <v>Intrauterine device levonorgestrel</v>
      </c>
      <c r="AF65" s="227">
        <f>1-(IFERROR(IF(AND($H$58=1,J65=""),1,IF(AND($H$58=1,J65=0),0,IF(AND($H$58=1,J65&gt;0),J65,AVERAGE(Data!S$10:S$21)))),1))</f>
        <v>0</v>
      </c>
      <c r="AG65" s="227">
        <f>1-IFERROR(IF(AND($H$58=1,K65=""),1,IF(AND($H$58=1,K65=0),0,IF(AND($H$58=1,K65&gt;0),K65,AVERAGE(Data!S$22:S$33)))),1)</f>
        <v>0</v>
      </c>
      <c r="AH65" s="227">
        <f>1-IFERROR(IF(AND($H$58=1,L65=""),1,IF(AND($H$58=1,L65=0),0,IF(AND($H$58=1,L65&gt;0),L65,AVERAGE(Data!S$34:S$45)))),1)</f>
        <v>0</v>
      </c>
      <c r="AI65" s="227">
        <f>1-IFERROR(IF(AND($H$58=1,M65=""),1,IF(AND($H$58=1,M65=0),0,IF(AND($H$58=1,M65&gt;0),M65,AVERAGE(Data!S$46:S$57)))),1)</f>
        <v>0</v>
      </c>
      <c r="AJ65" s="9"/>
      <c r="AK65" s="9"/>
      <c r="AL65" s="223" t="str">
        <f>IF(intervencao1=0,"Do not fill this line",intervencao1)</f>
        <v>Intrauterine device levonorgestrel</v>
      </c>
      <c r="AM65" s="227">
        <f>IFERROR(IF($H$58=1,J65,AVERAGE(Data!C$10:C$21)),0)</f>
        <v>0</v>
      </c>
      <c r="AN65" s="227">
        <f>IFERROR(IF($H$58=1,K65,AVERAGE(Data!C$22:C$33)),0)</f>
        <v>0</v>
      </c>
      <c r="AO65" s="227">
        <f>IFERROR(IF($H$58=1,L65,AVERAGE(Data!C$34:C$45)),0)</f>
        <v>0</v>
      </c>
      <c r="AP65" s="227">
        <f>IFERROR(IF($H$58=1,M65,AVERAGE(Data!C$46:C$57)),0)</f>
        <v>0</v>
      </c>
      <c r="AQ65" s="9"/>
    </row>
    <row r="66" spans="3:43">
      <c r="C66" s="300" t="str">
        <f>IF(intervencao2=0,"Do not fill this line",intervencao2)</f>
        <v>Do not fill this line</v>
      </c>
      <c r="D66" s="461"/>
      <c r="E66" s="462"/>
      <c r="F66" s="7"/>
      <c r="G66" s="7"/>
      <c r="H66" s="470" t="str">
        <f>IF(intervencao2=0,"Do not fill this line",intervencao2)</f>
        <v>Do not fill this line</v>
      </c>
      <c r="I66" s="470"/>
      <c r="J66" s="230"/>
      <c r="K66" s="230"/>
      <c r="L66" s="230"/>
      <c r="M66" s="230"/>
      <c r="N66" s="7"/>
      <c r="O66" s="7"/>
      <c r="P66" s="7"/>
      <c r="Q66" s="223" t="str">
        <f>IF(intervencao2=0,"Do not fill this line",intervencao2)</f>
        <v>Do not fill this line</v>
      </c>
      <c r="R66" s="227">
        <f t="shared" si="0"/>
        <v>0</v>
      </c>
      <c r="S66" s="227">
        <f t="shared" si="0"/>
        <v>0</v>
      </c>
      <c r="T66" s="227">
        <f t="shared" si="0"/>
        <v>0</v>
      </c>
      <c r="U66" s="227">
        <f t="shared" si="0"/>
        <v>0</v>
      </c>
      <c r="V66" s="11">
        <f t="shared" ref="V66:V79" si="1">IF(OR(R66&lt;R114,S66&lt;S114,T66&lt;T114,U66&lt;U114),1,0)</f>
        <v>0</v>
      </c>
      <c r="W66" s="7"/>
      <c r="X66" s="223" t="str">
        <f>IF(intervencao2=0,"Do not fill this line",intervencao2)</f>
        <v>Do not fill this line</v>
      </c>
      <c r="Y66" s="227" t="e">
        <f>1-AVERAGEIF(Data!AL$10:AL$21,"&gt;0",Data!AL$10:AL$21)</f>
        <v>#DIV/0!</v>
      </c>
      <c r="Z66" s="227" t="e">
        <f>1-AVERAGEIF(Data!AL$22:AL$33,"&gt;0",Data!AL$22:AL$33)</f>
        <v>#DIV/0!</v>
      </c>
      <c r="AA66" s="227" t="e">
        <f>1-AVERAGEIF(Data!AL$34:AL$45,"&gt;0",Data!AL$34:AL$45)</f>
        <v>#DIV/0!</v>
      </c>
      <c r="AB66" s="227" t="e">
        <f>1-AVERAGEIF(Data!AL$46:AL$57,"&gt;0",Data!AL$46:AL$57)</f>
        <v>#DIV/0!</v>
      </c>
      <c r="AC66" s="11"/>
      <c r="AD66" s="9"/>
      <c r="AE66" s="223" t="str">
        <f>IF(intervencao2=0,"Do not fill this line",intervencao2)</f>
        <v>Do not fill this line</v>
      </c>
      <c r="AF66" s="227">
        <f>1-IFERROR(IF(AND($H$58=1,J66=""),1,IF(AND($H$58=1,J66=0),0,IF(AND($H$58=1,J66&gt;0),J66,AVERAGEIF(Data!T$10:T$21,"&gt;0",Data!T$10:T$21)))),1)</f>
        <v>0</v>
      </c>
      <c r="AG66" s="227">
        <f>1-IFERROR(IF(AND($H$58=1,K66=""),1,IF(AND($H$58=1,K66=0),0,IF(AND($H$58=1,K66&gt;0),K66,AVERAGEIF(Data!T$22:T$33,"&gt;0",Data!T$22:T$33)))),1)</f>
        <v>0</v>
      </c>
      <c r="AH66" s="227">
        <f>1-IFERROR(IF(AND($H$58=1,L66=""),1,IF(AND($H$58=1,L66=0),0,IF(AND($H$58=1,L66&gt;0),L66,AVERAGEIF(Data!T$34:T$45,"&gt;0",Data!T$34:T$45)))),1)</f>
        <v>0</v>
      </c>
      <c r="AI66" s="227">
        <f>1-IFERROR(IF(AND($H$58=1,M66=""),1,IF(AND($H$58=1,M66=0),0,IF(AND($H$58=1,M66&gt;0),M66,AVERAGEIF(Data!T$46:T$57,"&lt;&gt;",Data!T$46:T$57)))),1)</f>
        <v>0</v>
      </c>
      <c r="AJ66" s="9"/>
      <c r="AK66" s="9"/>
      <c r="AL66" s="223" t="str">
        <f>IF(intervencao2=0,"Do not fill this line",intervencao2)</f>
        <v>Do not fill this line</v>
      </c>
      <c r="AM66" s="227">
        <f>IFERROR(IF($H$58=1,J66,AVERAGEIF(Data!D$10:D$21,"&gt;0",Data!D$10:D$21)),0)</f>
        <v>0</v>
      </c>
      <c r="AN66" s="227">
        <f>IFERROR(IF($H$58=1,K66,AVERAGEIF(Data!D$22:D$33,"&gt;0",Data!D$22:D$33)),0)</f>
        <v>0</v>
      </c>
      <c r="AO66" s="227">
        <f>IFERROR(IF($H$58=1,L66,AVERAGEIF(Data!D$34:D$45,"&gt;0",Data!D$34:D$45)),0)</f>
        <v>0</v>
      </c>
      <c r="AP66" s="227">
        <f>IFERROR(IF($H$58=1,M66,AVERAGEIF(Data!D$46:D$57,"&gt;0",Data!D$46:D$57)),0)</f>
        <v>0</v>
      </c>
      <c r="AQ66" s="9"/>
    </row>
    <row r="67" spans="3:43">
      <c r="C67" s="300" t="str">
        <f>IF(intervencao3=0,"Do not fill this line",intervencao3)</f>
        <v>Do not fill this line</v>
      </c>
      <c r="D67" s="461"/>
      <c r="E67" s="462"/>
      <c r="F67" s="7"/>
      <c r="G67" s="7"/>
      <c r="H67" s="470" t="str">
        <f>IF(intervencao3=0,"Do not fill this line",intervencao3)</f>
        <v>Do not fill this line</v>
      </c>
      <c r="I67" s="470"/>
      <c r="J67" s="230"/>
      <c r="K67" s="230"/>
      <c r="L67" s="230"/>
      <c r="M67" s="230"/>
      <c r="N67" s="7"/>
      <c r="O67" s="7"/>
      <c r="P67" s="7"/>
      <c r="Q67" s="223" t="str">
        <f>IF(intervencao3=0,"Do not fill this line",intervencao3)</f>
        <v>Do not fill this line</v>
      </c>
      <c r="R67" s="227">
        <f t="shared" si="0"/>
        <v>0</v>
      </c>
      <c r="S67" s="227">
        <f t="shared" si="0"/>
        <v>0</v>
      </c>
      <c r="T67" s="227">
        <f t="shared" si="0"/>
        <v>0</v>
      </c>
      <c r="U67" s="227">
        <f t="shared" si="0"/>
        <v>0</v>
      </c>
      <c r="V67" s="11">
        <f t="shared" si="1"/>
        <v>0</v>
      </c>
      <c r="W67" s="7"/>
      <c r="X67" s="223" t="str">
        <f>IF(intervencao3=0,"Do not fill this line",intervencao3)</f>
        <v>Do not fill this line</v>
      </c>
      <c r="Y67" s="301" t="e">
        <f>1-AVERAGEIF(Data!AM$10:AM$21,"&gt;0",Data!AM$10:AM$21)</f>
        <v>#DIV/0!</v>
      </c>
      <c r="Z67" s="227" t="e">
        <f>1-AVERAGEIF(Data!AM$22:AM$33,"&gt;0",Data!AM$22:AM$33)</f>
        <v>#DIV/0!</v>
      </c>
      <c r="AA67" s="227" t="e">
        <f>1-AVERAGEIF(Data!AM$34:AM$45,"&gt;0",Data!AM$34:AM$45)</f>
        <v>#DIV/0!</v>
      </c>
      <c r="AB67" s="227" t="e">
        <f>1-AVERAGEIF(Data!AM$46:AM$57,"&gt;0",Data!AM$46:AM$57)</f>
        <v>#DIV/0!</v>
      </c>
      <c r="AC67" s="11"/>
      <c r="AD67" s="9"/>
      <c r="AE67" s="223" t="str">
        <f>IF(intervencao3=0,"Do not fill this line",intervencao3)</f>
        <v>Do not fill this line</v>
      </c>
      <c r="AF67" s="227">
        <f>1-IFERROR(IF(AND($H$58=1,J67=""),1,IF(AND($H$58=1,J67=0),0,IF(AND($H$58=1,J67&gt;0),J67,AVERAGEIF(Data!U$10:U$21,"&gt;0",Data!U$10:U$21)))),1)</f>
        <v>0</v>
      </c>
      <c r="AG67" s="227">
        <f>1-IFERROR(IF(AND($H$58=1,K67=""),1,IF(AND($H$58=1,K67=0),0,IF(AND($H$58=1,K67&gt;0),K67,AVERAGEIF(Data!U$22:U$33,"&gt;0",Data!U$22:U$33)))),1)</f>
        <v>0</v>
      </c>
      <c r="AH67" s="227">
        <f>1-IFERROR(IF(AND($H$58=1,L67=""),1,IF(AND($H$58=1,L67=0),0,IF(AND($H$58=1,L67&gt;0),L67,AVERAGEIF(Data!U$34:U$45,"&gt;0",Data!U$34:U$45)))),1)</f>
        <v>0</v>
      </c>
      <c r="AI67" s="227">
        <f>1-IFERROR(IF(AND($H$58=1,M67=""),1,IF(AND($H$58=1,M67=0),0,IF(AND($H$58=1,M67&gt;0),M67,AVERAGEIF(Data!U$46:U$57,"&gt;0",Data!U$46:U$57)))),1)</f>
        <v>0</v>
      </c>
      <c r="AJ67" s="9"/>
      <c r="AK67" s="9"/>
      <c r="AL67" s="223" t="str">
        <f>IF(intervencao3=0,"Do not fill this line",intervencao3)</f>
        <v>Do not fill this line</v>
      </c>
      <c r="AM67" s="227">
        <f>IFERROR(IF($H$58=1,J67,AVERAGEIF(Data!E$10:E$21,"&gt;0",Data!E$10:E$21)),0)</f>
        <v>0</v>
      </c>
      <c r="AN67" s="227">
        <f>IFERROR(IF($H$58=1,K67,AVERAGEIF(Data!E$22:E$33,"&gt;0",Data!E$22:E$33)),0)</f>
        <v>0</v>
      </c>
      <c r="AO67" s="227">
        <f>IFERROR(IF($H$58=1,L67,AVERAGEIF(Data!E$34:E$45,"&gt;0",Data!E$34:E$45)),0)</f>
        <v>0</v>
      </c>
      <c r="AP67" s="227">
        <f>IFERROR(IF($H$58=1,M67,AVERAGEIF(Data!E$46:E$57,"&gt;0",Data!E$46:E$57)),0)</f>
        <v>0</v>
      </c>
      <c r="AQ67" s="9"/>
    </row>
    <row r="68" spans="3:43">
      <c r="C68" s="300" t="str">
        <f>IF(intervencao4=0,"Do not fill this line",intervencao4)</f>
        <v>Do not fill this line</v>
      </c>
      <c r="D68" s="461"/>
      <c r="E68" s="462"/>
      <c r="F68" s="7"/>
      <c r="G68" s="7"/>
      <c r="H68" s="470" t="str">
        <f>IF(intervencao4=0,"Do not fill this line",intervencao4)</f>
        <v>Do not fill this line</v>
      </c>
      <c r="I68" s="470"/>
      <c r="J68" s="309"/>
      <c r="K68" s="309"/>
      <c r="L68" s="309"/>
      <c r="M68" s="309"/>
      <c r="N68" s="7"/>
      <c r="O68" s="7"/>
      <c r="P68" s="7"/>
      <c r="Q68" s="223" t="str">
        <f>IF(intervencao4=0,"Do not fill this line",intervencao4)</f>
        <v>Do not fill this line</v>
      </c>
      <c r="R68" s="227">
        <f t="shared" si="0"/>
        <v>0</v>
      </c>
      <c r="S68" s="227">
        <f t="shared" si="0"/>
        <v>0</v>
      </c>
      <c r="T68" s="227">
        <f t="shared" si="0"/>
        <v>0</v>
      </c>
      <c r="U68" s="227">
        <f t="shared" si="0"/>
        <v>0</v>
      </c>
      <c r="V68" s="11">
        <f t="shared" si="1"/>
        <v>0</v>
      </c>
      <c r="W68" s="7"/>
      <c r="X68" s="223" t="str">
        <f>IF(intervencao4=0,"Do not fill this line",intervencao4)</f>
        <v>Do not fill this line</v>
      </c>
      <c r="Y68" s="301" t="e">
        <f>1-AVERAGEIF(Data!AN$10:AN$21,"&gt;0",Data!AN$10:AN$21)</f>
        <v>#DIV/0!</v>
      </c>
      <c r="Z68" s="227" t="e">
        <f>1-AVERAGEIF(Data!AN$22:AN$33,"&gt;0",Data!AN$22:AN$33)</f>
        <v>#DIV/0!</v>
      </c>
      <c r="AA68" s="227" t="e">
        <f>1-AVERAGEIF(Data!AN$34:AN$45,"&gt;0",Data!AN$34:AN$45)</f>
        <v>#DIV/0!</v>
      </c>
      <c r="AB68" s="227" t="e">
        <f>1-AVERAGEIF(Data!AN$46:AN$57,"&gt;0",Data!AN$46:AN$57)</f>
        <v>#DIV/0!</v>
      </c>
      <c r="AC68" s="11"/>
      <c r="AD68" s="9"/>
      <c r="AE68" s="223" t="str">
        <f>IF(intervencao4=0,"Do not fill this line",intervencao4)</f>
        <v>Do not fill this line</v>
      </c>
      <c r="AF68" s="227">
        <f>1-IFERROR(IF(AND($H$58=1,J68=""),1,IF(AND($H$58=1,J68=0),0,IF(AND($H$58=1,J68&gt;0),J68,AVERAGEIF(Data!V$10:V$21,"&gt;0",Data!V$10:V$21)))),1)</f>
        <v>0</v>
      </c>
      <c r="AG68" s="227">
        <f>1-IFERROR(IF(AND($H$58=1,K68=""),1,IF(AND($H$58=1,K68=0),0,IF(AND($H$58=1,K68&gt;0),K68,AVERAGEIF(Data!V$22:V$33,"&gt;0",Data!V$22:V$33)))),1)</f>
        <v>0</v>
      </c>
      <c r="AH68" s="227">
        <f>1-IFERROR(IF(AND($H$58=1,L68=""),1,IF(AND($H$58=1,L68=0),0,IF(AND($H$58=1,L68&gt;0),L68,AVERAGEIF(Data!V$34:V$45,"&gt;0",Data!V$34:V$45)))),1)</f>
        <v>0</v>
      </c>
      <c r="AI68" s="227">
        <f>1-IFERROR(IF(AND($H$58=1,M68=""),1,IF(AND($H$58=1,M68=0),0,IF(AND($H$58=1,M68&gt;0),M68,AVERAGEIF(Data!V$46:V$57,"&gt;0",Data!V$46:V$57)))),1)</f>
        <v>0</v>
      </c>
      <c r="AJ68" s="9"/>
      <c r="AK68" s="9"/>
      <c r="AL68" s="223" t="str">
        <f>IF(intervencao4=0,"Do not fill this line",intervencao4)</f>
        <v>Do not fill this line</v>
      </c>
      <c r="AM68" s="227">
        <f>IFERROR(IF($H$58=1,J68,AVERAGEIF(Data!F$10:F$21,"&gt;0",Data!F$10:F$21)),0)</f>
        <v>0</v>
      </c>
      <c r="AN68" s="227">
        <f>IFERROR(IF($H$58=1,K68,AVERAGEIF(Data!F$22:F$33,"&gt;0",Data!F$22:F$33)),0)</f>
        <v>0</v>
      </c>
      <c r="AO68" s="227">
        <f>IFERROR(IF($H$58=1,L68,AVERAGEIF(Data!F$34:F$45,"&gt;0",Data!F$34:F$45)),0)</f>
        <v>0</v>
      </c>
      <c r="AP68" s="227">
        <f>IFERROR(IF($H$58=1,M68,AVERAGEIF(Data!F$46:F$57,"&gt;0",Data!F$46:F$57)),0)</f>
        <v>0</v>
      </c>
      <c r="AQ68" s="9"/>
    </row>
    <row r="69" spans="3:43">
      <c r="C69" s="294" t="str">
        <f>IF(uso=1,"Enter the average time of use",IF(uso=4,"Enter "&amp;E54,"Do not fill in this table"))</f>
        <v>Do not fill in this table</v>
      </c>
      <c r="D69" s="471" t="s">
        <v>278</v>
      </c>
      <c r="E69" s="472"/>
      <c r="F69" s="7"/>
      <c r="G69" s="7"/>
      <c r="H69" s="459" t="str">
        <f>H63</f>
        <v>Enter the discontinuation rate</v>
      </c>
      <c r="I69" s="467"/>
      <c r="J69" s="483" t="s">
        <v>279</v>
      </c>
      <c r="K69" s="484"/>
      <c r="L69" s="484"/>
      <c r="M69" s="485"/>
      <c r="N69" s="7"/>
      <c r="O69" s="7"/>
      <c r="P69" s="7"/>
      <c r="Q69" s="302" t="str">
        <f>Q63</f>
        <v>Do not fill in this table</v>
      </c>
      <c r="R69" s="303"/>
      <c r="S69" s="304"/>
      <c r="T69" s="304"/>
      <c r="U69" s="304"/>
      <c r="V69" s="11"/>
      <c r="W69" s="7"/>
      <c r="X69" s="302" t="str">
        <f>X63</f>
        <v>Do not fill in this table</v>
      </c>
      <c r="Y69" s="303"/>
      <c r="Z69" s="304"/>
      <c r="AA69" s="304"/>
      <c r="AB69" s="304"/>
      <c r="AC69" s="11"/>
      <c r="AD69" s="9"/>
      <c r="AE69" s="302" t="str">
        <f>AE63</f>
        <v>Do not fill in this table</v>
      </c>
      <c r="AF69" s="303"/>
      <c r="AG69" s="304"/>
      <c r="AH69" s="304"/>
      <c r="AI69" s="304"/>
      <c r="AJ69" s="9"/>
      <c r="AK69" s="9"/>
      <c r="AL69" s="302" t="s">
        <v>276</v>
      </c>
      <c r="AM69" s="303"/>
      <c r="AN69" s="304"/>
      <c r="AO69" s="304"/>
      <c r="AP69" s="304"/>
      <c r="AQ69" s="9"/>
    </row>
    <row r="70" spans="3:43">
      <c r="C70" s="300" t="str">
        <f>IF(comparador1=0,"Do not fill this line",comparador1)</f>
        <v>Oral contraceptive</v>
      </c>
      <c r="D70" s="461"/>
      <c r="E70" s="462"/>
      <c r="F70" s="7"/>
      <c r="G70" s="7"/>
      <c r="H70" s="470" t="str">
        <f>IF(comparador1=0,"Do not fill this line",comparador1)</f>
        <v>Oral contraceptive</v>
      </c>
      <c r="I70" s="470"/>
      <c r="J70" s="310"/>
      <c r="K70" s="310"/>
      <c r="L70" s="310"/>
      <c r="M70" s="310"/>
      <c r="N70" s="7"/>
      <c r="O70" s="7"/>
      <c r="P70" s="7"/>
      <c r="Q70" s="227" t="str">
        <f>IF(comparador1=0,"Do not fill this line",comparador1)</f>
        <v>Oral contraceptive</v>
      </c>
      <c r="R70" s="227">
        <f t="shared" ref="R70:R79" si="2">IFERROR(IF(AND(descontinua=1,OR(uso=1,uso=4)),Y70,IF(AND(descontinua=1,uso=2),AM70,IF(AND(descontinua=1,uso=3),AF70,0))),0)</f>
        <v>0</v>
      </c>
      <c r="S70" s="227">
        <f t="shared" ref="S70:S79" si="3">IFERROR(IF(AND(descontinua=1,OR(uso=1,uso=4)),Z70,IF(AND(descontinua=1,uso=2),AN70,IF(AND(descontinua=1,uso=3),AG70,0))),0)</f>
        <v>0</v>
      </c>
      <c r="T70" s="227">
        <f t="shared" ref="T70:T79" si="4">IFERROR(IF(AND(descontinua=1,OR(uso=1,uso=4)),AA70,IF(AND(descontinua=1,uso=2),AO70,IF(AND(descontinua=1,uso=3),AH70,0))),0)</f>
        <v>0</v>
      </c>
      <c r="U70" s="227">
        <f t="shared" ref="U70:U79" si="5">IFERROR(IF(AND(descontinua=1,OR(uso=1,uso=4)),AB70,IF(AND(descontinua=1,uso=2),AP70,IF(AND(descontinua=1,uso=3),AI70,0))),0)</f>
        <v>0</v>
      </c>
      <c r="V70" s="11">
        <f t="shared" si="1"/>
        <v>0</v>
      </c>
      <c r="W70" s="7"/>
      <c r="X70" s="223" t="str">
        <f>IF(comparador1=0,"Do not fill this line",comparador1)</f>
        <v>Oral contraceptive</v>
      </c>
      <c r="Y70" s="227" t="e">
        <f>1-AVERAGEIF(Data!AO$10:AO$21,"&gt;0",Data!AO$10:AO$21)</f>
        <v>#DIV/0!</v>
      </c>
      <c r="Z70" s="227" t="e">
        <f>1-AVERAGEIF(Data!AO$22:AO$33,"&gt;0",Data!AO$22:AO$33)</f>
        <v>#DIV/0!</v>
      </c>
      <c r="AA70" s="227" t="e">
        <f>1-AVERAGEIF(Data!AO$34:AO$45,"&gt;0",Data!AO$34:AO$45)</f>
        <v>#DIV/0!</v>
      </c>
      <c r="AB70" s="227" t="e">
        <f>1-AVERAGEIF(Data!AO$46:AO$57,"&gt;0",Data!AO$46:AO$57)</f>
        <v>#DIV/0!</v>
      </c>
      <c r="AC70" s="11"/>
      <c r="AD70" s="9"/>
      <c r="AE70" s="223" t="str">
        <f>IF(comparador1=0,"Do not fill this line",comparador1)</f>
        <v>Oral contraceptive</v>
      </c>
      <c r="AF70" s="227">
        <f>1-IFERROR(IF(AND($H$58=1,J70=""),1,IF(AND($H$58=1,J70=0),0,IF(AND($H$58=1,J70&gt;0),J70,AVERAGEIF(Data!W$10:W$21,"&gt;0",Data!W$10:W$21)))),1)</f>
        <v>0</v>
      </c>
      <c r="AG70" s="227">
        <f>1-IFERROR(IF(AND($H$58=1,K70=""),1,IF(AND($H$58=1,K70=0),0,IF(AND($H$58=1,K70&gt;0),K70,AVERAGEIF(Data!W$22:W$33,"&gt;0",Data!W$22:W$33)))),1)</f>
        <v>0</v>
      </c>
      <c r="AH70" s="227">
        <f>1-IFERROR(IF(AND($H$58=1,L70=""),1,IF(AND($H$58=1,L70=0),0,IF(AND($H$58=1,L70&gt;0),L70,AVERAGEIF(Data!W$34:W$45,"&gt;0",Data!W$34:W$45)))),1)</f>
        <v>0</v>
      </c>
      <c r="AI70" s="227">
        <f>1-IFERROR(IF(AND($H$58=1,M70=""),1,IF(AND($H$58=1,M70=0),0,IF(AND($H$58=1,M70&gt;0),M70,AVERAGEIF(Data!W$46:W$57,"&gt;0",Data!W$46:W$57)))),1)</f>
        <v>0</v>
      </c>
      <c r="AJ70" s="9"/>
      <c r="AK70" s="9"/>
      <c r="AL70" s="223" t="str">
        <f>IF(comparador1=0,"Do not fill this line",comparador1)</f>
        <v>Oral contraceptive</v>
      </c>
      <c r="AM70" s="227">
        <f>IFERROR(IF($H$58=1,J70,AVERAGEIF(Data!G$10:G$21,"&gt;0",Data!G$10:G$21)),0)</f>
        <v>0</v>
      </c>
      <c r="AN70" s="227">
        <f>IFERROR(IF($H$58=1,K70,AVERAGEIF(Data!G$22:G$33,"&gt;0",Data!G$22:G$33)),0)</f>
        <v>0</v>
      </c>
      <c r="AO70" s="227">
        <f>IFERROR(IF($H$58=1,L70,AVERAGEIF(Data!G$34:G$45,"&gt;0",Data!G$34:G$45)),0)</f>
        <v>0</v>
      </c>
      <c r="AP70" s="227">
        <f>IFERROR(IF($H$58=1,M70,AVERAGEIF(Data!G$46:G$57,"&gt;0",Data!G$46:G$57)),0)</f>
        <v>0</v>
      </c>
      <c r="AQ70" s="9"/>
    </row>
    <row r="71" spans="3:43">
      <c r="C71" s="300" t="str">
        <f>IF(comparador2=0,"Do not fill this line",comparador2)</f>
        <v>Do not fill this line</v>
      </c>
      <c r="D71" s="461"/>
      <c r="E71" s="462"/>
      <c r="F71" s="7"/>
      <c r="G71" s="7"/>
      <c r="H71" s="470" t="str">
        <f>IF(comparador2=0,"Do not fill this line",comparador2)</f>
        <v>Do not fill this line</v>
      </c>
      <c r="I71" s="470"/>
      <c r="J71" s="230"/>
      <c r="K71" s="230"/>
      <c r="L71" s="230"/>
      <c r="M71" s="230"/>
      <c r="N71" s="7"/>
      <c r="O71" s="7"/>
      <c r="P71" s="7"/>
      <c r="Q71" s="227" t="str">
        <f>IF(comparador2=0,"Do not fill this line",comparador2)</f>
        <v>Do not fill this line</v>
      </c>
      <c r="R71" s="227">
        <f t="shared" si="2"/>
        <v>0</v>
      </c>
      <c r="S71" s="227">
        <f t="shared" si="3"/>
        <v>0</v>
      </c>
      <c r="T71" s="227">
        <f t="shared" si="4"/>
        <v>0</v>
      </c>
      <c r="U71" s="227">
        <f t="shared" si="5"/>
        <v>0</v>
      </c>
      <c r="V71" s="11">
        <f t="shared" si="1"/>
        <v>0</v>
      </c>
      <c r="W71" s="7"/>
      <c r="X71" s="223" t="str">
        <f>IF(comparador2=0,"Do not fill this line",comparador2)</f>
        <v>Do not fill this line</v>
      </c>
      <c r="Y71" s="227" t="e">
        <f>1-AVERAGEIF(Data!AP$10:AP$21,"&gt;0",Data!AP$10:AP$21)</f>
        <v>#DIV/0!</v>
      </c>
      <c r="Z71" s="227" t="e">
        <f>1-AVERAGEIF(Data!AP$22:AP$33,"&gt;0",Data!AP$22:AP$33)</f>
        <v>#DIV/0!</v>
      </c>
      <c r="AA71" s="227" t="e">
        <f>1-AVERAGEIF(Data!AP$34:AP$45,"&gt;0",Data!AP$34:AP$45)</f>
        <v>#DIV/0!</v>
      </c>
      <c r="AB71" s="227" t="e">
        <f>1-AVERAGEIF(Data!AP$46:AP$57,"&gt;0",Data!AP$46:AP$57)</f>
        <v>#DIV/0!</v>
      </c>
      <c r="AC71" s="11"/>
      <c r="AD71" s="9"/>
      <c r="AE71" s="223" t="str">
        <f>IF(comparador2=0,"Do not fill this line",comparador2)</f>
        <v>Do not fill this line</v>
      </c>
      <c r="AF71" s="227">
        <f>1-IFERROR(IF(AND($H$58=1,J71=""),1,IF(AND($H$58=1,J71=0),0,IF(AND($H$58=1,J71&gt;0),J71,AVERAGEIF(Data!X$10:X$21,"&gt;0",Data!X$10:X$21)))),1)</f>
        <v>0</v>
      </c>
      <c r="AG71" s="227">
        <f>1-IFERROR(IF(AND($H$58=1,K71=""),1,IF(AND($H$58=1,K71=0),0,IF(AND($H$58=1,K71&gt;0),K71,AVERAGEIF(Data!X$22:X$33,"&gt;0",Data!X$22:X$33)))),1)</f>
        <v>0</v>
      </c>
      <c r="AH71" s="227">
        <f>1-IFERROR(IF(AND($H$58=1,L71=""),1,IF(AND($H$58=1,L71=0),0,IF(AND($H$58=1,L71&gt;0),L71,AVERAGEIF(Data!X$34:X$45,"&gt;0",Data!X$34:X$45)))),1)</f>
        <v>0</v>
      </c>
      <c r="AI71" s="227">
        <f>1-IFERROR(IF(AND($H$58=1,M71=""),1,IF(AND($H$58=1,M71=0),0,IF(AND($H$58=1,M71&gt;0),M71,AVERAGEIF(Data!X$46:X$57,"&gt;0",Data!X$46:X$57)))),1)</f>
        <v>0</v>
      </c>
      <c r="AJ71" s="9"/>
      <c r="AK71" s="9"/>
      <c r="AL71" s="223" t="str">
        <f>IF(comparador2=0,"Do not fill this line",comparador2)</f>
        <v>Do not fill this line</v>
      </c>
      <c r="AM71" s="227">
        <f>IFERROR(IF($H$58=1,J71,AVERAGEIF(Data!H$10:H$21,"&gt;0",Data!H$10:H$21)),0)</f>
        <v>0</v>
      </c>
      <c r="AN71" s="227">
        <f>IFERROR(IF($H$58=1,K71,AVERAGEIF(Data!H$22:H$33,"&gt;0",Data!H$22:H$33)),0)</f>
        <v>0</v>
      </c>
      <c r="AO71" s="227">
        <f>IFERROR(IF($H$58=1,L71,AVERAGEIF(Data!H$34:H$45,"&gt;0",Data!H$34:H$45)),0)</f>
        <v>0</v>
      </c>
      <c r="AP71" s="227">
        <f>IFERROR(IF($H$58=1,M71,AVERAGEIF(Data!H$46:H$57,"&gt;0",Data!H$46:H$57)),0)</f>
        <v>0</v>
      </c>
      <c r="AQ71" s="9"/>
    </row>
    <row r="72" spans="3:43">
      <c r="C72" s="300" t="str">
        <f>IF(comparador3=0,"Do not fill this line",comparador3)</f>
        <v>Do not fill this line</v>
      </c>
      <c r="D72" s="461"/>
      <c r="E72" s="462"/>
      <c r="F72" s="7"/>
      <c r="G72" s="7"/>
      <c r="H72" s="470" t="str">
        <f>IF(comparador3=0,"Do not fill this line",comparador3)</f>
        <v>Do not fill this line</v>
      </c>
      <c r="I72" s="470"/>
      <c r="J72" s="230"/>
      <c r="K72" s="230"/>
      <c r="L72" s="230"/>
      <c r="M72" s="230"/>
      <c r="N72" s="7"/>
      <c r="O72" s="7"/>
      <c r="P72" s="7"/>
      <c r="Q72" s="227" t="str">
        <f>IF(comparador3=0,"Do not fill this line",comparador3)</f>
        <v>Do not fill this line</v>
      </c>
      <c r="R72" s="227">
        <f t="shared" si="2"/>
        <v>0</v>
      </c>
      <c r="S72" s="227">
        <f t="shared" si="3"/>
        <v>0</v>
      </c>
      <c r="T72" s="227">
        <f t="shared" si="4"/>
        <v>0</v>
      </c>
      <c r="U72" s="227">
        <f t="shared" si="5"/>
        <v>0</v>
      </c>
      <c r="V72" s="11">
        <f t="shared" si="1"/>
        <v>0</v>
      </c>
      <c r="W72" s="7"/>
      <c r="X72" s="223" t="str">
        <f>IF(comparador3=0,"Do not fill this line",comparador3)</f>
        <v>Do not fill this line</v>
      </c>
      <c r="Y72" s="227" t="e">
        <f>1-AVERAGEIF(Data!AQ$10:AQ$21,"&gt;0",Data!AQ$10:AQ$21)</f>
        <v>#DIV/0!</v>
      </c>
      <c r="Z72" s="227" t="e">
        <f>1-AVERAGEIF(Data!AQ$22:AQ$33,"&gt;0",Data!AQ$22:AQ$33)</f>
        <v>#DIV/0!</v>
      </c>
      <c r="AA72" s="227" t="e">
        <f>1-AVERAGEIF(Data!AQ$34:AQ$45,"&gt;0",Data!AQ$34:AQ$45)</f>
        <v>#DIV/0!</v>
      </c>
      <c r="AB72" s="227" t="e">
        <f>1-AVERAGEIF(Data!AQ$46:AQ$57,"&gt;0",Data!AQ$46:AQ$57)</f>
        <v>#DIV/0!</v>
      </c>
      <c r="AC72" s="11"/>
      <c r="AD72" s="9"/>
      <c r="AE72" s="223" t="str">
        <f>IF(comparador3=0,"Do not fill this line",comparador3)</f>
        <v>Do not fill this line</v>
      </c>
      <c r="AF72" s="227">
        <f>1-IFERROR(IF(AND($H$58=1,J72=""),1,IF(AND($H$58=1,J72=0),0,IF(AND($H$58=1,J72&gt;0),J72,AVERAGEIF(Data!Y$10:Y$21,"&gt;0",Data!Y$10:Y$21)))),1)</f>
        <v>0</v>
      </c>
      <c r="AG72" s="227">
        <f>1-IFERROR(IF(AND($H$58=1,K72=""),1,IF(AND($H$58=1,K72=0),0,IF(AND($H$58=1,K72&gt;0),K72,AVERAGEIF(Data!Y$22:Y$33,"&gt;0",Data!Y$22:Y$33)))),1)</f>
        <v>0</v>
      </c>
      <c r="AH72" s="227">
        <f>1-IFERROR(IF(AND($H$58=1,L72=""),1,IF(AND($H$58=1,L72=0),0,IF(AND($H$58=1,L72&gt;0),L72,AVERAGEIF(Data!Y$34:Y$45,"&gt;0",Data!Y$34:Y$45)))),1)</f>
        <v>0</v>
      </c>
      <c r="AI72" s="227">
        <f>1-IFERROR(IF(AND($H$58=1,M72=""),1,IF(AND($H$58=1,M72=0),0,IF(AND($H$58=1,M72&gt;0),M72,AVERAGEIF(Data!Y$46:Y$57,"&gt;0",Data!Y$46:Y$57)))),1)</f>
        <v>0</v>
      </c>
      <c r="AJ72" s="9"/>
      <c r="AK72" s="9"/>
      <c r="AL72" s="223" t="str">
        <f>IF(comparador3=0,"Do not fill this line",comparador3)</f>
        <v>Do not fill this line</v>
      </c>
      <c r="AM72" s="227">
        <f>IFERROR(IF($H$58=1,J72,AVERAGEIF(Data!I$10:I$21,"&gt;0",Data!I$10:I$21)),0)</f>
        <v>0</v>
      </c>
      <c r="AN72" s="227">
        <f>IFERROR(IF($H$58=1,K72,AVERAGEIF(Data!I$22:I$33,"&gt;0",Data!I$22:I$33)),0)</f>
        <v>0</v>
      </c>
      <c r="AO72" s="227">
        <f>IFERROR(IF($H$58=1,L72,AVERAGEIF(Data!I$34:I$45,"&gt;0",Data!I$34:I$45)),0)</f>
        <v>0</v>
      </c>
      <c r="AP72" s="227">
        <f>IFERROR(IF($H$58=1,M72,AVERAGEIF(Data!I$46:I$57,"&gt;0",Data!I$46:I$57)),0)</f>
        <v>0</v>
      </c>
      <c r="AQ72" s="9"/>
    </row>
    <row r="73" spans="3:43">
      <c r="C73" s="300" t="str">
        <f>IF(comparador4=0,"Do not fill this line",comparador4)</f>
        <v>Do not fill this line</v>
      </c>
      <c r="D73" s="461"/>
      <c r="E73" s="462"/>
      <c r="F73" s="7"/>
      <c r="G73" s="7"/>
      <c r="H73" s="470" t="str">
        <f>IF(comparador4=0,"Do not fill this line",comparador4)</f>
        <v>Do not fill this line</v>
      </c>
      <c r="I73" s="470"/>
      <c r="J73" s="230"/>
      <c r="K73" s="230"/>
      <c r="L73" s="230"/>
      <c r="M73" s="230"/>
      <c r="N73" s="7"/>
      <c r="O73" s="7"/>
      <c r="P73" s="7"/>
      <c r="Q73" s="227" t="str">
        <f>IF(comparador4=0,"Do not fill this line",comparador4)</f>
        <v>Do not fill this line</v>
      </c>
      <c r="R73" s="227">
        <f t="shared" si="2"/>
        <v>0</v>
      </c>
      <c r="S73" s="227">
        <f t="shared" si="3"/>
        <v>0</v>
      </c>
      <c r="T73" s="227">
        <f t="shared" si="4"/>
        <v>0</v>
      </c>
      <c r="U73" s="227">
        <f t="shared" si="5"/>
        <v>0</v>
      </c>
      <c r="V73" s="11">
        <f t="shared" si="1"/>
        <v>0</v>
      </c>
      <c r="W73" s="7"/>
      <c r="X73" s="223" t="str">
        <f>IF(comparador4=0,"Do not fill this line",comparador4)</f>
        <v>Do not fill this line</v>
      </c>
      <c r="Y73" s="227" t="e">
        <f>1-AVERAGEIF(Data!AR$10:AR$21,"&gt;0",Data!AR$10:AR$21)</f>
        <v>#DIV/0!</v>
      </c>
      <c r="Z73" s="227" t="e">
        <f>1-AVERAGEIF(Data!AR$22:AR$33,"&gt;0",Data!AR$22:AR$33)</f>
        <v>#DIV/0!</v>
      </c>
      <c r="AA73" s="227" t="e">
        <f>1-AVERAGEIF(Data!AR$34:AR$45,"&gt;0",Data!AR$34:AR$45)</f>
        <v>#DIV/0!</v>
      </c>
      <c r="AB73" s="227" t="e">
        <f>1-AVERAGEIF(Data!AR$46:AR$57,"&gt;0",Data!AR$46:AR$57)</f>
        <v>#DIV/0!</v>
      </c>
      <c r="AC73" s="11"/>
      <c r="AD73" s="9"/>
      <c r="AE73" s="223" t="str">
        <f>IF(comparador4=0,"Do not fill this line",comparador4)</f>
        <v>Do not fill this line</v>
      </c>
      <c r="AF73" s="227">
        <f>1-IFERROR(IF(AND($H$58=1,J73=""),1,IF(AND($H$58=1,J73=0),0,IF(AND($H$58=1,J73&gt;0),J73,AVERAGEIF(Data!Z$10:Z$21,"&gt;0",Data!Z$10:Z$21)))),1)</f>
        <v>0</v>
      </c>
      <c r="AG73" s="227">
        <f>1-IFERROR(IF(AND($H$58=1,K73=""),1,IF(AND($H$58=1,K73=0),0,IF(AND($H$58=1,K73&gt;0),K73,AVERAGEIF(Data!Z$22:Z$33,"&gt;0",Data!Z$22:Z$33)))),1)</f>
        <v>0</v>
      </c>
      <c r="AH73" s="227">
        <f>1-IFERROR(IF(AND($H$58=1,L73=""),1,IF(AND($H$58=1,L73=0),0,IF(AND($H$58=1,L73&gt;0),L73,AVERAGEIF(Data!Z$34:Z$45,"&gt;0",Data!Z$34:Z$45)))),1)</f>
        <v>0</v>
      </c>
      <c r="AI73" s="227">
        <f>1-IFERROR(IF(AND($H$58=1,M73=""),1,IF(AND($H$58=1,M73=0),0,IF(AND($H$58=1,M73&gt;0),M73,AVERAGEIF(Data!Z$46:Z$57,"&gt;0",Data!Z$46:Z$57)))),1)</f>
        <v>0</v>
      </c>
      <c r="AJ73" s="9"/>
      <c r="AK73" s="9"/>
      <c r="AL73" s="223" t="str">
        <f>IF(comparador4=0,"Do not fill this line",comparador4)</f>
        <v>Do not fill this line</v>
      </c>
      <c r="AM73" s="227">
        <f>IFERROR(IF($H$58=1,J73,AVERAGEIF(Data!J$10:J$21,"&gt;0",Data!J$10:J$21)),0)</f>
        <v>0</v>
      </c>
      <c r="AN73" s="227">
        <f>IFERROR(IF($H$58=1,K73,AVERAGEIF(Data!J$22:J$33,"&gt;0",Data!J$22:J$33)),0)</f>
        <v>0</v>
      </c>
      <c r="AO73" s="227">
        <f>IFERROR(IF($H$58=1,L73,AVERAGEIF(Data!J$34:J$45,"&gt;0",Data!J$34:J$45)),0)</f>
        <v>0</v>
      </c>
      <c r="AP73" s="227">
        <f>IFERROR(IF($H$58=1,M73,AVERAGEIF(Data!J$46:J$57,"&gt;0",Data!J$46:J$57)),0)</f>
        <v>0</v>
      </c>
      <c r="AQ73" s="9"/>
    </row>
    <row r="74" spans="3:43">
      <c r="C74" s="300" t="str">
        <f>IF(comparador5=0,"Do not fill this line",comparador5)</f>
        <v>Do not fill this line</v>
      </c>
      <c r="D74" s="461"/>
      <c r="E74" s="462"/>
      <c r="F74" s="7"/>
      <c r="G74" s="7"/>
      <c r="H74" s="470" t="str">
        <f>IF(comparador5=0,"Do not fill this line",comparador5)</f>
        <v>Do not fill this line</v>
      </c>
      <c r="I74" s="470"/>
      <c r="J74" s="230"/>
      <c r="K74" s="230"/>
      <c r="L74" s="230"/>
      <c r="M74" s="230"/>
      <c r="N74" s="7"/>
      <c r="O74" s="7"/>
      <c r="P74" s="7"/>
      <c r="Q74" s="227" t="str">
        <f>IF(comparador5=0,"Do not fill this line",comparador5)</f>
        <v>Do not fill this line</v>
      </c>
      <c r="R74" s="227">
        <f t="shared" si="2"/>
        <v>0</v>
      </c>
      <c r="S74" s="227">
        <f t="shared" si="3"/>
        <v>0</v>
      </c>
      <c r="T74" s="227">
        <f t="shared" si="4"/>
        <v>0</v>
      </c>
      <c r="U74" s="227">
        <f t="shared" si="5"/>
        <v>0</v>
      </c>
      <c r="V74" s="11">
        <f t="shared" si="1"/>
        <v>0</v>
      </c>
      <c r="W74" s="7"/>
      <c r="X74" s="223" t="str">
        <f>IF(comparador5=0,"Do not fill this line",comparador5)</f>
        <v>Do not fill this line</v>
      </c>
      <c r="Y74" s="227" t="e">
        <f>1-AVERAGEIF(Data!AS$10:AS$21,"&gt;0",Data!AS$10:AS$21)</f>
        <v>#DIV/0!</v>
      </c>
      <c r="Z74" s="227" t="e">
        <f>1-AVERAGEIF(Data!AS$22:AS$33,"&gt;0",Data!AS$22:AS$33)</f>
        <v>#DIV/0!</v>
      </c>
      <c r="AA74" s="227" t="e">
        <f>1-AVERAGEIF(Data!AS$34:AS$45,"&gt;0",Data!AS$34:AS$45)</f>
        <v>#DIV/0!</v>
      </c>
      <c r="AB74" s="227" t="e">
        <f>1-AVERAGEIF(Data!AS$46:AS$57,"&gt;0",Data!AS$46:AS$57)</f>
        <v>#DIV/0!</v>
      </c>
      <c r="AC74" s="11"/>
      <c r="AD74" s="9"/>
      <c r="AE74" s="223" t="str">
        <f>IF(comparador5=0,"Do not fill this line",comparador5)</f>
        <v>Do not fill this line</v>
      </c>
      <c r="AF74" s="227">
        <f>1-IFERROR(IF(AND($H$58=1,J74=""),1,IF(AND($H$58=1,J74=0),0,IF(AND($H$58=1,J74&gt;0),J74,AVERAGEIF(Data!AA$10:AA$21,"&gt;0",Data!AA$10:AA$21)))),1)</f>
        <v>0</v>
      </c>
      <c r="AG74" s="227">
        <f>1-IFERROR(IF(AND($H$58=1,K74=""),1,IF(AND($H$58=1,K74=0),0,IF(AND($H$58=1,K74&gt;0),K74,AVERAGEIF(Data!AA$22:AA$33,"&gt;0",Data!AA$22:AA$33)))),1)</f>
        <v>0</v>
      </c>
      <c r="AH74" s="227">
        <f>1-IFERROR(IF(AND($H$58=1,L74=""),1,IF(AND($H$58=1,L74=0),0,IF(AND($H$58=1,L74&gt;0),L74,AVERAGEIF(Data!AA$34:AA$45,"&gt;0",Data!AA$34:AA$45)))),1)</f>
        <v>0</v>
      </c>
      <c r="AI74" s="227">
        <f>1-IFERROR(IF(AND($H$58=1,M74=""),1,IF(AND($H$58=1,M74=0),0,IF(AND($H$58=1,M74&gt;0),M74,AVERAGEIF(Data!AA$46:AA$57,"&gt;0",Data!AA$46:AA$57)))),1)</f>
        <v>0</v>
      </c>
      <c r="AJ74" s="9"/>
      <c r="AK74" s="9"/>
      <c r="AL74" s="223" t="str">
        <f>IF(comparador5=0,"Do not fill this line",comparador5)</f>
        <v>Do not fill this line</v>
      </c>
      <c r="AM74" s="227">
        <f>IFERROR(IF($H$58=1,J74,AVERAGEIF(Data!K$10:K$21,"&gt;0",Data!K$10:K$21)),0)</f>
        <v>0</v>
      </c>
      <c r="AN74" s="227">
        <f>IFERROR(IF($H$58=1,K74,AVERAGEIF(Data!K$22:K$33,"&gt;0",Data!K$22:K$33)),0)</f>
        <v>0</v>
      </c>
      <c r="AO74" s="227">
        <f>IFERROR(IF($H$58=1,L74,AVERAGEIF(Data!K$34:K$45,"&gt;0",Data!K$34:K$45)),0)</f>
        <v>0</v>
      </c>
      <c r="AP74" s="227">
        <f>IFERROR(IF($H$58=1,M74,AVERAGEIF(Data!K$46:K$57,"&gt;0",Data!K$46:K$57)),0)</f>
        <v>0</v>
      </c>
      <c r="AQ74" s="9"/>
    </row>
    <row r="75" spans="3:43">
      <c r="C75" s="300" t="str">
        <f>IF(comparador6=0,"Do not fill this line",comparador6)</f>
        <v>Do not fill this line</v>
      </c>
      <c r="D75" s="461"/>
      <c r="E75" s="462"/>
      <c r="F75" s="7"/>
      <c r="G75" s="7"/>
      <c r="H75" s="470" t="str">
        <f>IF(comparador6=0,"Do not fill this line",comparador6)</f>
        <v>Do not fill this line</v>
      </c>
      <c r="I75" s="470"/>
      <c r="J75" s="230"/>
      <c r="K75" s="230"/>
      <c r="L75" s="230"/>
      <c r="M75" s="230"/>
      <c r="N75" s="7"/>
      <c r="O75" s="7"/>
      <c r="P75" s="7"/>
      <c r="Q75" s="227" t="str">
        <f>IF(comparador6=0,"Do not fill this line",comparador6)</f>
        <v>Do not fill this line</v>
      </c>
      <c r="R75" s="227">
        <f t="shared" si="2"/>
        <v>0</v>
      </c>
      <c r="S75" s="227">
        <f t="shared" si="3"/>
        <v>0</v>
      </c>
      <c r="T75" s="227">
        <f t="shared" si="4"/>
        <v>0</v>
      </c>
      <c r="U75" s="227">
        <f t="shared" si="5"/>
        <v>0</v>
      </c>
      <c r="V75" s="11">
        <f t="shared" si="1"/>
        <v>0</v>
      </c>
      <c r="W75" s="7"/>
      <c r="X75" s="223" t="str">
        <f>IF(comparador6=0,"Do not fill this line",comparador6)</f>
        <v>Do not fill this line</v>
      </c>
      <c r="Y75" s="227" t="e">
        <f>1-AVERAGEIF(Data!AT$10:AT$21,"&gt;0",Data!AT$10:AT$21)</f>
        <v>#DIV/0!</v>
      </c>
      <c r="Z75" s="227" t="e">
        <f>1-AVERAGEIF(Data!AT$22:AT$33,"&gt;0",Data!AT$22:AT$33)</f>
        <v>#DIV/0!</v>
      </c>
      <c r="AA75" s="227" t="e">
        <f>1-AVERAGEIF(Data!AT$34:AT$45,"&gt;0",Data!AT$34:AT$45)</f>
        <v>#DIV/0!</v>
      </c>
      <c r="AB75" s="227" t="e">
        <f>1-AVERAGEIF(Data!AT$46:AT$57,"&gt;0",Data!AT$46:AT$57)</f>
        <v>#DIV/0!</v>
      </c>
      <c r="AC75" s="11"/>
      <c r="AD75" s="9"/>
      <c r="AE75" s="223" t="str">
        <f>IF(comparador6=0,"Do not fill this line",comparador6)</f>
        <v>Do not fill this line</v>
      </c>
      <c r="AF75" s="227">
        <f>1-IFERROR(IF(AND($H$58=1,J75=""),1,IF(AND($H$58=1,J75=0),0,IF(AND($H$58=1,J75&gt;0),J75,AVERAGEIF(Data!AB$10:AB$21,"&gt;0",Data!AB$10:AB$21)))),1)</f>
        <v>0</v>
      </c>
      <c r="AG75" s="227">
        <f>1-IFERROR(IF(AND($H$58=1,K75=""),1,IF(AND($H$58=1,K75=0),0,IF(AND($H$58=1,K75&gt;0),K75,AVERAGEIF(Data!AB$22:AB$33,"&gt;0",Data!AB$22:AB$33)))),1)</f>
        <v>0</v>
      </c>
      <c r="AH75" s="227">
        <f>1-IFERROR(IF(AND($H$58=1,L75=""),1,IF(AND($H$58=1,L75=0),0,IF(AND($H$58=1,L75&gt;0),L75,AVERAGEIF(Data!AB$34:AB$45,"&gt;0",Data!AB$34:AB$45)))),1)</f>
        <v>0</v>
      </c>
      <c r="AI75" s="227">
        <f>1-IFERROR(IF(AND($H$58=1,M75=""),1,IF(AND($H$58=1,M75=0),0,IF(AND($H$58=1,M75&gt;0),M75,AVERAGEIF(Data!AB$46:AB$57,"&gt;0",Data!AB$46:AB$57)))),1)</f>
        <v>0</v>
      </c>
      <c r="AJ75" s="9"/>
      <c r="AK75" s="9"/>
      <c r="AL75" s="223" t="str">
        <f>IF(comparador6=0,"Do not fill this line",comparador6)</f>
        <v>Do not fill this line</v>
      </c>
      <c r="AM75" s="227">
        <f>IFERROR(IF($H$58=1,J75,AVERAGEIF(Data!L$10:L$21,"&gt;0",Data!L$10:L$21)),0)</f>
        <v>0</v>
      </c>
      <c r="AN75" s="227">
        <f>IFERROR(IF($H$58=1,K75,AVERAGEIF(Data!L$22:L$33,"&gt;0",Data!L$22:L$33)),0)</f>
        <v>0</v>
      </c>
      <c r="AO75" s="227">
        <f>IFERROR(IF($H$58=1,L75,AVERAGEIF(Data!L$34:L$45,"&gt;0",Data!L$34:L$45)),0)</f>
        <v>0</v>
      </c>
      <c r="AP75" s="227">
        <f>IFERROR(IF($H$58=1,M75,AVERAGEIF(Data!L$46:L$57,"&gt;0",Data!L$46:L$57)),0)</f>
        <v>0</v>
      </c>
      <c r="AQ75" s="9"/>
    </row>
    <row r="76" spans="3:43">
      <c r="C76" s="300" t="str">
        <f>IF(comparador7=0,"Do not fill this line",comparador7)</f>
        <v>Do not fill this line</v>
      </c>
      <c r="D76" s="461"/>
      <c r="E76" s="462"/>
      <c r="F76" s="7"/>
      <c r="G76" s="7"/>
      <c r="H76" s="470" t="str">
        <f>IF(comparador7=0,"Do not fill this line",comparador7)</f>
        <v>Do not fill this line</v>
      </c>
      <c r="I76" s="470"/>
      <c r="J76" s="230"/>
      <c r="K76" s="230"/>
      <c r="L76" s="230"/>
      <c r="M76" s="230"/>
      <c r="N76" s="7"/>
      <c r="O76" s="7"/>
      <c r="P76" s="7"/>
      <c r="Q76" s="227" t="str">
        <f>IF(comparador7=0,"Do not fill this line",comparador7)</f>
        <v>Do not fill this line</v>
      </c>
      <c r="R76" s="227">
        <f t="shared" si="2"/>
        <v>0</v>
      </c>
      <c r="S76" s="227">
        <f t="shared" si="3"/>
        <v>0</v>
      </c>
      <c r="T76" s="227">
        <f t="shared" si="4"/>
        <v>0</v>
      </c>
      <c r="U76" s="227">
        <f t="shared" si="5"/>
        <v>0</v>
      </c>
      <c r="V76" s="11">
        <f t="shared" si="1"/>
        <v>0</v>
      </c>
      <c r="W76" s="7"/>
      <c r="X76" s="223" t="str">
        <f>IF(comparador7=0,"Do not fill this line",comparador7)</f>
        <v>Do not fill this line</v>
      </c>
      <c r="Y76" s="227" t="e">
        <f>1-AVERAGEIF(Data!AU$10:AU$21,"&gt;0",Data!AU$10:AU$21)</f>
        <v>#DIV/0!</v>
      </c>
      <c r="Z76" s="227" t="e">
        <f>1-AVERAGEIF(Data!AU$22:AU$33,"&gt;0",Data!AU$22:AU$33)</f>
        <v>#DIV/0!</v>
      </c>
      <c r="AA76" s="227" t="e">
        <f>1-AVERAGEIF(Data!AU$34:AU$45,"&gt;0",Data!AU$34:AU$45)</f>
        <v>#DIV/0!</v>
      </c>
      <c r="AB76" s="227" t="e">
        <f>1-AVERAGEIF(Data!AU$46:AU$57,"&gt;0",Data!AU$46:AU$57)</f>
        <v>#DIV/0!</v>
      </c>
      <c r="AC76" s="11"/>
      <c r="AD76" s="9"/>
      <c r="AE76" s="223" t="str">
        <f>IF(comparador7=0,"Do not fill this line",comparador7)</f>
        <v>Do not fill this line</v>
      </c>
      <c r="AF76" s="227">
        <f>1-IFERROR(IF(AND($H$58=1,J76=""),1,IF(AND($H$58=1,J76=0),0,IF(AND($H$58=1,J76&gt;0),J76,AVERAGEIF(Data!AC$10:AC$21,"&gt;0",Data!AC$10:AC$21)))),1)</f>
        <v>0</v>
      </c>
      <c r="AG76" s="227">
        <f>1-IFERROR(IF(AND($H$58=1,K76=""),1,IF(AND($H$58=1,K76=0),0,IF(AND($H$58=1,K76&gt;0),K76,AVERAGEIF(Data!AC$22:AC$33,"&gt;0",Data!AC$22:AC$33)))),1)</f>
        <v>0</v>
      </c>
      <c r="AH76" s="227">
        <f>1-IFERROR(IF(AND($H$58=1,L76=""),1,IF(AND($H$58=1,L76=0),0,IF(AND($H$58=1,L76&gt;0),L76,AVERAGEIF(Data!AC$34:AC$45,"&gt;0",Data!AC$34:AC$45)))),1)</f>
        <v>0</v>
      </c>
      <c r="AI76" s="227">
        <f>1-IFERROR(IF(AND($H$58=1,M76=""),1,IF(AND($H$58=1,M76=0),0,IF(AND($H$58=1,M76&gt;0),M76,AVERAGEIF(Data!AC$46:AC$57,"&gt;0",Data!AC$46:AC$57)))),1)</f>
        <v>0</v>
      </c>
      <c r="AJ76" s="9"/>
      <c r="AK76" s="9"/>
      <c r="AL76" s="223" t="str">
        <f>IF(comparador7=0,"Do not fill this line",comparador7)</f>
        <v>Do not fill this line</v>
      </c>
      <c r="AM76" s="227">
        <f>IFERROR(IF($H$58=1,J76,AVERAGEIF(Data!M$10:M$21,"&gt;0",Data!M$10:M$21)),0)</f>
        <v>0</v>
      </c>
      <c r="AN76" s="227">
        <f>IFERROR(IF($H$58=1,K76,AVERAGEIF(Data!M$22:M$33,"&gt;0",Data!M$22:M$33)),0)</f>
        <v>0</v>
      </c>
      <c r="AO76" s="227">
        <f>IFERROR(IF($H$58=1,L76,AVERAGEIF(Data!M$34:M$45,"&gt;0",Data!M$34:M$45)),0)</f>
        <v>0</v>
      </c>
      <c r="AP76" s="227">
        <f>IFERROR(IF($H$58=1,M76,AVERAGEIF(Data!M$46:M$57,"&gt;0",Data!M$46:M$57)),0)</f>
        <v>0</v>
      </c>
      <c r="AQ76" s="9"/>
    </row>
    <row r="77" spans="3:43">
      <c r="C77" s="300" t="str">
        <f>IF(comparador8=0,"Do not fill this line",comparador8)</f>
        <v>Do not fill this line</v>
      </c>
      <c r="D77" s="461"/>
      <c r="E77" s="462"/>
      <c r="F77" s="7"/>
      <c r="G77" s="7"/>
      <c r="H77" s="470" t="str">
        <f>IF(comparador8=0,"Do not fill this line",comparador8)</f>
        <v>Do not fill this line</v>
      </c>
      <c r="I77" s="470"/>
      <c r="J77" s="230"/>
      <c r="K77" s="230"/>
      <c r="L77" s="230"/>
      <c r="M77" s="230"/>
      <c r="N77" s="7"/>
      <c r="O77" s="7"/>
      <c r="P77" s="7"/>
      <c r="Q77" s="227" t="str">
        <f>IF(comparador8=0,"Do not fill this line",comparador8)</f>
        <v>Do not fill this line</v>
      </c>
      <c r="R77" s="227">
        <f t="shared" si="2"/>
        <v>0</v>
      </c>
      <c r="S77" s="227">
        <f t="shared" si="3"/>
        <v>0</v>
      </c>
      <c r="T77" s="227">
        <f t="shared" si="4"/>
        <v>0</v>
      </c>
      <c r="U77" s="227">
        <f t="shared" si="5"/>
        <v>0</v>
      </c>
      <c r="V77" s="11">
        <f t="shared" si="1"/>
        <v>0</v>
      </c>
      <c r="W77" s="7"/>
      <c r="X77" s="223" t="str">
        <f>IF(comparador8=0,"Do not fill this line",comparador8)</f>
        <v>Do not fill this line</v>
      </c>
      <c r="Y77" s="227" t="e">
        <f>1-AVERAGEIF(Data!AV$10:AV$21,"&gt;0",Data!AV$10:AV$21)</f>
        <v>#DIV/0!</v>
      </c>
      <c r="Z77" s="227" t="e">
        <f>1-AVERAGEIF(Data!AV$22:AV$33,"&gt;0",Data!AV$22:AV$33)</f>
        <v>#DIV/0!</v>
      </c>
      <c r="AA77" s="227" t="e">
        <f>1-AVERAGEIF(Data!AV$34:AV$45,"&gt;0",Data!AV$34:AV$45)</f>
        <v>#DIV/0!</v>
      </c>
      <c r="AB77" s="227" t="e">
        <f>1-AVERAGEIF(Data!AV$46:AV$57,"&gt;0",Data!AV$46:AV$57)</f>
        <v>#DIV/0!</v>
      </c>
      <c r="AC77" s="11"/>
      <c r="AD77" s="9"/>
      <c r="AE77" s="223" t="str">
        <f>IF(comparador8=0,"Do not fill this line",comparador8)</f>
        <v>Do not fill this line</v>
      </c>
      <c r="AF77" s="227">
        <f>1-IFERROR(IF(AND($H$58=1,J77=""),1,IF(AND($H$58=1,J77=0),0,IF(AND($H$58=1,J77&gt;0),J77,AVERAGEIF(Data!AD$10:AD$21,"&gt;0",Data!AD$10:AD$21)))),1)</f>
        <v>0</v>
      </c>
      <c r="AG77" s="227">
        <f>1-IFERROR(IF(AND($H$58=1,K77=""),1,IF(AND($H$58=1,K77=0),0,IF(AND($H$58=1,K77&gt;0),K77,AVERAGEIF(Data!AD$22:AD$33,"&gt;0",Data!AD$22:AD$33)))),1)</f>
        <v>0</v>
      </c>
      <c r="AH77" s="227">
        <f>1-IFERROR(IF(AND($H$58=1,L77=""),1,IF(AND($H$58=1,L77=0),0,IF(AND($H$58=1,L77&gt;0),L77,AVERAGEIF(Data!AD$34:AD$45,"&gt;0",Data!AD$34:AD$45)))),1)</f>
        <v>0</v>
      </c>
      <c r="AI77" s="227">
        <f>1-IFERROR(IF(AND($H$58=1,M77=""),1,IF(AND($H$58=1,M77=0),0,IF(AND($H$58=1,M77&gt;0),M77,AVERAGEIF(Data!AD$46:AD$57,"&gt;0",Data!AD$46:AD$57)))),1)</f>
        <v>0</v>
      </c>
      <c r="AJ77" s="9"/>
      <c r="AK77" s="9"/>
      <c r="AL77" s="223" t="str">
        <f>IF(comparador8=0,"Do not fill this line",comparador8)</f>
        <v>Do not fill this line</v>
      </c>
      <c r="AM77" s="227">
        <f>IFERROR(IF($H$58=1,J77,AVERAGEIF(Data!N$10:N$21,"&gt;0",Data!N$10:N$21)),0)</f>
        <v>0</v>
      </c>
      <c r="AN77" s="227">
        <f>IFERROR(IF($H$58=1,K77,AVERAGEIF(Data!N$22:N$33,"&gt;0",Data!N$22:N$33)),0)</f>
        <v>0</v>
      </c>
      <c r="AO77" s="227">
        <f>IFERROR(IF($H$58=1,L77,AVERAGEIF(Data!N$34:N$45,"&gt;0",Data!N$34:N$45)),0)</f>
        <v>0</v>
      </c>
      <c r="AP77" s="227">
        <f>IFERROR(IF($H$58=1,M77,AVERAGEIF(Data!N$46:N$57,"&gt;0",Data!N$46:N$57)),0)</f>
        <v>0</v>
      </c>
      <c r="AQ77" s="9"/>
    </row>
    <row r="78" spans="3:43">
      <c r="C78" s="300" t="str">
        <f>IF(comparador9=0,"Do not fill this line",comparador9)</f>
        <v>Do not fill this line</v>
      </c>
      <c r="D78" s="461"/>
      <c r="E78" s="462"/>
      <c r="F78" s="7"/>
      <c r="G78" s="7"/>
      <c r="H78" s="470" t="str">
        <f>IF(comparador9=0,"Do not fill this line",comparador9)</f>
        <v>Do not fill this line</v>
      </c>
      <c r="I78" s="470"/>
      <c r="J78" s="230"/>
      <c r="K78" s="230"/>
      <c r="L78" s="230"/>
      <c r="M78" s="230"/>
      <c r="N78" s="7"/>
      <c r="O78" s="7"/>
      <c r="P78" s="7"/>
      <c r="Q78" s="227" t="str">
        <f>IF(comparador9=0,"Do not fill this line",comparador9)</f>
        <v>Do not fill this line</v>
      </c>
      <c r="R78" s="227">
        <f t="shared" si="2"/>
        <v>0</v>
      </c>
      <c r="S78" s="227">
        <f t="shared" si="3"/>
        <v>0</v>
      </c>
      <c r="T78" s="227">
        <f t="shared" si="4"/>
        <v>0</v>
      </c>
      <c r="U78" s="227">
        <f t="shared" si="5"/>
        <v>0</v>
      </c>
      <c r="V78" s="11">
        <f t="shared" si="1"/>
        <v>0</v>
      </c>
      <c r="W78" s="7"/>
      <c r="X78" s="223" t="str">
        <f>IF(comparador9=0,"Do not fill this line",comparador9)</f>
        <v>Do not fill this line</v>
      </c>
      <c r="Y78" s="227" t="e">
        <f>1-AVERAGEIF(Data!AW$10:AW$21,"&gt;0",Data!AW$10:AW$21)</f>
        <v>#DIV/0!</v>
      </c>
      <c r="Z78" s="227" t="e">
        <f>1-AVERAGEIF(Data!AW$22:AW$33,"&gt;0",Data!AW$22:AW$33)</f>
        <v>#DIV/0!</v>
      </c>
      <c r="AA78" s="227" t="e">
        <f>1-AVERAGEIF(Data!AW$34:AW$45,"&gt;0",Data!AW$34:AW$45)</f>
        <v>#DIV/0!</v>
      </c>
      <c r="AB78" s="227" t="e">
        <f>1-AVERAGEIF(Data!AW$46:AW$57,"&gt;0",Data!AW$46:AW$57)</f>
        <v>#DIV/0!</v>
      </c>
      <c r="AC78" s="11"/>
      <c r="AD78" s="9"/>
      <c r="AE78" s="223" t="str">
        <f>IF(comparador9=0,"Do not fill this line",comparador9)</f>
        <v>Do not fill this line</v>
      </c>
      <c r="AF78" s="227">
        <f>1-IFERROR(IF(AND($H$58=1,J78=""),1,IF(AND($H$58=1,J78=0),0,IF(AND($H$58=1,J78&gt;0),J78,AVERAGEIF(Data!AE$10:AE$21,"&gt;0",Data!AE$10:AE$21)))),1)</f>
        <v>0</v>
      </c>
      <c r="AG78" s="227">
        <f>1-IFERROR(IF(AND($H$58=1,K78=""),1,IF(AND($H$58=1,K78=0),0,IF(AND($H$58=1,K78&gt;0),K78,AVERAGEIF(Data!AE$22:AE$33,"&gt;0",Data!AE$22:AE$33)))),1)</f>
        <v>0</v>
      </c>
      <c r="AH78" s="227">
        <f>1-IFERROR(IF(AND($H$58=1,L78=""),1,IF(AND($H$58=1,L78=0),0,IF(AND($H$58=1,L78&gt;0),L78,AVERAGEIF(Data!AE$34:AE$45,"&gt;0",Data!AE$34:AE$45)))),1)</f>
        <v>0</v>
      </c>
      <c r="AI78" s="227">
        <f>1-IFERROR(IF(AND($H$58=1,M78=""),1,IF(AND($H$58=1,M78=0),0,IF(AND($H$58=1,M78&gt;0),M78,AVERAGEIF(Data!AE$46:AE$57,"&gt;0",Data!AE$46:AE$57)))),1)</f>
        <v>0</v>
      </c>
      <c r="AJ78" s="9"/>
      <c r="AK78" s="9"/>
      <c r="AL78" s="223" t="str">
        <f>IF(comparador9=0,"Do not fill this line",comparador9)</f>
        <v>Do not fill this line</v>
      </c>
      <c r="AM78" s="227">
        <f>IFERROR(IF($H$58=1,J78,AVERAGEIF(Data!O$10:O$21,"&gt;0",Data!O$10:O$21)),0)</f>
        <v>0</v>
      </c>
      <c r="AN78" s="227">
        <f>IFERROR(IF($H$58=1,K78,AVERAGEIF(Data!O$22:O$33,"&gt;0",Data!O$22:O$33)),0)</f>
        <v>0</v>
      </c>
      <c r="AO78" s="227">
        <f>IFERROR(IF($H$58=1,L78,AVERAGEIF(Data!O$34:O$45,"&gt;0",Data!O$34:O$45)),0)</f>
        <v>0</v>
      </c>
      <c r="AP78" s="227">
        <f>IFERROR(IF($H$58=1,M78,AVERAGEIF(Data!O$46:O$57,"&gt;0",Data!O$46:O$57)),0)</f>
        <v>0</v>
      </c>
      <c r="AQ78" s="9"/>
    </row>
    <row r="79" spans="3:43">
      <c r="C79" s="300" t="str">
        <f>IF(comparador10=0,"Do not fill this line",comparador10)</f>
        <v>Do not fill this line</v>
      </c>
      <c r="D79" s="461"/>
      <c r="E79" s="462"/>
      <c r="F79" s="7"/>
      <c r="G79" s="7"/>
      <c r="H79" s="470" t="str">
        <f>IF(comparador10=0,"Do not fill this line",comparador10)</f>
        <v>Do not fill this line</v>
      </c>
      <c r="I79" s="470"/>
      <c r="J79" s="230"/>
      <c r="K79" s="230"/>
      <c r="L79" s="230"/>
      <c r="M79" s="230"/>
      <c r="N79" s="7"/>
      <c r="O79" s="7"/>
      <c r="P79" s="7"/>
      <c r="Q79" s="227" t="str">
        <f>IF(comparador10=0,"Do not fill this line",comparador10)</f>
        <v>Do not fill this line</v>
      </c>
      <c r="R79" s="227">
        <f t="shared" si="2"/>
        <v>0</v>
      </c>
      <c r="S79" s="227">
        <f t="shared" si="3"/>
        <v>0</v>
      </c>
      <c r="T79" s="227">
        <f t="shared" si="4"/>
        <v>0</v>
      </c>
      <c r="U79" s="227">
        <f t="shared" si="5"/>
        <v>0</v>
      </c>
      <c r="V79" s="11">
        <f t="shared" si="1"/>
        <v>0</v>
      </c>
      <c r="W79" s="7"/>
      <c r="X79" s="223" t="str">
        <f>IF(comparador10=0,"Do not fill this line",comparador10)</f>
        <v>Do not fill this line</v>
      </c>
      <c r="Y79" s="227" t="e">
        <f>1-AVERAGEIF(Data!AX$10:AX$21,"&gt;0",Data!AX$10:AX$21)</f>
        <v>#DIV/0!</v>
      </c>
      <c r="Z79" s="227" t="e">
        <f>1-AVERAGEIF(Data!AX$22:AX$33,"&gt;0",Data!AX$22:AX$33)</f>
        <v>#DIV/0!</v>
      </c>
      <c r="AA79" s="227" t="e">
        <f>1-AVERAGEIF(Data!AX$34:AX$45,"&gt;0",Data!AX$34:AX$45)</f>
        <v>#DIV/0!</v>
      </c>
      <c r="AB79" s="227" t="e">
        <f>1-AVERAGEIF(Data!AX$46:AX$57,"&gt;0",Data!AX$46:AX$57)</f>
        <v>#DIV/0!</v>
      </c>
      <c r="AC79" s="11"/>
      <c r="AD79" s="9"/>
      <c r="AE79" s="223" t="str">
        <f>IF(comparador10=0,"Do not fill this line",comparador10)</f>
        <v>Do not fill this line</v>
      </c>
      <c r="AF79" s="227">
        <f>1-IFERROR(IF(AND($H$58=1,J79=""),1,IF(AND($H$58=1,J79=0),0,IF(AND($H$58=1,J79&gt;0),J79,AVERAGEIF(Data!AF$10:AF$21,"&gt;0",Data!AF$10:AF$21)))),1)</f>
        <v>0</v>
      </c>
      <c r="AG79" s="227">
        <f>1-IFERROR(IF(AND($H$58=1,K79=""),1,IF(AND($H$58=1,K79=0),0,IF(AND($H$58=1,K79&gt;0),K79,AVERAGEIF(Data!AF$22:AF$33,"&gt;0",Data!AF$22:AF$33)))),1)</f>
        <v>0</v>
      </c>
      <c r="AH79" s="227">
        <f>1-IFERROR(IF(AND($H$58=1,L79=""),1,IF(AND($H$58=1,L79=0),0,IF(AND($H$58=1,L79&gt;0),L79,AVERAGEIF(Data!AF$34:AF$45,"&gt;0",Data!AF$34:AF$45)))),1)</f>
        <v>0</v>
      </c>
      <c r="AI79" s="227">
        <f>1-IFERROR(IF(AND($H$58=1,M79=""),1,IF(AND($H$58=1,M79=0),0,IF(AND($H$58=1,M79&gt;0),M79,AVERAGEIF(Data!AF$46:AF$57,"&gt;0",Data!AF$46:AF$57)))),1)</f>
        <v>0</v>
      </c>
      <c r="AJ79" s="9"/>
      <c r="AK79" s="9"/>
      <c r="AL79" s="223" t="str">
        <f>IF(comparador10=0,"Do not fill this line",comparador10)</f>
        <v>Do not fill this line</v>
      </c>
      <c r="AM79" s="227">
        <f>IFERROR(IF($H$58=1,J79,AVERAGEIF(Data!P$10:P$21,"&gt;0",Data!P$10:P$21)),0)</f>
        <v>0</v>
      </c>
      <c r="AN79" s="227">
        <f>IFERROR(IF($H$58=1,K79,AVERAGEIF(Data!P$22:P$33,"&gt;0",Data!P$22:P$33)),0)</f>
        <v>0</v>
      </c>
      <c r="AO79" s="227">
        <f>IFERROR(IF($H$58=1,L79,AVERAGEIF(Data!P$34:P$45,"&gt;0",Data!P$34:P$45)),0)</f>
        <v>0</v>
      </c>
      <c r="AP79" s="227">
        <f>IFERROR(IF($H$58=1,M79,AVERAGEIF(Data!P$46:P$57,"&gt;0",Data!P$46:P$57)),0)</f>
        <v>0</v>
      </c>
      <c r="AQ79" s="9"/>
    </row>
    <row r="80" spans="3:43">
      <c r="C80" s="379" t="str">
        <f>IF(uso=4,"Atention!",IF(uso=1,"Atention!",""))</f>
        <v/>
      </c>
      <c r="D80" s="6"/>
      <c r="E80" s="6"/>
      <c r="F80" s="7"/>
      <c r="G80" s="7"/>
      <c r="H80" s="2"/>
      <c r="I80" s="7"/>
      <c r="J80" s="7"/>
      <c r="K80" s="7"/>
      <c r="L80" s="7"/>
      <c r="M80" s="7"/>
      <c r="N80" s="7"/>
      <c r="O80" s="7"/>
      <c r="P80" s="7"/>
      <c r="Q80" s="191"/>
      <c r="R80" s="191"/>
      <c r="S80" s="11"/>
      <c r="T80" s="11"/>
      <c r="U80" s="11"/>
      <c r="V80" s="11"/>
      <c r="W80" s="7"/>
      <c r="X80" s="11"/>
      <c r="Y80" s="11"/>
      <c r="Z80" s="11"/>
      <c r="AA80" s="11"/>
      <c r="AB80" s="11"/>
      <c r="AC80" s="11"/>
      <c r="AD80" s="9"/>
      <c r="AE80" s="11"/>
      <c r="AF80" s="9"/>
      <c r="AG80" s="9"/>
      <c r="AH80" s="9"/>
      <c r="AI80" s="9"/>
      <c r="AJ80" s="9"/>
      <c r="AK80" s="9"/>
      <c r="AL80" s="9"/>
      <c r="AM80" s="9"/>
      <c r="AN80" s="9"/>
      <c r="AO80" s="9"/>
      <c r="AP80" s="9"/>
      <c r="AQ80" s="9"/>
    </row>
    <row r="81" spans="3:43" ht="15" customHeight="1">
      <c r="C81" s="479" t="str">
        <f>IF(uso=4,_xlfn._LONGTEXT("Median survival should be used only as a last resort - when no other data are available - since it has a significant limitation: the inability to identify the best curve fit. By assuming a constant rate, it may underestimate or overestimate the duration o","f the patient's treatment over time."),IF(uso=1,_xlfn._LONGTEXT("Median time should be used only as a last resort - when no other data are available - since it has a significant limitation: the inability to identify the best curve fit. By assuming a constant rate, it may underestimate or overestimate the duration of th","e patient's treatment over time."),""))</f>
        <v/>
      </c>
      <c r="D81" s="479"/>
      <c r="E81" s="479"/>
      <c r="F81" s="479"/>
      <c r="G81" s="479"/>
      <c r="H81" s="479"/>
      <c r="I81" s="7"/>
      <c r="J81" s="7"/>
      <c r="K81" s="7"/>
      <c r="L81" s="7"/>
      <c r="M81" s="7"/>
      <c r="N81" s="7"/>
      <c r="O81" s="7"/>
      <c r="P81" s="7"/>
      <c r="Q81" s="191"/>
      <c r="R81" s="191"/>
      <c r="S81" s="11"/>
      <c r="T81" s="11"/>
      <c r="U81" s="11"/>
      <c r="V81" s="11"/>
      <c r="W81" s="7"/>
      <c r="X81" s="11"/>
      <c r="Y81" s="11"/>
      <c r="Z81" s="11"/>
      <c r="AA81" s="11"/>
      <c r="AB81" s="11"/>
      <c r="AC81" s="11"/>
      <c r="AD81" s="9"/>
      <c r="AE81" s="11"/>
      <c r="AF81" s="9"/>
      <c r="AG81" s="9"/>
      <c r="AH81" s="9"/>
      <c r="AI81" s="9"/>
      <c r="AJ81" s="9"/>
      <c r="AK81" s="9"/>
      <c r="AL81" s="9"/>
      <c r="AM81" s="9"/>
      <c r="AN81" s="9"/>
      <c r="AO81" s="9"/>
      <c r="AP81" s="9"/>
      <c r="AQ81" s="9"/>
    </row>
    <row r="82" spans="3:43">
      <c r="C82" s="479"/>
      <c r="D82" s="479"/>
      <c r="E82" s="479"/>
      <c r="F82" s="479"/>
      <c r="G82" s="479"/>
      <c r="H82" s="479"/>
      <c r="I82" s="9"/>
      <c r="K82" s="9"/>
      <c r="L82" s="9"/>
      <c r="O82" s="9"/>
      <c r="P82" s="9"/>
      <c r="Q82" s="11"/>
      <c r="R82" s="11"/>
      <c r="S82" s="11"/>
      <c r="T82" s="11"/>
      <c r="U82" s="11"/>
      <c r="V82" s="11"/>
      <c r="W82" s="9"/>
      <c r="X82" s="11"/>
      <c r="Y82" s="11"/>
      <c r="Z82" s="11"/>
      <c r="AA82" s="11"/>
      <c r="AB82" s="11"/>
      <c r="AC82" s="11"/>
      <c r="AD82" s="9"/>
      <c r="AE82" s="11"/>
      <c r="AF82" s="9"/>
      <c r="AG82" s="9"/>
      <c r="AH82" s="9"/>
      <c r="AI82" s="9"/>
      <c r="AJ82" s="9"/>
      <c r="AK82" s="9"/>
      <c r="AL82" s="9"/>
      <c r="AM82" s="9"/>
      <c r="AN82" s="9"/>
      <c r="AO82" s="9"/>
      <c r="AP82" s="9"/>
      <c r="AQ82" s="9"/>
    </row>
    <row r="83" spans="3:43" customFormat="1">
      <c r="C83" s="480"/>
      <c r="D83" s="480"/>
      <c r="E83" s="480"/>
      <c r="F83" s="480"/>
      <c r="G83" s="480"/>
      <c r="H83" s="480"/>
      <c r="I83" s="7"/>
      <c r="J83" s="7"/>
      <c r="K83" s="7"/>
      <c r="L83" s="7"/>
      <c r="M83" s="7"/>
      <c r="N83" s="7"/>
      <c r="O83" s="7"/>
      <c r="P83" s="7"/>
      <c r="Q83" s="287"/>
      <c r="R83" s="287"/>
      <c r="S83" s="287"/>
      <c r="T83" s="284"/>
      <c r="U83" s="284"/>
      <c r="V83" s="284"/>
      <c r="W83" s="7"/>
      <c r="X83" s="284"/>
      <c r="Y83" s="284"/>
      <c r="Z83" s="284"/>
      <c r="AA83" s="284"/>
      <c r="AB83" s="284"/>
      <c r="AC83" s="284"/>
      <c r="AE83" s="284"/>
      <c r="AJ83" s="9"/>
      <c r="AQ83" s="9"/>
    </row>
    <row r="84" spans="3:43" customFormat="1">
      <c r="C84" s="64"/>
      <c r="D84" s="65"/>
      <c r="E84" s="65"/>
      <c r="F84" s="65"/>
      <c r="G84" s="65"/>
      <c r="H84" s="65"/>
      <c r="I84" s="65"/>
      <c r="J84" s="65"/>
      <c r="K84" s="65"/>
      <c r="L84" s="65"/>
      <c r="M84" s="65"/>
      <c r="N84" s="65"/>
      <c r="O84" s="7"/>
      <c r="P84" s="7"/>
      <c r="Q84" s="287"/>
      <c r="R84" s="287"/>
      <c r="S84" s="287"/>
      <c r="T84" s="284"/>
      <c r="U84" s="284"/>
      <c r="V84" s="284"/>
      <c r="W84" s="7"/>
      <c r="X84" s="284"/>
      <c r="Y84" s="284"/>
      <c r="Z84" s="284"/>
      <c r="AA84" s="284"/>
      <c r="AB84" s="284"/>
      <c r="AC84" s="284"/>
      <c r="AE84" s="284"/>
      <c r="AJ84" s="9"/>
      <c r="AQ84" s="9"/>
    </row>
    <row r="85" spans="3:43" customFormat="1">
      <c r="C85" s="63"/>
      <c r="D85" s="7"/>
      <c r="E85" s="7"/>
      <c r="F85" s="7"/>
      <c r="G85" s="7"/>
      <c r="H85" s="7"/>
      <c r="I85" s="7"/>
      <c r="J85" s="7"/>
      <c r="K85" s="7"/>
      <c r="L85" s="7"/>
      <c r="M85" s="7"/>
      <c r="N85" s="7"/>
      <c r="O85" s="7"/>
      <c r="P85" s="7"/>
      <c r="Q85" s="287"/>
      <c r="R85" s="287"/>
      <c r="S85" s="287"/>
      <c r="T85" s="284"/>
      <c r="U85" s="284"/>
      <c r="V85" s="284"/>
      <c r="W85" s="7"/>
      <c r="X85" s="284"/>
      <c r="Y85" s="284"/>
      <c r="Z85" s="284"/>
      <c r="AA85" s="284"/>
      <c r="AB85" s="284"/>
      <c r="AC85" s="284"/>
      <c r="AE85" s="284"/>
    </row>
    <row r="86" spans="3:43" customFormat="1">
      <c r="C86" s="63"/>
      <c r="D86" s="7"/>
      <c r="E86" s="7"/>
      <c r="F86" s="7"/>
      <c r="G86" s="7"/>
      <c r="H86" s="7"/>
      <c r="I86" s="7"/>
      <c r="J86" s="7"/>
      <c r="K86" s="7"/>
      <c r="L86" s="7"/>
      <c r="M86" s="7"/>
      <c r="N86" s="7"/>
      <c r="O86" s="7"/>
      <c r="P86" s="7"/>
      <c r="Q86" s="287"/>
      <c r="R86" s="287"/>
      <c r="S86" s="287"/>
      <c r="T86" s="284"/>
      <c r="U86" s="284"/>
      <c r="V86" s="284"/>
      <c r="W86" s="7"/>
      <c r="X86" s="284"/>
      <c r="Y86" s="284"/>
      <c r="Z86" s="284"/>
      <c r="AA86" s="284"/>
      <c r="AB86" s="284"/>
      <c r="AC86" s="284"/>
      <c r="AE86" s="284"/>
    </row>
    <row r="87" spans="3:43" customFormat="1" ht="18">
      <c r="C87" s="140" t="s">
        <v>289</v>
      </c>
      <c r="M87" s="283"/>
      <c r="N87" s="283"/>
      <c r="Q87" s="284"/>
      <c r="R87" s="284"/>
      <c r="S87" s="284"/>
      <c r="T87" s="284"/>
      <c r="U87" s="284"/>
      <c r="V87" s="284"/>
      <c r="X87" s="284"/>
      <c r="Y87" s="284"/>
      <c r="Z87" s="284"/>
      <c r="AA87" s="284"/>
      <c r="AB87" s="284"/>
      <c r="AC87" s="284"/>
      <c r="AE87" s="284"/>
    </row>
    <row r="88" spans="3:43" customFormat="1">
      <c r="C88" t="s">
        <v>290</v>
      </c>
      <c r="M88" s="283"/>
      <c r="N88" s="283"/>
      <c r="Q88" s="284"/>
      <c r="R88" s="284"/>
      <c r="S88" s="284"/>
      <c r="T88" s="284"/>
      <c r="U88" s="284"/>
      <c r="V88" s="284"/>
      <c r="X88" s="284"/>
      <c r="Y88" s="284"/>
      <c r="Z88" s="284"/>
      <c r="AA88" s="284"/>
      <c r="AB88" s="284"/>
      <c r="AC88" s="284"/>
      <c r="AE88" s="284"/>
    </row>
    <row r="89" spans="3:43">
      <c r="C89" s="136"/>
      <c r="D89" s="9"/>
      <c r="E89" s="9"/>
      <c r="F89" s="9"/>
      <c r="G89" s="9"/>
      <c r="H89" s="9"/>
      <c r="I89" s="9"/>
      <c r="K89" s="9"/>
      <c r="L89" s="9"/>
      <c r="O89" s="9"/>
      <c r="P89" s="9"/>
      <c r="Q89" s="11"/>
      <c r="R89" s="11"/>
      <c r="S89" s="11"/>
      <c r="T89" s="11"/>
      <c r="U89" s="11"/>
      <c r="V89" s="11"/>
      <c r="W89" s="9"/>
      <c r="X89" s="11"/>
      <c r="Y89" s="11"/>
      <c r="Z89" s="11"/>
      <c r="AA89" s="11"/>
      <c r="AB89" s="11"/>
      <c r="AC89" s="11"/>
      <c r="AD89" s="9"/>
      <c r="AE89" s="11"/>
      <c r="AF89" s="9"/>
      <c r="AG89" s="9"/>
      <c r="AH89" s="9"/>
      <c r="AI89" s="9"/>
      <c r="AJ89" s="9"/>
      <c r="AK89" s="9"/>
      <c r="AL89" s="9"/>
      <c r="AM89" s="9"/>
      <c r="AN89" s="9"/>
      <c r="AO89" s="9"/>
      <c r="AP89" s="9"/>
      <c r="AQ89" s="9"/>
    </row>
    <row r="90" spans="3:43">
      <c r="C90" s="136"/>
      <c r="D90" s="9"/>
      <c r="E90" s="9"/>
      <c r="F90" s="9"/>
      <c r="G90" s="9"/>
      <c r="H90" s="288"/>
      <c r="I90" s="9"/>
      <c r="K90" s="9"/>
      <c r="L90" s="9"/>
      <c r="O90" s="9"/>
      <c r="P90" s="9"/>
      <c r="Q90" s="11"/>
      <c r="R90" s="11"/>
      <c r="S90" s="11"/>
      <c r="T90" s="11"/>
      <c r="U90" s="11"/>
      <c r="V90" s="11"/>
      <c r="W90" s="9"/>
      <c r="X90" s="11"/>
      <c r="Y90" s="11"/>
      <c r="Z90" s="11"/>
      <c r="AA90" s="11"/>
      <c r="AB90" s="11"/>
      <c r="AC90" s="11"/>
      <c r="AD90" s="9"/>
      <c r="AE90" s="11"/>
      <c r="AF90" s="9"/>
      <c r="AG90" s="9"/>
      <c r="AH90" s="9"/>
      <c r="AI90" s="9"/>
      <c r="AJ90" s="9"/>
      <c r="AK90" s="9"/>
      <c r="AL90" s="9"/>
      <c r="AM90" s="9"/>
      <c r="AN90" s="9"/>
      <c r="AO90" s="9"/>
      <c r="AP90" s="9"/>
      <c r="AQ90" s="9"/>
    </row>
    <row r="91" spans="3:43">
      <c r="C91" s="465" t="s">
        <v>291</v>
      </c>
      <c r="D91" s="7"/>
      <c r="E91" s="436" t="s">
        <v>299</v>
      </c>
      <c r="F91" s="466"/>
      <c r="G91" s="437"/>
      <c r="H91" s="288">
        <f>IF(E91="No",2,1)</f>
        <v>1</v>
      </c>
      <c r="I91" s="9"/>
      <c r="J91" s="7"/>
      <c r="K91" s="7"/>
      <c r="L91" s="7"/>
      <c r="M91" s="289"/>
      <c r="N91" s="289"/>
      <c r="O91" s="9"/>
      <c r="P91" s="9"/>
      <c r="Q91" s="11"/>
      <c r="R91" s="11"/>
      <c r="S91" s="11"/>
      <c r="T91" s="11"/>
      <c r="U91" s="11"/>
      <c r="V91" s="11"/>
      <c r="W91" s="9"/>
      <c r="X91" s="11"/>
      <c r="Y91" s="11"/>
      <c r="Z91" s="11"/>
      <c r="AA91" s="11"/>
      <c r="AB91" s="11"/>
      <c r="AC91" s="11"/>
      <c r="AD91" s="9"/>
      <c r="AE91" s="11"/>
      <c r="AF91" s="9"/>
      <c r="AG91" s="9"/>
      <c r="AH91" s="9"/>
      <c r="AI91" s="9"/>
      <c r="AJ91" s="9"/>
      <c r="AK91" s="9"/>
      <c r="AL91" s="9"/>
      <c r="AM91" s="9"/>
      <c r="AN91" s="9"/>
      <c r="AO91" s="9"/>
      <c r="AP91" s="9"/>
      <c r="AQ91" s="9"/>
    </row>
    <row r="92" spans="3:43">
      <c r="C92" s="465"/>
      <c r="D92" s="7"/>
      <c r="E92" s="290" t="s">
        <v>292</v>
      </c>
      <c r="F92" s="7"/>
      <c r="G92" s="7"/>
      <c r="H92" s="288"/>
      <c r="I92" s="7"/>
      <c r="J92" s="7"/>
      <c r="K92" s="7"/>
      <c r="L92" s="7"/>
      <c r="M92" s="289"/>
      <c r="N92" s="289"/>
      <c r="O92" s="9"/>
      <c r="P92" s="9"/>
      <c r="Q92" s="11"/>
      <c r="R92" s="11"/>
      <c r="S92" s="11"/>
      <c r="T92" s="11"/>
      <c r="U92" s="11"/>
      <c r="V92" s="11"/>
      <c r="W92" s="9"/>
      <c r="X92" s="11"/>
      <c r="Y92" s="11"/>
      <c r="Z92" s="11"/>
      <c r="AA92" s="11"/>
      <c r="AB92" s="11"/>
      <c r="AC92" s="11"/>
      <c r="AD92" s="9"/>
      <c r="AE92" s="11"/>
      <c r="AF92" s="9"/>
      <c r="AG92" s="9"/>
      <c r="AH92" s="9"/>
      <c r="AI92" s="9"/>
      <c r="AJ92" s="9"/>
      <c r="AK92" s="9"/>
      <c r="AL92" s="9"/>
      <c r="AM92" s="9"/>
      <c r="AN92" s="9"/>
      <c r="AO92" s="9"/>
      <c r="AP92" s="9"/>
      <c r="AQ92" s="9"/>
    </row>
    <row r="93" spans="3:43">
      <c r="C93" s="9"/>
      <c r="D93" s="7"/>
      <c r="E93" s="7"/>
      <c r="F93" s="7"/>
      <c r="G93" s="7"/>
      <c r="H93" s="288"/>
      <c r="I93" s="7"/>
      <c r="J93" s="7"/>
      <c r="K93" s="7"/>
      <c r="L93" s="7"/>
      <c r="M93" s="289"/>
      <c r="N93" s="289"/>
      <c r="O93" s="9"/>
      <c r="P93" s="9"/>
      <c r="Q93" s="11"/>
      <c r="R93" s="11"/>
      <c r="S93" s="11"/>
      <c r="T93" s="11"/>
      <c r="U93" s="11"/>
      <c r="V93" s="11"/>
      <c r="W93" s="9"/>
      <c r="X93" s="11"/>
      <c r="Y93" s="11"/>
      <c r="Z93" s="11"/>
      <c r="AA93" s="11"/>
      <c r="AB93" s="11"/>
      <c r="AC93" s="11"/>
      <c r="AD93" s="9"/>
      <c r="AE93" s="11"/>
      <c r="AF93" s="9"/>
      <c r="AG93" s="9"/>
      <c r="AH93" s="9"/>
      <c r="AI93" s="9"/>
      <c r="AJ93" s="9"/>
      <c r="AK93" s="9"/>
      <c r="AL93" s="9"/>
      <c r="AM93" s="9"/>
      <c r="AN93" s="9"/>
      <c r="AO93" s="9"/>
      <c r="AP93" s="9"/>
      <c r="AQ93" s="9"/>
    </row>
    <row r="94" spans="3:43">
      <c r="C94" s="9"/>
      <c r="D94" s="7"/>
      <c r="E94" s="7"/>
      <c r="F94" s="7"/>
      <c r="G94" s="7"/>
      <c r="H94" s="288"/>
      <c r="I94" s="7"/>
      <c r="J94" s="7"/>
      <c r="K94" s="7"/>
      <c r="L94" s="7"/>
      <c r="M94" s="289"/>
      <c r="N94" s="289"/>
      <c r="O94" s="9"/>
      <c r="P94" s="9"/>
      <c r="Q94" s="11"/>
      <c r="R94" s="11"/>
      <c r="S94" s="11"/>
      <c r="T94" s="11"/>
      <c r="U94" s="11"/>
      <c r="V94" s="11"/>
      <c r="W94" s="9"/>
      <c r="X94" s="11"/>
      <c r="Y94" s="11"/>
      <c r="Z94" s="11"/>
      <c r="AA94" s="11"/>
      <c r="AB94" s="11"/>
      <c r="AC94" s="11"/>
      <c r="AD94" s="9"/>
      <c r="AE94" s="11"/>
      <c r="AF94" s="9"/>
      <c r="AG94" s="9"/>
      <c r="AH94" s="9"/>
      <c r="AI94" s="9"/>
      <c r="AJ94" s="9"/>
      <c r="AK94" s="9"/>
      <c r="AL94" s="9"/>
      <c r="AM94" s="9"/>
      <c r="AN94" s="9"/>
      <c r="AO94" s="9"/>
      <c r="AP94" s="9"/>
      <c r="AQ94" s="9"/>
    </row>
    <row r="95" spans="3:43">
      <c r="C95" s="42"/>
      <c r="D95" s="7"/>
      <c r="E95" s="7"/>
      <c r="F95" s="7"/>
      <c r="G95" s="7"/>
      <c r="H95" s="288"/>
      <c r="I95" s="7"/>
      <c r="J95" s="289"/>
      <c r="K95" s="7"/>
      <c r="L95" s="7"/>
      <c r="M95" s="289"/>
      <c r="N95" s="289"/>
      <c r="O95" s="9"/>
      <c r="P95" s="9"/>
      <c r="Q95" s="11"/>
      <c r="R95" s="11"/>
      <c r="S95" s="11"/>
      <c r="T95" s="11"/>
      <c r="U95" s="11"/>
      <c r="V95" s="11"/>
      <c r="W95" s="9"/>
      <c r="X95" s="11"/>
      <c r="Y95" s="11"/>
      <c r="Z95" s="11"/>
      <c r="AA95" s="11"/>
      <c r="AB95" s="11"/>
      <c r="AC95" s="11"/>
      <c r="AD95" s="9"/>
      <c r="AE95" s="11"/>
      <c r="AF95" s="9"/>
      <c r="AG95" s="9"/>
      <c r="AH95" s="9"/>
      <c r="AI95" s="9"/>
      <c r="AJ95" s="9"/>
      <c r="AK95" s="9"/>
      <c r="AL95" s="9"/>
      <c r="AM95" s="9"/>
      <c r="AN95" s="9"/>
      <c r="AO95" s="9"/>
      <c r="AP95" s="9"/>
      <c r="AQ95" s="9"/>
    </row>
    <row r="96" spans="3:43">
      <c r="C96" s="42"/>
      <c r="D96" s="7"/>
      <c r="E96" s="7"/>
      <c r="F96" s="7"/>
      <c r="G96" s="7"/>
      <c r="H96" s="288"/>
      <c r="I96" s="7"/>
      <c r="J96" s="7"/>
      <c r="K96" s="7"/>
      <c r="L96" s="7"/>
      <c r="M96" s="289"/>
      <c r="N96" s="289"/>
      <c r="O96" s="9"/>
      <c r="P96" s="9"/>
      <c r="Q96" s="11"/>
      <c r="R96" s="11"/>
      <c r="S96" s="11"/>
      <c r="T96" s="11"/>
      <c r="U96" s="11"/>
      <c r="V96" s="11"/>
      <c r="W96" s="9"/>
      <c r="X96" s="11"/>
      <c r="Y96" s="11"/>
      <c r="Z96" s="11"/>
      <c r="AA96" s="11"/>
      <c r="AB96" s="11"/>
      <c r="AC96" s="11"/>
      <c r="AD96" s="9"/>
      <c r="AE96" s="11"/>
      <c r="AF96" s="9"/>
      <c r="AG96" s="9"/>
      <c r="AH96" s="9"/>
      <c r="AI96" s="9"/>
      <c r="AJ96" s="9"/>
      <c r="AK96" s="9"/>
      <c r="AL96" s="9"/>
      <c r="AM96" s="9"/>
      <c r="AN96" s="9"/>
      <c r="AO96" s="9"/>
      <c r="AP96" s="9"/>
      <c r="AQ96" s="9"/>
    </row>
    <row r="97" spans="3:43">
      <c r="C97" s="239"/>
      <c r="D97" s="289"/>
      <c r="E97" s="7"/>
      <c r="F97" s="7"/>
      <c r="G97" s="7"/>
      <c r="H97" s="288"/>
      <c r="I97" s="7"/>
      <c r="J97" s="7"/>
      <c r="K97" s="7"/>
      <c r="L97" s="7"/>
      <c r="M97" s="289"/>
      <c r="N97" s="289"/>
      <c r="O97" s="9"/>
      <c r="P97" s="9"/>
      <c r="Q97" s="11"/>
      <c r="R97" s="11"/>
      <c r="S97" s="11"/>
      <c r="T97" s="11"/>
      <c r="U97" s="11"/>
      <c r="V97" s="11"/>
      <c r="W97" s="9"/>
      <c r="X97" s="11"/>
      <c r="Y97" s="11"/>
      <c r="Z97" s="11"/>
      <c r="AA97" s="11"/>
      <c r="AB97" s="11"/>
      <c r="AC97" s="11"/>
      <c r="AD97" s="9"/>
      <c r="AE97" s="11"/>
      <c r="AF97" s="9"/>
      <c r="AG97" s="9"/>
      <c r="AH97" s="9"/>
      <c r="AI97" s="9"/>
      <c r="AJ97" s="9"/>
      <c r="AK97" s="9"/>
      <c r="AL97" s="9"/>
      <c r="AM97" s="9"/>
      <c r="AN97" s="9"/>
      <c r="AO97" s="9"/>
      <c r="AP97" s="9"/>
      <c r="AQ97" s="9"/>
    </row>
    <row r="98" spans="3:43">
      <c r="C98" s="239"/>
      <c r="D98" s="289"/>
      <c r="E98" s="7"/>
      <c r="F98" s="7"/>
      <c r="G98" s="7"/>
      <c r="H98" s="288"/>
      <c r="I98" s="7"/>
      <c r="J98" s="7"/>
      <c r="K98" s="7"/>
      <c r="L98" s="7"/>
      <c r="M98" s="289"/>
      <c r="N98" s="289"/>
      <c r="O98" s="9"/>
      <c r="P98" s="9"/>
      <c r="Q98" s="11"/>
      <c r="R98" s="11"/>
      <c r="S98" s="11"/>
      <c r="T98" s="11"/>
      <c r="U98" s="11"/>
      <c r="V98" s="11"/>
      <c r="W98" s="9"/>
      <c r="X98" s="11"/>
      <c r="Y98" s="11"/>
      <c r="Z98" s="11"/>
      <c r="AA98" s="11"/>
      <c r="AB98" s="11"/>
      <c r="AC98" s="11"/>
      <c r="AD98" s="9"/>
      <c r="AE98" s="11"/>
      <c r="AF98" s="9"/>
      <c r="AG98" s="9"/>
      <c r="AH98" s="9"/>
      <c r="AI98" s="9"/>
      <c r="AJ98" s="9"/>
      <c r="AK98" s="9"/>
      <c r="AL98" s="9"/>
      <c r="AM98" s="9"/>
      <c r="AN98" s="9"/>
      <c r="AO98" s="9"/>
      <c r="AP98" s="9"/>
      <c r="AQ98" s="9"/>
    </row>
    <row r="99" spans="3:43">
      <c r="C99" s="239"/>
      <c r="D99" s="289"/>
      <c r="E99" s="7"/>
      <c r="F99" s="7"/>
      <c r="G99" s="7"/>
      <c r="H99" s="288"/>
      <c r="I99" s="7"/>
      <c r="J99" s="7"/>
      <c r="K99" s="7"/>
      <c r="L99" s="7"/>
      <c r="M99" s="289"/>
      <c r="N99" s="289"/>
      <c r="O99" s="9"/>
      <c r="P99" s="9"/>
      <c r="Q99" s="11"/>
      <c r="R99" s="11"/>
      <c r="S99" s="11"/>
      <c r="T99" s="11"/>
      <c r="U99" s="11"/>
      <c r="V99" s="11"/>
      <c r="W99" s="9"/>
      <c r="X99" s="11"/>
      <c r="Y99" s="11"/>
      <c r="Z99" s="11"/>
      <c r="AA99" s="11"/>
      <c r="AB99" s="11"/>
      <c r="AC99" s="11"/>
      <c r="AD99" s="9"/>
      <c r="AE99" s="11"/>
      <c r="AF99" s="9"/>
      <c r="AG99" s="9"/>
      <c r="AH99" s="9"/>
      <c r="AI99" s="9"/>
      <c r="AJ99" s="9"/>
      <c r="AK99" s="9"/>
      <c r="AL99" s="9"/>
      <c r="AM99" s="9"/>
      <c r="AN99" s="9"/>
      <c r="AO99" s="9"/>
      <c r="AP99" s="9"/>
      <c r="AQ99" s="9"/>
    </row>
    <row r="100" spans="3:43">
      <c r="C100" s="239"/>
      <c r="D100" s="7"/>
      <c r="E100" s="7"/>
      <c r="F100" s="7"/>
      <c r="G100" s="7"/>
      <c r="H100" s="288"/>
      <c r="I100" s="7"/>
      <c r="J100" s="7"/>
      <c r="K100" s="7"/>
      <c r="L100" s="7"/>
      <c r="M100" s="289"/>
      <c r="N100" s="289"/>
      <c r="O100" s="9"/>
      <c r="P100" s="9"/>
      <c r="Q100" s="11"/>
      <c r="R100" s="11"/>
      <c r="S100" s="11"/>
      <c r="T100" s="11"/>
      <c r="U100" s="11"/>
      <c r="V100" s="11"/>
      <c r="W100" s="9"/>
      <c r="X100" s="11"/>
      <c r="Y100" s="11"/>
      <c r="Z100" s="11"/>
      <c r="AA100" s="11"/>
      <c r="AB100" s="11"/>
      <c r="AC100" s="11"/>
      <c r="AD100" s="9"/>
      <c r="AE100" s="11"/>
      <c r="AF100" s="9"/>
      <c r="AG100" s="9"/>
      <c r="AH100" s="9"/>
      <c r="AI100" s="9"/>
      <c r="AJ100" s="9"/>
      <c r="AK100" s="9"/>
      <c r="AL100" s="9"/>
      <c r="AM100" s="9"/>
      <c r="AN100" s="9"/>
      <c r="AO100" s="9"/>
      <c r="AP100" s="9"/>
      <c r="AQ100" s="9"/>
    </row>
    <row r="101" spans="3:43">
      <c r="C101" s="239"/>
      <c r="D101" s="7"/>
      <c r="E101" s="7"/>
      <c r="F101" s="7"/>
      <c r="G101" s="7"/>
      <c r="H101" s="288"/>
      <c r="I101" s="7"/>
      <c r="J101" s="7"/>
      <c r="K101" s="7"/>
      <c r="L101" s="7"/>
      <c r="M101" s="289"/>
      <c r="N101" s="289"/>
      <c r="O101" s="9"/>
      <c r="P101" s="9"/>
      <c r="Q101" s="11"/>
      <c r="R101" s="11"/>
      <c r="S101" s="11"/>
      <c r="T101" s="11"/>
      <c r="U101" s="11"/>
      <c r="V101" s="11"/>
      <c r="W101" s="9"/>
      <c r="X101" s="11"/>
      <c r="Y101" s="11"/>
      <c r="Z101" s="11"/>
      <c r="AA101" s="11"/>
      <c r="AB101" s="11"/>
      <c r="AC101" s="11"/>
      <c r="AD101" s="9"/>
      <c r="AE101" s="11"/>
      <c r="AF101" s="9"/>
      <c r="AG101" s="9"/>
      <c r="AH101" s="9"/>
      <c r="AI101" s="9"/>
      <c r="AJ101" s="9"/>
      <c r="AK101" s="9"/>
      <c r="AL101" s="9"/>
      <c r="AM101" s="9"/>
      <c r="AN101" s="9"/>
      <c r="AO101" s="9"/>
      <c r="AP101" s="9"/>
      <c r="AQ101" s="9"/>
    </row>
    <row r="102" spans="3:43">
      <c r="C102" s="417" t="s">
        <v>293</v>
      </c>
      <c r="D102" s="7"/>
      <c r="E102" s="436" t="s">
        <v>338</v>
      </c>
      <c r="F102" s="466"/>
      <c r="G102" s="437"/>
      <c r="H102" s="288">
        <f>IF(E102="Median survival",1,IF(E102="Cumulative mortality rate",2,3))</f>
        <v>2</v>
      </c>
      <c r="I102" s="9"/>
      <c r="J102" s="7"/>
      <c r="K102" s="7"/>
      <c r="L102" s="7"/>
      <c r="M102" s="289"/>
      <c r="N102" s="289"/>
      <c r="O102" s="9"/>
      <c r="P102" s="9"/>
      <c r="Q102" s="11"/>
      <c r="R102" s="11"/>
      <c r="S102" s="11"/>
      <c r="T102" s="11"/>
      <c r="U102" s="11"/>
      <c r="V102" s="11"/>
      <c r="W102" s="9"/>
      <c r="X102" s="11"/>
      <c r="Y102" s="11"/>
      <c r="Z102" s="11"/>
      <c r="AA102" s="11"/>
      <c r="AB102" s="11"/>
      <c r="AC102" s="11"/>
      <c r="AD102" s="9"/>
      <c r="AE102" s="11"/>
      <c r="AF102" s="9"/>
      <c r="AG102" s="9"/>
      <c r="AH102" s="9"/>
      <c r="AI102" s="9"/>
      <c r="AJ102" s="9"/>
      <c r="AK102" s="9"/>
      <c r="AL102" s="9"/>
      <c r="AM102" s="9"/>
      <c r="AN102" s="9"/>
      <c r="AO102" s="9"/>
      <c r="AP102" s="9"/>
      <c r="AQ102" s="9"/>
    </row>
    <row r="103" spans="3:43">
      <c r="C103" s="417"/>
      <c r="D103" s="7"/>
      <c r="E103" s="290"/>
      <c r="F103" s="7"/>
      <c r="G103" s="7"/>
      <c r="H103" s="288"/>
      <c r="I103" s="7"/>
      <c r="J103" s="7"/>
      <c r="K103" s="7"/>
      <c r="L103" s="7"/>
      <c r="M103" s="289"/>
      <c r="N103" s="289"/>
      <c r="O103" s="9"/>
      <c r="P103" s="9"/>
      <c r="Q103" s="11"/>
      <c r="R103" s="11"/>
      <c r="S103" s="11"/>
      <c r="T103" s="11"/>
      <c r="U103" s="11"/>
      <c r="V103" s="11"/>
      <c r="W103" s="9"/>
      <c r="X103" s="11"/>
      <c r="Y103" s="11"/>
      <c r="Z103" s="11"/>
      <c r="AA103" s="11"/>
      <c r="AB103" s="11"/>
      <c r="AC103" s="11"/>
      <c r="AD103" s="9"/>
      <c r="AE103" s="11"/>
      <c r="AF103" s="9"/>
      <c r="AG103" s="9"/>
      <c r="AH103" s="9"/>
      <c r="AI103" s="9"/>
      <c r="AJ103" s="9"/>
      <c r="AK103" s="9"/>
      <c r="AL103" s="9"/>
      <c r="AM103" s="9"/>
      <c r="AN103" s="9"/>
      <c r="AO103" s="9"/>
      <c r="AP103" s="9"/>
      <c r="AQ103" s="9"/>
    </row>
    <row r="104" spans="3:43">
      <c r="C104" s="48"/>
      <c r="D104" s="7"/>
      <c r="E104" s="290"/>
      <c r="F104" s="7"/>
      <c r="G104" s="7"/>
      <c r="H104" s="288"/>
      <c r="I104" s="7"/>
      <c r="J104" s="7"/>
      <c r="K104" s="7"/>
      <c r="L104" s="7"/>
      <c r="M104" s="289"/>
      <c r="N104" s="289"/>
      <c r="O104" s="9"/>
      <c r="P104" s="9"/>
      <c r="Q104" s="11"/>
      <c r="R104" s="11"/>
      <c r="S104" s="11"/>
      <c r="T104" s="11"/>
      <c r="U104" s="11"/>
      <c r="V104" s="11"/>
      <c r="W104" s="9"/>
      <c r="X104" s="11"/>
      <c r="Y104" s="11"/>
      <c r="Z104" s="11"/>
      <c r="AA104" s="11"/>
      <c r="AB104" s="11"/>
      <c r="AC104" s="11"/>
      <c r="AD104" s="9"/>
      <c r="AE104" s="11"/>
      <c r="AF104" s="9"/>
      <c r="AG104" s="9"/>
      <c r="AH104" s="9"/>
      <c r="AI104" s="9"/>
      <c r="AJ104" s="9"/>
      <c r="AK104" s="9"/>
      <c r="AL104" s="9"/>
      <c r="AM104" s="9"/>
      <c r="AN104" s="9"/>
      <c r="AO104" s="9"/>
      <c r="AP104" s="9"/>
      <c r="AQ104" s="9"/>
    </row>
    <row r="105" spans="3:43">
      <c r="C105" s="7"/>
      <c r="D105" s="7"/>
      <c r="E105" s="7"/>
      <c r="F105" s="7"/>
      <c r="G105" s="7"/>
      <c r="H105" s="288"/>
      <c r="I105" s="7"/>
      <c r="J105" s="7"/>
      <c r="K105" s="7"/>
      <c r="L105" s="7"/>
      <c r="M105" s="289"/>
      <c r="N105" s="289"/>
      <c r="O105" s="9"/>
      <c r="P105" s="9"/>
      <c r="Q105" s="11"/>
      <c r="R105" s="11"/>
      <c r="S105" s="11"/>
      <c r="T105" s="11"/>
      <c r="U105" s="11"/>
      <c r="V105" s="11"/>
      <c r="W105" s="9"/>
      <c r="X105" s="11"/>
      <c r="Y105" s="11"/>
      <c r="Z105" s="11"/>
      <c r="AA105" s="11"/>
      <c r="AB105" s="11"/>
      <c r="AC105" s="11"/>
      <c r="AD105" s="9"/>
      <c r="AE105" s="11"/>
      <c r="AF105" s="9"/>
      <c r="AG105" s="9"/>
      <c r="AH105" s="9"/>
      <c r="AI105" s="9"/>
      <c r="AJ105" s="9"/>
      <c r="AK105" s="9"/>
      <c r="AL105" s="9"/>
      <c r="AM105" s="9"/>
      <c r="AN105" s="9"/>
      <c r="AO105" s="9"/>
      <c r="AP105" s="9"/>
      <c r="AQ105" s="9"/>
    </row>
    <row r="106" spans="3:43">
      <c r="C106" s="465" t="s">
        <v>294</v>
      </c>
      <c r="D106" s="7"/>
      <c r="E106" s="436" t="s">
        <v>315</v>
      </c>
      <c r="F106" s="466"/>
      <c r="G106" s="437"/>
      <c r="H106" s="288">
        <f>IF(E106="Annual data",1,2)</f>
        <v>1</v>
      </c>
      <c r="I106" s="7"/>
      <c r="J106" s="7"/>
      <c r="K106" s="7"/>
      <c r="L106" s="7"/>
      <c r="M106" s="289"/>
      <c r="N106" s="289"/>
      <c r="O106" s="9"/>
      <c r="P106" s="9"/>
      <c r="Q106" s="11"/>
      <c r="R106" s="11"/>
      <c r="S106" s="11"/>
      <c r="T106" s="11"/>
      <c r="U106" s="11"/>
      <c r="V106" s="11"/>
      <c r="W106" s="9"/>
      <c r="X106" s="11"/>
      <c r="Y106" s="11"/>
      <c r="Z106" s="11"/>
      <c r="AA106" s="11"/>
      <c r="AB106" s="11"/>
      <c r="AC106" s="11"/>
      <c r="AD106" s="9"/>
      <c r="AE106" s="11"/>
      <c r="AF106" s="9"/>
      <c r="AG106" s="9"/>
      <c r="AH106" s="9"/>
      <c r="AI106" s="9"/>
      <c r="AJ106" s="9"/>
      <c r="AK106" s="9"/>
      <c r="AL106" s="9"/>
      <c r="AM106" s="9"/>
      <c r="AN106" s="9"/>
      <c r="AO106" s="9"/>
      <c r="AP106" s="9"/>
      <c r="AQ106" s="9"/>
    </row>
    <row r="107" spans="3:43">
      <c r="C107" s="465"/>
      <c r="D107" s="7"/>
      <c r="E107" s="292" t="s">
        <v>295</v>
      </c>
      <c r="F107" s="7"/>
      <c r="G107" s="7"/>
      <c r="H107" s="7"/>
      <c r="I107" s="7"/>
      <c r="J107" s="7"/>
      <c r="K107" s="7"/>
      <c r="L107" s="7"/>
      <c r="M107" s="289"/>
      <c r="N107" s="289"/>
      <c r="O107" s="9"/>
      <c r="P107" s="9"/>
      <c r="Q107" s="11"/>
      <c r="R107" s="11"/>
      <c r="S107" s="11"/>
      <c r="T107" s="11"/>
      <c r="U107" s="11"/>
      <c r="V107" s="11"/>
      <c r="W107" s="9"/>
      <c r="X107" s="11"/>
      <c r="Y107" s="11"/>
      <c r="Z107" s="11"/>
      <c r="AA107" s="11"/>
      <c r="AB107" s="11"/>
      <c r="AC107" s="11"/>
      <c r="AD107" s="9"/>
      <c r="AE107" s="11"/>
      <c r="AF107" s="9"/>
      <c r="AG107" s="9"/>
      <c r="AH107" s="9"/>
      <c r="AI107" s="9"/>
      <c r="AJ107" s="9"/>
      <c r="AK107" s="9"/>
      <c r="AL107" s="11"/>
      <c r="AM107" s="9"/>
      <c r="AN107" s="9"/>
      <c r="AO107" s="9"/>
      <c r="AP107" s="9"/>
      <c r="AQ107" s="9"/>
    </row>
    <row r="108" spans="3:43">
      <c r="C108" s="48"/>
      <c r="D108" s="7"/>
      <c r="E108" s="290" t="s">
        <v>296</v>
      </c>
      <c r="F108" s="7"/>
      <c r="G108" s="7"/>
      <c r="H108" s="7"/>
      <c r="I108" s="7"/>
      <c r="J108" s="7"/>
      <c r="K108" s="7"/>
      <c r="L108" s="7"/>
      <c r="M108" s="289"/>
      <c r="N108" s="289"/>
      <c r="O108" s="9"/>
      <c r="P108" s="9"/>
      <c r="Q108" s="11"/>
      <c r="R108" s="11"/>
      <c r="S108" s="11"/>
      <c r="T108" s="11"/>
      <c r="U108" s="11"/>
      <c r="V108" s="11"/>
      <c r="W108" s="9"/>
      <c r="X108" s="11"/>
      <c r="Y108" s="11"/>
      <c r="Z108" s="11"/>
      <c r="AA108" s="11"/>
      <c r="AB108" s="11"/>
      <c r="AC108" s="11"/>
      <c r="AD108" s="9"/>
      <c r="AE108" s="11"/>
      <c r="AF108" s="9"/>
      <c r="AG108" s="9"/>
      <c r="AH108" s="9"/>
      <c r="AI108" s="9"/>
      <c r="AJ108" s="9"/>
      <c r="AK108" s="9"/>
      <c r="AL108" s="11"/>
      <c r="AM108" s="9"/>
      <c r="AN108" s="9"/>
      <c r="AO108" s="9"/>
      <c r="AP108" s="9"/>
      <c r="AQ108" s="9"/>
    </row>
    <row r="109" spans="3:43" ht="15" customHeight="1">
      <c r="C109" s="7"/>
      <c r="D109" s="7"/>
      <c r="E109" s="7"/>
      <c r="F109" s="7"/>
      <c r="G109" s="7"/>
      <c r="H109" s="288"/>
      <c r="I109" s="7"/>
      <c r="J109" s="7"/>
      <c r="K109" s="7"/>
      <c r="L109" s="7"/>
      <c r="M109" s="289"/>
      <c r="N109" s="289"/>
      <c r="O109" s="9"/>
      <c r="P109" s="9"/>
      <c r="Q109" s="453" t="s">
        <v>300</v>
      </c>
      <c r="R109" s="454"/>
      <c r="S109" s="454"/>
      <c r="T109" s="454"/>
      <c r="U109" s="455"/>
      <c r="V109" s="11"/>
      <c r="W109" s="9"/>
      <c r="X109" s="453" t="s">
        <v>301</v>
      </c>
      <c r="Y109" s="454"/>
      <c r="Z109" s="454"/>
      <c r="AA109" s="454"/>
      <c r="AB109" s="455"/>
      <c r="AC109" s="11"/>
      <c r="AD109" s="9"/>
      <c r="AE109" s="453" t="s">
        <v>302</v>
      </c>
      <c r="AF109" s="454"/>
      <c r="AG109" s="454"/>
      <c r="AH109" s="454"/>
      <c r="AI109" s="455"/>
      <c r="AJ109" s="9"/>
      <c r="AK109" s="9"/>
      <c r="AL109" s="453" t="s">
        <v>303</v>
      </c>
      <c r="AM109" s="454"/>
      <c r="AN109" s="454"/>
      <c r="AO109" s="454"/>
      <c r="AP109" s="455"/>
      <c r="AQ109" s="9"/>
    </row>
    <row r="110" spans="3:43">
      <c r="C110" s="293" t="s">
        <v>297</v>
      </c>
      <c r="D110" s="7"/>
      <c r="E110" s="290"/>
      <c r="F110" s="7"/>
      <c r="G110" s="7"/>
      <c r="H110" s="293" t="s">
        <v>298</v>
      </c>
      <c r="I110" s="7"/>
      <c r="J110" s="7"/>
      <c r="K110" s="7"/>
      <c r="L110" s="7"/>
      <c r="M110" s="289"/>
      <c r="N110" s="289"/>
      <c r="O110" s="9"/>
      <c r="P110" s="9"/>
      <c r="Q110" s="456"/>
      <c r="R110" s="457"/>
      <c r="S110" s="457"/>
      <c r="T110" s="457"/>
      <c r="U110" s="458"/>
      <c r="V110" s="11"/>
      <c r="W110" s="9"/>
      <c r="X110" s="456"/>
      <c r="Y110" s="457"/>
      <c r="Z110" s="457"/>
      <c r="AA110" s="457"/>
      <c r="AB110" s="458"/>
      <c r="AC110" s="11"/>
      <c r="AD110" s="9"/>
      <c r="AE110" s="456"/>
      <c r="AF110" s="457"/>
      <c r="AG110" s="457"/>
      <c r="AH110" s="457"/>
      <c r="AI110" s="458"/>
      <c r="AJ110" s="9"/>
      <c r="AK110" s="9"/>
      <c r="AL110" s="456"/>
      <c r="AM110" s="457"/>
      <c r="AN110" s="457"/>
      <c r="AO110" s="457"/>
      <c r="AP110" s="458"/>
      <c r="AQ110" s="9"/>
    </row>
    <row r="111" spans="3:43" ht="15" customHeight="1">
      <c r="C111" s="467" t="str">
        <f>IF($H$102=1,"Enter the median survival","Do not fill in this table")</f>
        <v>Do not fill in this table</v>
      </c>
      <c r="D111" s="469" t="s">
        <v>278</v>
      </c>
      <c r="E111" s="469"/>
      <c r="F111" s="9"/>
      <c r="G111" s="9"/>
      <c r="H111" s="467" t="str">
        <f>IF($H$102=1,"Do not fill in this table",E102)</f>
        <v>Cumulative mortality rate</v>
      </c>
      <c r="I111" s="449"/>
      <c r="J111" s="295" t="s">
        <v>285</v>
      </c>
      <c r="K111" s="295" t="s">
        <v>286</v>
      </c>
      <c r="L111" s="295" t="s">
        <v>287</v>
      </c>
      <c r="M111" s="295" t="s">
        <v>288</v>
      </c>
      <c r="N111" s="289"/>
      <c r="O111" s="9"/>
      <c r="P111" s="9"/>
      <c r="Q111" s="449" t="s">
        <v>276</v>
      </c>
      <c r="R111" s="295" t="s">
        <v>285</v>
      </c>
      <c r="S111" s="295" t="s">
        <v>286</v>
      </c>
      <c r="T111" s="295" t="s">
        <v>287</v>
      </c>
      <c r="U111" s="295" t="s">
        <v>288</v>
      </c>
      <c r="V111" s="11"/>
      <c r="W111" s="9"/>
      <c r="X111" s="449" t="s">
        <v>276</v>
      </c>
      <c r="Y111" s="295" t="s">
        <v>285</v>
      </c>
      <c r="Z111" s="295" t="s">
        <v>286</v>
      </c>
      <c r="AA111" s="295" t="s">
        <v>287</v>
      </c>
      <c r="AB111" s="295" t="s">
        <v>288</v>
      </c>
      <c r="AC111" s="11"/>
      <c r="AD111" s="9"/>
      <c r="AE111" s="449" t="s">
        <v>276</v>
      </c>
      <c r="AF111" s="295" t="s">
        <v>285</v>
      </c>
      <c r="AG111" s="295" t="s">
        <v>286</v>
      </c>
      <c r="AH111" s="295" t="s">
        <v>287</v>
      </c>
      <c r="AI111" s="295" t="s">
        <v>288</v>
      </c>
      <c r="AJ111" s="9"/>
      <c r="AK111" s="9"/>
      <c r="AL111" s="449" t="s">
        <v>276</v>
      </c>
      <c r="AM111" s="295" t="s">
        <v>285</v>
      </c>
      <c r="AN111" s="295" t="s">
        <v>286</v>
      </c>
      <c r="AO111" s="295" t="s">
        <v>287</v>
      </c>
      <c r="AP111" s="295" t="s">
        <v>288</v>
      </c>
      <c r="AQ111" s="9"/>
    </row>
    <row r="112" spans="3:43" ht="15" customHeight="1">
      <c r="C112" s="468"/>
      <c r="D112" s="468"/>
      <c r="E112" s="468"/>
      <c r="F112" s="9"/>
      <c r="G112" s="9"/>
      <c r="H112" s="467"/>
      <c r="I112" s="449"/>
      <c r="J112" s="477" t="s">
        <v>280</v>
      </c>
      <c r="K112" s="478"/>
      <c r="L112" s="478"/>
      <c r="M112" s="478"/>
      <c r="N112" s="289"/>
      <c r="O112" s="9"/>
      <c r="P112" s="9"/>
      <c r="Q112" s="450"/>
      <c r="R112" s="297"/>
      <c r="S112" s="298"/>
      <c r="T112" s="298"/>
      <c r="U112" s="298"/>
      <c r="V112" s="11"/>
      <c r="W112" s="9"/>
      <c r="X112" s="450"/>
      <c r="Y112" s="297"/>
      <c r="Z112" s="298"/>
      <c r="AA112" s="298"/>
      <c r="AB112" s="298"/>
      <c r="AC112" s="11"/>
      <c r="AD112" s="9"/>
      <c r="AE112" s="450"/>
      <c r="AF112" s="297"/>
      <c r="AG112" s="298"/>
      <c r="AH112" s="298"/>
      <c r="AI112" s="298"/>
      <c r="AJ112" s="9"/>
      <c r="AK112" s="9"/>
      <c r="AL112" s="450"/>
      <c r="AM112" s="297"/>
      <c r="AN112" s="298"/>
      <c r="AO112" s="298"/>
      <c r="AP112" s="298"/>
      <c r="AQ112" s="9"/>
    </row>
    <row r="113" spans="3:43">
      <c r="C113" s="300" t="str">
        <f>IF(intervencao1=0,"Do not fill this line",intervencao1)</f>
        <v>Intrauterine device levonorgestrel</v>
      </c>
      <c r="D113" s="461"/>
      <c r="E113" s="462"/>
      <c r="F113" s="9"/>
      <c r="G113" s="9"/>
      <c r="H113" s="451" t="str">
        <f>IF(intervencao1=0,"Do not fill this line",intervencao1)</f>
        <v>Intrauterine device levonorgestrel</v>
      </c>
      <c r="I113" s="452"/>
      <c r="J113" s="230"/>
      <c r="K113" s="230"/>
      <c r="L113" s="230"/>
      <c r="M113" s="230"/>
      <c r="N113" s="289"/>
      <c r="O113" s="9"/>
      <c r="P113" s="9"/>
      <c r="Q113" s="300" t="str">
        <f>IF(intervencao1=0,"Do not fill this line",intervencao1)</f>
        <v>Intrauterine device levonorgestrel</v>
      </c>
      <c r="R113" s="227">
        <f t="shared" ref="R113:U116" si="6">IFERROR(IF(AND(obito=1,$H$102=1),Y113,IF(AND(obito=1,$H$102=2),AM113,IF(AND(obito=1,$H$102=3),AF113,0))),0)</f>
        <v>0</v>
      </c>
      <c r="S113" s="227">
        <f t="shared" si="6"/>
        <v>0</v>
      </c>
      <c r="T113" s="227">
        <f t="shared" si="6"/>
        <v>0</v>
      </c>
      <c r="U113" s="227">
        <f t="shared" si="6"/>
        <v>0</v>
      </c>
      <c r="V113" s="11"/>
      <c r="W113" s="9"/>
      <c r="X113" s="223" t="str">
        <f>IF(intervencao1=0,"Do not fill this line",intervencao1)</f>
        <v>Intrauterine device levonorgestrel</v>
      </c>
      <c r="Y113" s="227" t="e">
        <f>1-AVERAGEIF(Data!AK$110:AK$121,"&gt;0",Data!AK$110:AK$121)</f>
        <v>#DIV/0!</v>
      </c>
      <c r="Z113" s="227" t="e">
        <f>1-AVERAGEIF(Data!AK$122:AK$133,"&gt;0",Data!AK$122:AK$133)</f>
        <v>#DIV/0!</v>
      </c>
      <c r="AA113" s="227" t="e">
        <f>1-AVERAGEIF(Data!AK$134:AK$145,"&gt;0",Data!AK$134:AK$145)</f>
        <v>#DIV/0!</v>
      </c>
      <c r="AB113" s="227" t="e">
        <f>1-AVERAGEIF(Data!AK$146:AK$157,"&gt;0",Data!AK$146:AK$157)</f>
        <v>#DIV/0!</v>
      </c>
      <c r="AC113" s="11"/>
      <c r="AD113" s="9"/>
      <c r="AE113" s="223" t="str">
        <f>IF(intervencao1=0,"Do not fill this line",intervencao1)</f>
        <v>Intrauterine device levonorgestrel</v>
      </c>
      <c r="AF113" s="227">
        <f>1-IFERROR(IF(AND($H$106=1,J113=""),1,IF(AND($H$106=1,J113=0),0,IF(AND($H$106=1,J113&gt;0),J113,AVERAGEIF(Data!S$110:S$121,"&gt;0",Data!S$110:S$121)))),1)</f>
        <v>0</v>
      </c>
      <c r="AG113" s="227">
        <f>1-IFERROR(IF(AND($H$106=1,K113=""),1,IF(AND($H$106=1,K113=0),0,IF(AND($H$106=1,K113&gt;0),K113,AVERAGEIF(Data!S$122:S$133,"&gt;0",Data!S$122:S$133)))),1)</f>
        <v>0</v>
      </c>
      <c r="AH113" s="227">
        <f>1-IFERROR(IF(AND($H$106=1,L113=""),1,IF(AND($H$106=1,L113=0),0,IF(AND($H$106=1,L113&gt;0),L113,AVERAGEIF(Data!S$134:S$145,"&gt;0",Data!S$134:S$145)))),1)</f>
        <v>0</v>
      </c>
      <c r="AI113" s="227">
        <f>1-IFERROR(IF(AND($H$106=1,M113=""),1,IF(AND($H$106=1,M113=0),0,IF(AND($H$106=1,M113&gt;0),M113,AVERAGEIF(Data!S$146:S$157,"&gt;0",Data!S$146:S$157)))),1)</f>
        <v>0</v>
      </c>
      <c r="AJ113" s="9"/>
      <c r="AK113" s="9"/>
      <c r="AL113" s="223" t="str">
        <f>IF(intervencao1=0,"Do not fill this line",intervencao1)</f>
        <v>Intrauterine device levonorgestrel</v>
      </c>
      <c r="AM113" s="227">
        <f>IFERROR(IF(H106=1,J113,AVERAGEIF(Data!C$110:C$121,"&gt;0",Data!C$110:C$121)),0)</f>
        <v>0</v>
      </c>
      <c r="AN113" s="227">
        <f>IFERROR(IF(H106=1,K113,AVERAGEIF(Data!C$122:C$133,"&gt;0",Data!C$122:C$133)),0)</f>
        <v>0</v>
      </c>
      <c r="AO113" s="227">
        <f>IFERROR(IF(H106=1,L113,AVERAGEIF(Data!C$134:C$145,"&gt;0",Data!C$134:C$145)),0)</f>
        <v>0</v>
      </c>
      <c r="AP113" s="227">
        <f>IFERROR(IF(H106=1,M113,AVERAGEIF(Data!C$146:C$157,"&gt;0",Data!C$146:C$157)),0)</f>
        <v>0</v>
      </c>
      <c r="AQ113" s="9"/>
    </row>
    <row r="114" spans="3:43">
      <c r="C114" s="300" t="str">
        <f>IF(intervencao2=0,"Do not fill this line",intervencao2)</f>
        <v>Do not fill this line</v>
      </c>
      <c r="D114" s="461"/>
      <c r="E114" s="462"/>
      <c r="F114" s="9"/>
      <c r="G114" s="9"/>
      <c r="H114" s="451" t="str">
        <f>IF(intervencao2=0,"Do not fill this line",intervencao2)</f>
        <v>Do not fill this line</v>
      </c>
      <c r="I114" s="452"/>
      <c r="J114" s="230"/>
      <c r="K114" s="230"/>
      <c r="L114" s="230"/>
      <c r="M114" s="230"/>
      <c r="N114" s="289"/>
      <c r="O114" s="9"/>
      <c r="P114" s="9"/>
      <c r="Q114" s="300" t="str">
        <f>IF(intervencao2=0,"Do not fill this line",intervencao2)</f>
        <v>Do not fill this line</v>
      </c>
      <c r="R114" s="227">
        <f t="shared" si="6"/>
        <v>0</v>
      </c>
      <c r="S114" s="227">
        <f t="shared" si="6"/>
        <v>0</v>
      </c>
      <c r="T114" s="227">
        <f t="shared" si="6"/>
        <v>0</v>
      </c>
      <c r="U114" s="227">
        <f t="shared" si="6"/>
        <v>0</v>
      </c>
      <c r="V114" s="11"/>
      <c r="W114" s="9"/>
      <c r="X114" s="223" t="str">
        <f>IF(intervencao2=0,"Do not fill this line",intervencao2)</f>
        <v>Do not fill this line</v>
      </c>
      <c r="Y114" s="227" t="e">
        <f>1-AVERAGEIF(Data!AL$110:AL$121,"&gt;0",Data!AL$110:AL$121)</f>
        <v>#DIV/0!</v>
      </c>
      <c r="Z114" s="227" t="e">
        <f>1-AVERAGEIF(Data!AL$122:AL$133,"&gt;0",Data!AL$122:AL$133)</f>
        <v>#DIV/0!</v>
      </c>
      <c r="AA114" s="227" t="e">
        <f>1-AVERAGEIF(Data!AL$134:AL$145,"&gt;0",Data!AL$134:AL$145)</f>
        <v>#DIV/0!</v>
      </c>
      <c r="AB114" s="227" t="e">
        <f>1-AVERAGEIF(Data!AL$146:AL$157,"&gt;0",Data!AL$146:AL$157)</f>
        <v>#DIV/0!</v>
      </c>
      <c r="AC114" s="11"/>
      <c r="AD114" s="9"/>
      <c r="AE114" s="223" t="str">
        <f>IF(intervencao2=0,"Do not fill this line",intervencao2)</f>
        <v>Do not fill this line</v>
      </c>
      <c r="AF114" s="227">
        <f>1-IFERROR(IF(AND($H$106=1,J114=""),1,IF(AND($H$106=1,J114=0),0,IF(AND($H$106=1,J114&gt;0),J114,AVERAGEIF(Data!T$110:T$121,"&gt;0",Data!T$110:T$121)))),1)</f>
        <v>0</v>
      </c>
      <c r="AG114" s="227">
        <f>1-IFERROR(IF(AND($H$106=1,K114=""),1,IF(AND($H$106=1,K114=0),0,IF(AND($H$106=1,K114&gt;0),K114,AVERAGEIF(Data!T$122:T$133,"&gt;0",Data!T$122:T$133)))),1)</f>
        <v>0</v>
      </c>
      <c r="AH114" s="227">
        <f>1-IFERROR(IF(AND($H$106=1,L114=""),1,IF(AND($H$106=1,L114=0),0,IF(AND($H$106=1,L114&gt;0),L114,AVERAGEIF(Data!T$134:T$145,"&gt;0",Data!T$134:T$145)))),1)</f>
        <v>0</v>
      </c>
      <c r="AI114" s="227">
        <f>1-IFERROR(IF(AND($H$106=1,M114=""),1,IF(AND($H$106=1,M114=0),0,IF(AND($H$106=1,M114&gt;0),M114,AVERAGEIF(Data!T$146:T$157,"&gt;0",Data!T$146:T$157)))),1)</f>
        <v>0</v>
      </c>
      <c r="AJ114" s="9"/>
      <c r="AK114" s="9"/>
      <c r="AL114" s="223" t="str">
        <f>IF(intervencao2=0,"Do not fill this line",intervencao2)</f>
        <v>Do not fill this line</v>
      </c>
      <c r="AM114" s="227">
        <f>IFERROR(IF(H106=1,J114,AVERAGEIF(Data!D$110:D$121,"&gt;0",Data!D$110:D$121)),0)</f>
        <v>0</v>
      </c>
      <c r="AN114" s="227">
        <f>IFERROR(IF(H106=1,K114,AVERAGEIF(Data!D$122:D$133,"&gt;0",Data!D$122:D$133)),0)</f>
        <v>0</v>
      </c>
      <c r="AO114" s="227">
        <f>IFERROR(IF(H106=1,L114,AVERAGEIF(Data!D$134:D$145,"&gt;0",Data!D$134:D$145)),0)</f>
        <v>0</v>
      </c>
      <c r="AP114" s="227">
        <f>IFERROR(IF(H106=1,M114,AVERAGEIF(Data!D$146:D$157,"&gt;0",Data!D$146:D$157)),0)</f>
        <v>0</v>
      </c>
      <c r="AQ114" s="9"/>
    </row>
    <row r="115" spans="3:43">
      <c r="C115" s="300" t="str">
        <f>IF(intervencao3=0,"Do not fill this line",intervencao3)</f>
        <v>Do not fill this line</v>
      </c>
      <c r="D115" s="461"/>
      <c r="E115" s="462"/>
      <c r="F115" s="9"/>
      <c r="G115" s="9"/>
      <c r="H115" s="451" t="str">
        <f>IF(intervencao3=0,"Do not fill this line",intervencao3)</f>
        <v>Do not fill this line</v>
      </c>
      <c r="I115" s="452"/>
      <c r="J115" s="230"/>
      <c r="K115" s="230"/>
      <c r="L115" s="230"/>
      <c r="M115" s="230"/>
      <c r="N115" s="289"/>
      <c r="O115" s="9"/>
      <c r="P115" s="9"/>
      <c r="Q115" s="300" t="str">
        <f>IF(intervencao3=0,"Do not fill this line",intervencao3)</f>
        <v>Do not fill this line</v>
      </c>
      <c r="R115" s="227">
        <f t="shared" si="6"/>
        <v>0</v>
      </c>
      <c r="S115" s="227">
        <f t="shared" si="6"/>
        <v>0</v>
      </c>
      <c r="T115" s="227">
        <f t="shared" si="6"/>
        <v>0</v>
      </c>
      <c r="U115" s="227">
        <f t="shared" si="6"/>
        <v>0</v>
      </c>
      <c r="V115" s="11"/>
      <c r="W115" s="9"/>
      <c r="X115" s="223" t="str">
        <f>IF(intervencao3=0,"Do not fill this line",intervencao3)</f>
        <v>Do not fill this line</v>
      </c>
      <c r="Y115" s="227" t="e">
        <f>1-AVERAGEIF(Data!AM$110:AM$121,"&gt;0",Data!AM$110:AM$121)</f>
        <v>#DIV/0!</v>
      </c>
      <c r="Z115" s="227" t="e">
        <f>1-AVERAGEIF(Data!AM$122:AM$133,"&gt;0",Data!AM$122:AM$133)</f>
        <v>#DIV/0!</v>
      </c>
      <c r="AA115" s="227" t="e">
        <f>1-AVERAGEIF(Data!AM$134:AM$145,"&gt;0",Data!AM$134:AM$145)</f>
        <v>#DIV/0!</v>
      </c>
      <c r="AB115" s="227" t="e">
        <f>1-AVERAGEIF(Data!AM$146:AM$157,"&gt;0",Data!AM$146:AM$157)</f>
        <v>#DIV/0!</v>
      </c>
      <c r="AC115" s="11"/>
      <c r="AD115" s="9"/>
      <c r="AE115" s="223" t="str">
        <f>IF(intervencao3=0,"Do not fill this line",intervencao3)</f>
        <v>Do not fill this line</v>
      </c>
      <c r="AF115" s="227">
        <f>1-IFERROR(IF(AND($H$106=1,J115=""),1,IF(AND($H$106=1,J115=0),0,IF(AND($H$106=1,J115&gt;0),J115,AVERAGEIF(Data!U$110:U$121,"&gt;0",Data!U$110:U$1090)))),1)</f>
        <v>0</v>
      </c>
      <c r="AG115" s="227">
        <f>1-IFERROR(IF(AND($H$106=1,K115=""),1,IF(AND($H$106=1,K115=0),0,IF(AND($H$106=1,K115&gt;0),K115,AVERAGEIF(Data!U$122:U$133,"&gt;0",Data!U$122:U$133)))),1)</f>
        <v>0</v>
      </c>
      <c r="AH115" s="227">
        <f>1-IFERROR(IF(AND($H$106=1,L115=""),1,IF(AND($H$106=1,L115=0),0,IF(AND($H$106=1,L115&gt;0),L115,AVERAGEIF(Data!U$134:U$145,"&gt;0",Data!U$134:U$145)))),1)</f>
        <v>0</v>
      </c>
      <c r="AI115" s="227">
        <f>1-IFERROR(IF(AND($H$106=1,M115=""),1,IF(AND($H$106=1,M115=0),0,IF(AND($H$106=1,M115&gt;0),M115,AVERAGEIF(Data!U$146:U$157,"&gt;0",Data!U$146:U$157)))),1)</f>
        <v>0</v>
      </c>
      <c r="AJ115" s="9"/>
      <c r="AK115" s="9"/>
      <c r="AL115" s="223" t="str">
        <f>IF(intervencao3=0,"Do not fill this line",intervencao3)</f>
        <v>Do not fill this line</v>
      </c>
      <c r="AM115" s="227">
        <f>IFERROR(IF(H106=1,J115,AVERAGEIF(Data!E$110:E$121,"&gt;0",Data!E$110:E$121)),0)</f>
        <v>0</v>
      </c>
      <c r="AN115" s="227">
        <f>IFERROR(IF(H106=1,K115,AVERAGEIF(Data!E$122:E$133,"&gt;0",Data!E$122:E$133)),0)</f>
        <v>0</v>
      </c>
      <c r="AO115" s="227">
        <f>IFERROR(IF(H106=1,L115,AVERAGEIF(Data!E$134:E$145,"&gt;0",Data!E$134:E$145)),0)</f>
        <v>0</v>
      </c>
      <c r="AP115" s="227">
        <f>IFERROR(IF(H106=1,M115,AVERAGEIF(Data!E$146:E$157,"&gt;0",Data!E$146:E$157)),0)</f>
        <v>0</v>
      </c>
      <c r="AQ115" s="9"/>
    </row>
    <row r="116" spans="3:43">
      <c r="C116" s="300" t="str">
        <f>IF(intervencao4=0,"Do not fill this line",intervencao4)</f>
        <v>Do not fill this line</v>
      </c>
      <c r="D116" s="461"/>
      <c r="E116" s="462"/>
      <c r="F116" s="9"/>
      <c r="G116" s="9"/>
      <c r="H116" s="451" t="str">
        <f>IF(intervencao4=0,"Do not fill this line",intervencao4)</f>
        <v>Do not fill this line</v>
      </c>
      <c r="I116" s="452"/>
      <c r="J116" s="230"/>
      <c r="K116" s="230"/>
      <c r="L116" s="230"/>
      <c r="M116" s="230"/>
      <c r="N116" s="289"/>
      <c r="O116" s="9"/>
      <c r="P116" s="9"/>
      <c r="Q116" s="300" t="str">
        <f>IF(intervencao4=0,"Do not fill this line",intervencao4)</f>
        <v>Do not fill this line</v>
      </c>
      <c r="R116" s="227">
        <f t="shared" si="6"/>
        <v>0</v>
      </c>
      <c r="S116" s="227">
        <f t="shared" si="6"/>
        <v>0</v>
      </c>
      <c r="T116" s="227">
        <f t="shared" si="6"/>
        <v>0</v>
      </c>
      <c r="U116" s="227">
        <f t="shared" si="6"/>
        <v>0</v>
      </c>
      <c r="V116" s="11"/>
      <c r="W116" s="9"/>
      <c r="X116" s="223" t="str">
        <f>IF(intervencao4=0,"Do not fill this line",intervencao4)</f>
        <v>Do not fill this line</v>
      </c>
      <c r="Y116" s="227" t="e">
        <f>1-AVERAGEIF(Data!AN$110:AN$121,"&gt;0",Data!AN$110:AN$121)</f>
        <v>#DIV/0!</v>
      </c>
      <c r="Z116" s="227" t="e">
        <f>1-AVERAGEIF(Data!AN$122:AN$133,"&gt;0",Data!AN$122:AN$133)</f>
        <v>#DIV/0!</v>
      </c>
      <c r="AA116" s="227" t="e">
        <f>1-AVERAGEIF(Data!AN$134:AN$145,"&gt;0",Data!AN$134:AN$145)</f>
        <v>#DIV/0!</v>
      </c>
      <c r="AB116" s="227" t="e">
        <f>1-AVERAGEIF(Data!AN$146:AN$157,"&gt;0",Data!AN$146:AN$157)</f>
        <v>#DIV/0!</v>
      </c>
      <c r="AC116" s="11"/>
      <c r="AD116" s="9"/>
      <c r="AE116" s="223" t="str">
        <f>IF(intervencao4=0,"Do not fill this line",intervencao4)</f>
        <v>Do not fill this line</v>
      </c>
      <c r="AF116" s="227">
        <f>1-IFERROR(IF(AND($H$106=1,J116=""),1,IF(AND($H$106=1,J116=0),0,IF(AND($H$106=1,J116&gt;0),J116,AVERAGEIF(Data!V$110:V$121,"&gt;0",Data!V$110:V$121)))),1)</f>
        <v>0</v>
      </c>
      <c r="AG116" s="227">
        <f>1-IFERROR(IF(AND($H$106=1,K116=""),1,IF(AND($H$106=1,K116=0),0,IF(AND($H$106=1,K116&gt;0),K116,AVERAGEIF(Data!V$122:V$133,"&gt;0",Data!V$122:V$133)))),1)</f>
        <v>0</v>
      </c>
      <c r="AH116" s="227">
        <f>1-IFERROR(IF(AND($H$106=1,L116=""),1,IF(AND($H$106=1,L116=0),0,IF(AND($H$106=1,L116&gt;0),L116,AVERAGEIF(Data!V$134:V$145,"&gt;0",Data!V$134:V$145)))),1)</f>
        <v>0</v>
      </c>
      <c r="AI116" s="227">
        <f>1-IFERROR(IF(AND($H$106=1,M116=""),1,IF(AND($H$106=1,M116=0),0,IF(AND($H$106=1,M116&gt;0),M116,AVERAGEIF(Data!V$146:V$157,"&gt;0",Data!V$146:V$157)))),1)</f>
        <v>0</v>
      </c>
      <c r="AJ116" s="9"/>
      <c r="AK116" s="9"/>
      <c r="AL116" s="223" t="str">
        <f>IF(intervencao4=0,"Do not fill this line",intervencao4)</f>
        <v>Do not fill this line</v>
      </c>
      <c r="AM116" s="227">
        <f>IFERROR(IF(H106=1,J116,AVERAGEIF(Data!F$110:F$121,"&gt;0",Data!F$110:F$121)),0)</f>
        <v>0</v>
      </c>
      <c r="AN116" s="227">
        <f>IFERROR(IF(H106=1,K116,AVERAGEIF(Data!F$122:F$133,"&gt;0",Data!F$122:F$133)),0)</f>
        <v>0</v>
      </c>
      <c r="AO116" s="227">
        <f>IFERROR(IF(H106=1,L116,AVERAGEIF(Data!F$134:F$145,"&gt;0",Data!F$134:F$145)),0)</f>
        <v>0</v>
      </c>
      <c r="AP116" s="227">
        <f>IFERROR(IF(H106=1,M116,AVERAGEIF(Data!F$146:F$157,"&gt;0",Data!F$146:F$157)),0)</f>
        <v>0</v>
      </c>
      <c r="AQ116" s="9"/>
    </row>
    <row r="117" spans="3:43" ht="16.05" customHeight="1">
      <c r="C117" s="294" t="str">
        <f>IF($H$102=1,"Enter the median survival","Do not fill in this table")</f>
        <v>Do not fill in this table</v>
      </c>
      <c r="D117" s="463" t="s">
        <v>278</v>
      </c>
      <c r="E117" s="464"/>
      <c r="F117" s="9"/>
      <c r="G117" s="9"/>
      <c r="H117" s="459" t="str">
        <f>H111</f>
        <v>Cumulative mortality rate</v>
      </c>
      <c r="I117" s="460"/>
      <c r="J117" s="475" t="s">
        <v>279</v>
      </c>
      <c r="K117" s="476"/>
      <c r="L117" s="476"/>
      <c r="M117" s="476"/>
      <c r="N117" s="7"/>
      <c r="O117" s="7"/>
      <c r="P117" s="7"/>
      <c r="Q117" s="302" t="str">
        <f>Q111</f>
        <v>Do not fill in this table</v>
      </c>
      <c r="R117" s="303"/>
      <c r="S117" s="304"/>
      <c r="T117" s="304"/>
      <c r="U117" s="304"/>
      <c r="V117" s="11"/>
      <c r="W117" s="7"/>
      <c r="X117" s="302" t="str">
        <f>X111</f>
        <v>Do not fill in this table</v>
      </c>
      <c r="Y117" s="303"/>
      <c r="Z117" s="304"/>
      <c r="AA117" s="304"/>
      <c r="AB117" s="304"/>
      <c r="AC117" s="11"/>
      <c r="AD117" s="9"/>
      <c r="AE117" s="302" t="str">
        <f>AE111</f>
        <v>Do not fill in this table</v>
      </c>
      <c r="AF117" s="303"/>
      <c r="AG117" s="304"/>
      <c r="AH117" s="304"/>
      <c r="AI117" s="304"/>
      <c r="AJ117" s="9"/>
      <c r="AK117" s="9"/>
      <c r="AL117" s="302" t="s">
        <v>276</v>
      </c>
      <c r="AM117" s="303"/>
      <c r="AN117" s="304"/>
      <c r="AO117" s="304"/>
      <c r="AP117" s="304"/>
      <c r="AQ117" s="9"/>
    </row>
    <row r="118" spans="3:43">
      <c r="C118" s="300" t="str">
        <f>IF(comparador1=0,"Do not fill this line",comparador1)</f>
        <v>Oral contraceptive</v>
      </c>
      <c r="D118" s="461"/>
      <c r="E118" s="462"/>
      <c r="F118" s="9"/>
      <c r="G118" s="9"/>
      <c r="H118" s="451" t="str">
        <f>IF(comparador1=0,"Do not fill this line",comparador1)</f>
        <v>Oral contraceptive</v>
      </c>
      <c r="I118" s="452"/>
      <c r="J118" s="230"/>
      <c r="K118" s="230"/>
      <c r="L118" s="230"/>
      <c r="M118" s="230"/>
      <c r="N118" s="289"/>
      <c r="O118" s="9"/>
      <c r="P118" s="9"/>
      <c r="Q118" s="300" t="str">
        <f>IF(comparador1=0,"Do not fill this line",comparador1)</f>
        <v>Oral contraceptive</v>
      </c>
      <c r="R118" s="227">
        <f>IFERROR(IF(AND(obito=1,$H$102=1),Y118,IF(AND(obito=1,$H$102=2),AM118,IF(AND(obito=1,$H$102=3),AF118,0))),0)</f>
        <v>0</v>
      </c>
      <c r="S118" s="227">
        <f t="shared" ref="S118:S127" si="7">IFERROR(IF(AND(obito=1,$H$102=1),Z118,IF(AND(obito=1,$H$102=2),AN118,IF(AND(obito=1,$H$102=3),AG118,0))),0)</f>
        <v>0</v>
      </c>
      <c r="T118" s="227">
        <f t="shared" ref="T118:T127" si="8">IFERROR(IF(AND(obito=1,$H$102=1),AA118,IF(AND(obito=1,$H$102=2),AO118,IF(AND(obito=1,$H$102=3),AH118,0))),0)</f>
        <v>0</v>
      </c>
      <c r="U118" s="227">
        <f t="shared" ref="U118:U127" si="9">IFERROR(IF(AND(obito=1,$H$102=1),AB118,IF(AND(obito=1,$H$102=2),AP118,IF(AND(obito=1,$H$102=3),AI118,0))),0)</f>
        <v>0</v>
      </c>
      <c r="V118" s="11"/>
      <c r="W118" s="9"/>
      <c r="X118" s="223" t="str">
        <f>IF(comparador1=0,"Do not fill this line",comparador1)</f>
        <v>Oral contraceptive</v>
      </c>
      <c r="Y118" s="227" t="e">
        <f>1-AVERAGEIF(Data!AO$110:AO$121,"&gt;0",Data!AO$110:AO$121)</f>
        <v>#DIV/0!</v>
      </c>
      <c r="Z118" s="227" t="e">
        <f>1-AVERAGEIF(Data!AO$122:AO$133,"&gt;0",Data!AO$122:AO$133)</f>
        <v>#DIV/0!</v>
      </c>
      <c r="AA118" s="227" t="e">
        <f>1-AVERAGEIF(Data!AO$134:AO$145,"&gt;0",Data!AO$134:AO$145)</f>
        <v>#DIV/0!</v>
      </c>
      <c r="AB118" s="227" t="e">
        <f>1-AVERAGEIF(Data!AO$146:AO$157,"&gt;0",Data!AO$146:AO$157)</f>
        <v>#DIV/0!</v>
      </c>
      <c r="AC118" s="11"/>
      <c r="AD118" s="9"/>
      <c r="AE118" s="223" t="str">
        <f>IF(comparador1=0,"Do not fill this line",comparador1)</f>
        <v>Oral contraceptive</v>
      </c>
      <c r="AF118" s="227">
        <f>1-IFERROR(IF(AND($H$106=1,J118=""),1,IF(AND($H$106=1,J118=0),0,IF(AND($H$106=1,J118&gt;0),J118,AVERAGEIF(Data!W$110:W$121,"&gt;0",Data!W$110:W$121)))),1)</f>
        <v>0</v>
      </c>
      <c r="AG118" s="227">
        <f>1-IFERROR(IF(AND($H$106=1,K118=""),1,IF(AND($H$106=1,K118=0),0,IF(AND($H$106=1,K118&gt;0),K118,AVERAGEIF(Data!W$122:W$133,"&gt;0",Data!W$122:W$133)))),1)</f>
        <v>0</v>
      </c>
      <c r="AH118" s="227">
        <f>1-IFERROR(IF(AND($H$106=1,L118=""),1,IF(AND($H$106=1,L118=0),0,IF(AND($H$106=1,L118&gt;0),L118,AVERAGEIF(Data!W$134:W$145,"&gt;0",Data!W$134:W$145)))),1)</f>
        <v>0</v>
      </c>
      <c r="AI118" s="227">
        <f>1-IFERROR(IF(AND($H$106=1,M118=""),1,IF(AND($H$106=1,M118=0),0,IF(AND($H$106=1,M118&gt;0),M118,AVERAGEIF(Data!W$146:W$157,"&gt;0",Data!W$146:W$157)))),1)</f>
        <v>0</v>
      </c>
      <c r="AJ118" s="9"/>
      <c r="AK118" s="9"/>
      <c r="AL118" s="223" t="str">
        <f>IF(comparador1=0,"Do not fill this line",comparador1)</f>
        <v>Oral contraceptive</v>
      </c>
      <c r="AM118" s="227">
        <f>IFERROR(IF(H106=1,J118,AVERAGEIF(Data!G$110:G$121,"&gt;0",Data!G$110:G$121)),0)</f>
        <v>0</v>
      </c>
      <c r="AN118" s="227">
        <f>IFERROR(IF(H106=1,K118,AVERAGEIF(Data!G$122:G$133,"&gt;0",Data!G$122:G$133)),0)</f>
        <v>0</v>
      </c>
      <c r="AO118" s="227">
        <f>IFERROR(IF(H106=1,L118,AVERAGEIF(Data!G$134:G$145,"&gt;0",Data!G$134:G$145)),0)</f>
        <v>0</v>
      </c>
      <c r="AP118" s="227">
        <f>IFERROR(IF(H106=1,M118,AVERAGEIF(Data!G$146:G$157,"&gt;0",Data!G$146:G$157)),0)</f>
        <v>0</v>
      </c>
      <c r="AQ118" s="9"/>
    </row>
    <row r="119" spans="3:43">
      <c r="C119" s="300" t="str">
        <f>IF(comparador2=0,"Do not fill this line",comparador2)</f>
        <v>Do not fill this line</v>
      </c>
      <c r="D119" s="461"/>
      <c r="E119" s="462"/>
      <c r="F119" s="9"/>
      <c r="G119" s="9"/>
      <c r="H119" s="451" t="str">
        <f>IF(comparador2=0,"Do not fill this line",comparador2)</f>
        <v>Do not fill this line</v>
      </c>
      <c r="I119" s="452"/>
      <c r="J119" s="230"/>
      <c r="K119" s="230"/>
      <c r="L119" s="230"/>
      <c r="M119" s="230"/>
      <c r="N119" s="289"/>
      <c r="O119" s="9"/>
      <c r="P119" s="9"/>
      <c r="Q119" s="300" t="str">
        <f>IF(comparador2=0,"Do not fill this line",comparador2)</f>
        <v>Do not fill this line</v>
      </c>
      <c r="R119" s="227">
        <f t="shared" ref="R119:R126" si="10">IFERROR(IF(AND(obito=1,$H$102=1),Y119,IF(AND(obito=1,$H$102=2),AM119,IF(AND(obito=1,$H$102=3),AF119,0))),0)</f>
        <v>0</v>
      </c>
      <c r="S119" s="227">
        <f t="shared" si="7"/>
        <v>0</v>
      </c>
      <c r="T119" s="227">
        <f t="shared" si="8"/>
        <v>0</v>
      </c>
      <c r="U119" s="227">
        <f t="shared" si="9"/>
        <v>0</v>
      </c>
      <c r="V119" s="11"/>
      <c r="W119" s="9"/>
      <c r="X119" s="223" t="str">
        <f>IF(comparador2=0,"Do not fill this line",comparador2)</f>
        <v>Do not fill this line</v>
      </c>
      <c r="Y119" s="227" t="e">
        <f>1-AVERAGEIF(Data!AP$110:AP$121,"&gt;0",Data!AP$110:AP$121)</f>
        <v>#DIV/0!</v>
      </c>
      <c r="Z119" s="227" t="e">
        <f>1-AVERAGEIF(Data!AP$122:AP$133,"&gt;0",Data!AP$122:AP$133)</f>
        <v>#DIV/0!</v>
      </c>
      <c r="AA119" s="227" t="e">
        <f>1-AVERAGEIF(Data!AP$134:AP$145,"&gt;0",Data!AP$134:AP$145)</f>
        <v>#DIV/0!</v>
      </c>
      <c r="AB119" s="227" t="e">
        <f>1-AVERAGEIF(Data!AP$146:AP$157,"&gt;0",Data!AP$146:AP$157)</f>
        <v>#DIV/0!</v>
      </c>
      <c r="AC119" s="11"/>
      <c r="AD119" s="9"/>
      <c r="AE119" s="223" t="str">
        <f>IF(comparador2=0,"Do not fill this line",comparador2)</f>
        <v>Do not fill this line</v>
      </c>
      <c r="AF119" s="227">
        <f>1-IFERROR(IF(AND($H$106=1,J119=""),1,IF(AND($H$106=1,J119=0),0,IF(AND($H$106=1,J119&gt;0),J119,AVERAGEIF(Data!X$110:X$121,"&gt;0",Data!X$110:X$121)))),1)</f>
        <v>0</v>
      </c>
      <c r="AG119" s="227">
        <f>1-IFERROR(IF(AND($H$106=1,K119=""),1,IF(AND($H$106=1,K119=0),0,IF(AND($H$106=1,K119&gt;0),K119,AVERAGEIF(Data!X$122:X$133,"&gt;0",Data!X$122:X$133)))),1)</f>
        <v>0</v>
      </c>
      <c r="AH119" s="227">
        <f>1-IFERROR(IF(AND($H$106=1,L119=""),1,IF(AND($H$106=1,L119=0),0,IF(AND($H$106=1,L119&gt;0),L119,AVERAGEIF(Data!X$134:X$145,"&gt;0",Data!X$134:X$145)))),1)</f>
        <v>0</v>
      </c>
      <c r="AI119" s="227">
        <f>1-IFERROR(IF(AND($H$106=1,M119=""),1,IF(AND($H$106=1,M119=0),0,IF(AND($H$106=1,M119&gt;0),M119,AVERAGEIF(Data!X$146:X$157,"&gt;0",Data!X$146:X$157)))),1)</f>
        <v>0</v>
      </c>
      <c r="AJ119" s="9"/>
      <c r="AK119" s="9"/>
      <c r="AL119" s="223" t="str">
        <f>IF(comparador2=0,"Do not fill this line",comparador2)</f>
        <v>Do not fill this line</v>
      </c>
      <c r="AM119" s="227">
        <f>IFERROR(IF(H106=1,J119,AVERAGEIF(Data!H$110:H$121,"&gt;0",Data!H$110:H$121)),0)</f>
        <v>0</v>
      </c>
      <c r="AN119" s="227">
        <f>IFERROR(IF(H106=1,K119,AVERAGEIF(Data!H$122:H$133,"&gt;0",Data!H$122:H$133)),0)</f>
        <v>0</v>
      </c>
      <c r="AO119" s="227">
        <f>IFERROR(IF(H106=1,L119,AVERAGEIF(Data!H$134:H$145,"&gt;0",Data!H$134:H$145)),0)</f>
        <v>0</v>
      </c>
      <c r="AP119" s="227">
        <f>IFERROR(IF(H106=1,M119,AVERAGEIF(Data!H$146:H$157,"&gt;0",Data!H$146:H$157)),0)</f>
        <v>0</v>
      </c>
      <c r="AQ119" s="9"/>
    </row>
    <row r="120" spans="3:43">
      <c r="C120" s="300" t="str">
        <f>IF(comparador3=0,"Do not fill this line",comparador3)</f>
        <v>Do not fill this line</v>
      </c>
      <c r="D120" s="461"/>
      <c r="E120" s="462"/>
      <c r="F120" s="9"/>
      <c r="G120" s="9"/>
      <c r="H120" s="451" t="str">
        <f>IF(comparador3=0,"Do not fill this line",comparador3)</f>
        <v>Do not fill this line</v>
      </c>
      <c r="I120" s="452"/>
      <c r="J120" s="230"/>
      <c r="K120" s="230"/>
      <c r="L120" s="230"/>
      <c r="M120" s="230"/>
      <c r="N120" s="289"/>
      <c r="O120" s="9"/>
      <c r="P120" s="9"/>
      <c r="Q120" s="300" t="str">
        <f>IF(comparador3=0,"Do not fill this line",comparador3)</f>
        <v>Do not fill this line</v>
      </c>
      <c r="R120" s="227">
        <f t="shared" si="10"/>
        <v>0</v>
      </c>
      <c r="S120" s="227">
        <f t="shared" si="7"/>
        <v>0</v>
      </c>
      <c r="T120" s="227">
        <f t="shared" si="8"/>
        <v>0</v>
      </c>
      <c r="U120" s="227">
        <f t="shared" si="9"/>
        <v>0</v>
      </c>
      <c r="V120" s="11"/>
      <c r="W120" s="9"/>
      <c r="X120" s="223" t="str">
        <f>IF(comparador3=0,"Do not fill this line",comparador3)</f>
        <v>Do not fill this line</v>
      </c>
      <c r="Y120" s="227" t="e">
        <f>1-AVERAGEIF(Data!AQ$110:AQ$121,"&gt;0",Data!AQ$110:AQ$121)</f>
        <v>#DIV/0!</v>
      </c>
      <c r="Z120" s="227" t="e">
        <f>1-AVERAGEIF(Data!AQ$122:AQ$133,"&gt;0",Data!AQ$122:AQ$133)</f>
        <v>#DIV/0!</v>
      </c>
      <c r="AA120" s="227" t="e">
        <f>1-AVERAGEIF(Data!AQ$134:AQ$145,"&gt;0",Data!AQ$134:AQ$145)</f>
        <v>#DIV/0!</v>
      </c>
      <c r="AB120" s="227" t="e">
        <f>1-AVERAGEIF(Data!AQ$146:AQ$157,"&gt;0",Data!AQ$146:AQ$157)</f>
        <v>#DIV/0!</v>
      </c>
      <c r="AC120" s="11"/>
      <c r="AD120" s="9"/>
      <c r="AE120" s="223" t="str">
        <f>IF(comparador3=0,"Do not fill this line",comparador3)</f>
        <v>Do not fill this line</v>
      </c>
      <c r="AF120" s="227">
        <f>1-IFERROR(IF(AND($H$106=1,J120=""),1,IF(AND($H$106=1,J120=0),0,IF(AND($H$106=1,J120&gt;0),J120,AVERAGEIF(Data!Y$110:Y$121,"&gt;0",Data!Y$110:Y$121)))),1)</f>
        <v>0</v>
      </c>
      <c r="AG120" s="227">
        <f>1-IFERROR(IF(AND($H$106=1,K120=""),1,IF(AND($H$106=1,K120=0),0,IF(AND($H$106=1,K120&gt;0),K120,AVERAGEIF(Data!Y$122:Y$133,"&gt;0",Data!Y$122:Y$133)))),1)</f>
        <v>0</v>
      </c>
      <c r="AH120" s="227">
        <f>1-IFERROR(IF(AND($H$106=1,L120=""),1,IF(AND($H$106=1,L120=0),0,IF(AND($H$106=1,L120&gt;0),L120,AVERAGEIF(Data!Y$134:Y$145,"&gt;0",Data!Y$134:Y$145)))),1)</f>
        <v>0</v>
      </c>
      <c r="AI120" s="227">
        <f>1-IFERROR(IF(AND($H$106=1,M120=""),1,IF(AND($H$106=1,M120=0),0,IF(AND($H$106=1,M120&gt;0),M120,AVERAGEIF(Data!Y$146:Y$157,"&gt;0",Data!Y$146:Y$157)))),1)</f>
        <v>0</v>
      </c>
      <c r="AJ120" s="9"/>
      <c r="AK120" s="9"/>
      <c r="AL120" s="223" t="str">
        <f>IF(comparador3=0,"Do not fill this line",comparador3)</f>
        <v>Do not fill this line</v>
      </c>
      <c r="AM120" s="227">
        <f>IFERROR(IF(H106=1,J120,AVERAGEIF(Data!I$110:I$121,"&gt;0",Data!I$110:I$121)),0)</f>
        <v>0</v>
      </c>
      <c r="AN120" s="227">
        <f>IFERROR(IF(H106=1,K120,AVERAGEIF(Data!I$122:I$133,"&gt;0",Data!I$122:I$133)),0)</f>
        <v>0</v>
      </c>
      <c r="AO120" s="227">
        <f>IFERROR(IF(H106=1,L120,AVERAGEIF(Data!I$134:I$145,"&gt;0",Data!I$134:I$145)),0)</f>
        <v>0</v>
      </c>
      <c r="AP120" s="227">
        <f>IFERROR(IF(H106=1,M120,AVERAGEIF(Data!I$146:I$157,"&gt;0",Data!I$146:I$157)),0)</f>
        <v>0</v>
      </c>
      <c r="AQ120" s="9"/>
    </row>
    <row r="121" spans="3:43">
      <c r="C121" s="300" t="str">
        <f>IF(comparador4=0,"Do not fill this line",comparador4)</f>
        <v>Do not fill this line</v>
      </c>
      <c r="D121" s="461"/>
      <c r="E121" s="462"/>
      <c r="F121" s="9"/>
      <c r="G121" s="9"/>
      <c r="H121" s="451" t="str">
        <f>IF(comparador4=0,"Do not fill this line",comparador4)</f>
        <v>Do not fill this line</v>
      </c>
      <c r="I121" s="452"/>
      <c r="J121" s="230"/>
      <c r="K121" s="230"/>
      <c r="L121" s="230"/>
      <c r="M121" s="230"/>
      <c r="N121" s="289"/>
      <c r="O121" s="9"/>
      <c r="P121" s="9"/>
      <c r="Q121" s="300" t="str">
        <f>IF(comparador4=0,"Do not fill this line",comparador4)</f>
        <v>Do not fill this line</v>
      </c>
      <c r="R121" s="227">
        <f t="shared" si="10"/>
        <v>0</v>
      </c>
      <c r="S121" s="227">
        <f t="shared" si="7"/>
        <v>0</v>
      </c>
      <c r="T121" s="227">
        <f t="shared" si="8"/>
        <v>0</v>
      </c>
      <c r="U121" s="227">
        <f t="shared" si="9"/>
        <v>0</v>
      </c>
      <c r="V121" s="11"/>
      <c r="W121" s="9"/>
      <c r="X121" s="223" t="str">
        <f>IF(comparador4=0,"Do not fill this line",comparador4)</f>
        <v>Do not fill this line</v>
      </c>
      <c r="Y121" s="227" t="e">
        <f>1-AVERAGEIF(Data!AR$110:AR$121,"&gt;0",Data!AR$110:AR$121)</f>
        <v>#DIV/0!</v>
      </c>
      <c r="Z121" s="227" t="e">
        <f>1-AVERAGEIF(Data!AR$122:AR$133,"&gt;0",Data!AR$122:AR$133)</f>
        <v>#DIV/0!</v>
      </c>
      <c r="AA121" s="227" t="e">
        <f>1-AVERAGEIF(Data!AR$134:AR$145,"&gt;0",Data!AR$134:AR$145)</f>
        <v>#DIV/0!</v>
      </c>
      <c r="AB121" s="227" t="e">
        <f>1-AVERAGEIF(Data!AR$146:AR$157,"&gt;0",Data!AR$146:AR$157)</f>
        <v>#DIV/0!</v>
      </c>
      <c r="AC121" s="11"/>
      <c r="AD121" s="9"/>
      <c r="AE121" s="223" t="str">
        <f>IF(comparador4=0,"Do not fill this line",comparador4)</f>
        <v>Do not fill this line</v>
      </c>
      <c r="AF121" s="227">
        <f>1-IFERROR(IF(AND($H$106=1,J121=""),1,IF(AND($H$106=1,J121=0),0,IF(AND($H$106=1,J121&gt;0),J121,AVERAGEIF(Data!Z$110:Z$121,"&gt;0",Data!Z$110:Z$121)))),1)</f>
        <v>0</v>
      </c>
      <c r="AG121" s="227">
        <f>1-IFERROR(IF(AND($H$106=1,K121=""),1,IF(AND($H$106=1,K121=0),0,IF(AND($H$106=1,K121&gt;0),K121,AVERAGEIF(Data!Z$122:Z$133,"&gt;0",Data!Z$122:Z$133)))),1)</f>
        <v>0</v>
      </c>
      <c r="AH121" s="227">
        <f>1-IFERROR(IF(AND($H$106=1,L121=""),1,IF(AND($H$106=1,L121=0),0,IF(AND($H$106=1,L121&gt;0),L121,AVERAGEIF(Data!Z$134:Z$145,"&gt;0",Data!Z$134:Z$145)))),1)</f>
        <v>0</v>
      </c>
      <c r="AI121" s="227">
        <f>1-IFERROR(IF(AND($H$106=1,M121=""),1,IF(AND($H$106=1,M121=0),0,IF(AND($H$106=1,M121&gt;0),M121,AVERAGEIF(Data!Z$146:Z$157,"&gt;0",Data!Z$146:Z$157)))),1)</f>
        <v>0</v>
      </c>
      <c r="AJ121" s="9"/>
      <c r="AK121" s="9"/>
      <c r="AL121" s="223" t="str">
        <f>IF(comparador4=0,"Do not fill this line",comparador4)</f>
        <v>Do not fill this line</v>
      </c>
      <c r="AM121" s="227">
        <f>IFERROR(IF(H106=1,J121,AVERAGEIF(Data!J$110:J$121,"&gt;0",Data!J$110:J$121)),0)</f>
        <v>0</v>
      </c>
      <c r="AN121" s="227">
        <f>IFERROR(IF(H106=1,K121,AVERAGEIF(Data!J$122:J$133,"&gt;0",Data!J$122:J$133)),0)</f>
        <v>0</v>
      </c>
      <c r="AO121" s="227">
        <f>IFERROR(IF(H106=1,L121,AVERAGEIF(Data!J$134:J$145,"&gt;0",Data!J$134:J$145)),0)</f>
        <v>0</v>
      </c>
      <c r="AP121" s="227">
        <f>IFERROR(IF(H106=1,M121,AVERAGEIF(Data!J$146:J$157,"&gt;0",Data!J$146:J$157)),0)</f>
        <v>0</v>
      </c>
      <c r="AQ121" s="9"/>
    </row>
    <row r="122" spans="3:43">
      <c r="C122" s="300" t="str">
        <f>IF(comparador5=0,"Do not fill this line",comparador5)</f>
        <v>Do not fill this line</v>
      </c>
      <c r="D122" s="461"/>
      <c r="E122" s="462"/>
      <c r="F122" s="9"/>
      <c r="G122" s="9"/>
      <c r="H122" s="451" t="str">
        <f>IF(comparador5=0,"Do not fill this line",comparador5)</f>
        <v>Do not fill this line</v>
      </c>
      <c r="I122" s="452"/>
      <c r="J122" s="230"/>
      <c r="K122" s="230"/>
      <c r="L122" s="230"/>
      <c r="M122" s="230"/>
      <c r="N122" s="289"/>
      <c r="O122" s="9"/>
      <c r="P122" s="9"/>
      <c r="Q122" s="300" t="str">
        <f>IF(comparador5=0,"Do not fill this line",comparador5)</f>
        <v>Do not fill this line</v>
      </c>
      <c r="R122" s="227">
        <f t="shared" si="10"/>
        <v>0</v>
      </c>
      <c r="S122" s="227">
        <f t="shared" si="7"/>
        <v>0</v>
      </c>
      <c r="T122" s="227">
        <f t="shared" si="8"/>
        <v>0</v>
      </c>
      <c r="U122" s="227">
        <f t="shared" si="9"/>
        <v>0</v>
      </c>
      <c r="V122" s="11"/>
      <c r="W122" s="9"/>
      <c r="X122" s="223" t="str">
        <f>IF(comparador5=0,"Do not fill this line",comparador5)</f>
        <v>Do not fill this line</v>
      </c>
      <c r="Y122" s="227" t="e">
        <f>1-AVERAGEIF(Data!AS$110:AS$121,"&gt;0",Data!AS$110:AS$121)</f>
        <v>#DIV/0!</v>
      </c>
      <c r="Z122" s="227" t="e">
        <f>1-AVERAGEIF(Data!AS$122:AS$133,"&gt;0",Data!AS$122:AS$133)</f>
        <v>#DIV/0!</v>
      </c>
      <c r="AA122" s="227" t="e">
        <f>1-AVERAGEIF(Data!AS$134:AS$145,"&gt;0",Data!AS$134:AS$145)</f>
        <v>#DIV/0!</v>
      </c>
      <c r="AB122" s="227" t="e">
        <f>1-AVERAGEIF(Data!AS$146:AS$157,"&gt;0",Data!AS$146:AS$157)</f>
        <v>#DIV/0!</v>
      </c>
      <c r="AC122" s="11"/>
      <c r="AD122" s="9"/>
      <c r="AE122" s="223" t="str">
        <f>IF(comparador5=0,"Do not fill this line",comparador5)</f>
        <v>Do not fill this line</v>
      </c>
      <c r="AF122" s="227">
        <f>1-IFERROR(IF(AND($H$106=1,J122=""),1,IF(AND($H$106=1,J122=0),0,IF(AND($H$106=1,J122&gt;0),J122,AVERAGEIF(Data!AA$110:AA$121,"&gt;0",Data!AA$110:AA$121)))),1)</f>
        <v>0</v>
      </c>
      <c r="AG122" s="227">
        <f>1-IFERROR(IF(AND($H$106=1,K122=""),1,IF(AND($H$106=1,K122=0),0,IF(AND($H$106=1,K122&gt;0),K122,AVERAGEIF(Data!AA$122:AA$133,"&gt;0",Data!AA$122:AA$133)))),1)</f>
        <v>0</v>
      </c>
      <c r="AH122" s="227">
        <f>1-IFERROR(IF(AND($H$106=1,L122=""),1,IF(AND($H$106=1,L122=0),0,IF(AND($H$106=1,L122&gt;0),L122,AVERAGEIF(Data!AA$134:AA$145,"&gt;0",Data!AA$134:AA$145)))),1)</f>
        <v>0</v>
      </c>
      <c r="AI122" s="227">
        <f>1-IFERROR(IF(AND($H$106=1,M122=""),1,IF(AND($H$106=1,M122=0),0,IF(AND($H$106=1,M122&gt;0),M122,AVERAGEIF(Data!AA$146:AA$157,"&gt;0",Data!AA$146:AA$157)))),1)</f>
        <v>0</v>
      </c>
      <c r="AJ122" s="9"/>
      <c r="AK122" s="9"/>
      <c r="AL122" s="223" t="str">
        <f>IF(comparador5=0,"Do not fill this line",comparador5)</f>
        <v>Do not fill this line</v>
      </c>
      <c r="AM122" s="227">
        <f>IFERROR(IF(H106=1,J122,AVERAGEIF(Data!K$110:K$121,"&gt;0",Data!K$110:K$121)),0)</f>
        <v>0</v>
      </c>
      <c r="AN122" s="227">
        <f>IFERROR(IF(H106=1,K122,AVERAGEIF(Data!K$122:K$133,"&gt;0",Data!K$122:K$133)),0)</f>
        <v>0</v>
      </c>
      <c r="AO122" s="227">
        <f>IFERROR(IF(H106=1,L122,AVERAGEIF(Data!K$134:K$145,"&gt;0",Data!K$134:K$145)),0)</f>
        <v>0</v>
      </c>
      <c r="AP122" s="227">
        <f>IFERROR(IF(H106=1,M122,AVERAGEIF(Data!K$146:K$157,"&gt;0",Data!K$146:K$157)),0)</f>
        <v>0</v>
      </c>
      <c r="AQ122" s="9"/>
    </row>
    <row r="123" spans="3:43">
      <c r="C123" s="300" t="str">
        <f>IF(comparador6=0,"Do not fill this line",comparador6)</f>
        <v>Do not fill this line</v>
      </c>
      <c r="D123" s="461"/>
      <c r="E123" s="462"/>
      <c r="F123" s="9"/>
      <c r="G123" s="9"/>
      <c r="H123" s="451" t="str">
        <f>IF(comparador6=0,"Do not fill this line",comparador6)</f>
        <v>Do not fill this line</v>
      </c>
      <c r="I123" s="452"/>
      <c r="J123" s="230"/>
      <c r="K123" s="230"/>
      <c r="L123" s="230"/>
      <c r="M123" s="230"/>
      <c r="N123" s="289"/>
      <c r="O123" s="9"/>
      <c r="P123" s="9"/>
      <c r="Q123" s="300" t="str">
        <f>IF(comparador6=0,"Do not fill this line",comparador6)</f>
        <v>Do not fill this line</v>
      </c>
      <c r="R123" s="227">
        <f t="shared" si="10"/>
        <v>0</v>
      </c>
      <c r="S123" s="227">
        <f t="shared" si="7"/>
        <v>0</v>
      </c>
      <c r="T123" s="227">
        <f t="shared" si="8"/>
        <v>0</v>
      </c>
      <c r="U123" s="227">
        <f t="shared" si="9"/>
        <v>0</v>
      </c>
      <c r="V123" s="11"/>
      <c r="W123" s="9"/>
      <c r="X123" s="223" t="str">
        <f>IF(comparador6=0,"Do not fill this line",comparador6)</f>
        <v>Do not fill this line</v>
      </c>
      <c r="Y123" s="227" t="e">
        <f>1-AVERAGEIF(Data!AT$110:AT$121,"&gt;0",Data!AT$110:AT$121)</f>
        <v>#DIV/0!</v>
      </c>
      <c r="Z123" s="227" t="e">
        <f>1-AVERAGEIF(Data!AT$122:AT$133,"&gt;0",Data!AT$122:AT$133)</f>
        <v>#DIV/0!</v>
      </c>
      <c r="AA123" s="227" t="e">
        <f>1-AVERAGEIF(Data!AT$134:AT$145,"&gt;0",Data!AT$134:AT$145)</f>
        <v>#DIV/0!</v>
      </c>
      <c r="AB123" s="227" t="e">
        <f>1-AVERAGEIF(Data!AT$146:AT$157,"&gt;0",Data!AT$146:AT$157)</f>
        <v>#DIV/0!</v>
      </c>
      <c r="AC123" s="11"/>
      <c r="AD123" s="9"/>
      <c r="AE123" s="223" t="str">
        <f>IF(comparador6=0,"Do not fill this line",comparador6)</f>
        <v>Do not fill this line</v>
      </c>
      <c r="AF123" s="227">
        <f>1-IFERROR(IF(AND($H$106=1,J123=""),1,IF(AND($H$106=1,J123=0),0,IF(AND($H$106=1,J123&gt;0),J123,AVERAGEIF(Data!AB$110:AB$121,"&gt;0",Data!AB$110:AB$121)))),1)</f>
        <v>0</v>
      </c>
      <c r="AG123" s="227">
        <f>1-IFERROR(IF(AND($H$106=1,K123=""),1,IF(AND($H$106=1,K123=0),0,IF(AND($H$106=1,K123&gt;0),K123,AVERAGEIF(Data!AB$122:AB$133,"&gt;0",Data!AB$122:AB$133)))),1)</f>
        <v>0</v>
      </c>
      <c r="AH123" s="227">
        <f>1-IFERROR(IF(AND($H$106=1,L123=""),1,IF(AND($H$106=1,L123=0),0,IF(AND($H$106=1,L123&gt;0),L123,AVERAGEIF(Data!AB$134:AB$145,"&gt;0",Data!AB$134:AB$145)))),1)</f>
        <v>0</v>
      </c>
      <c r="AI123" s="227">
        <f>1-IFERROR(IF(AND($H$106=1,M123=""),1,IF(AND($H$106=1,M123=0),0,IF(AND($H$106=1,M123&gt;0),M123,AVERAGEIF(Data!AB$146:AB$157,"&gt;0",Data!AB$146:AB$157)))),1)</f>
        <v>0</v>
      </c>
      <c r="AJ123" s="9"/>
      <c r="AK123" s="9"/>
      <c r="AL123" s="223" t="str">
        <f>IF(comparador6=0,"Do not fill this line",comparador6)</f>
        <v>Do not fill this line</v>
      </c>
      <c r="AM123" s="227">
        <f>IFERROR(IF(H106=1,J123,AVERAGEIF(Data!L$110:L$121,"&gt;0",Data!L$110:L$121)),0)</f>
        <v>0</v>
      </c>
      <c r="AN123" s="227">
        <f>IFERROR(IF(H106=1,K123,AVERAGEIF(Data!L$122:L$133,"&gt;0",Data!L$122:L$133)),0)</f>
        <v>0</v>
      </c>
      <c r="AO123" s="227">
        <f>IFERROR(IF(H106=1,L123,AVERAGEIF(Data!L$134:L$145,"&gt;0",Data!L$134:L$145)),0)</f>
        <v>0</v>
      </c>
      <c r="AP123" s="227">
        <f>IFERROR(IF(H106=1,M123,AVERAGEIF(Data!L$146:L$157,"&gt;0",Data!L$146:L$157)),0)</f>
        <v>0</v>
      </c>
      <c r="AQ123" s="9"/>
    </row>
    <row r="124" spans="3:43">
      <c r="C124" s="300" t="str">
        <f>IF(comparador7=0,"Do not fill this line",comparador7)</f>
        <v>Do not fill this line</v>
      </c>
      <c r="D124" s="461"/>
      <c r="E124" s="462"/>
      <c r="F124" s="9"/>
      <c r="G124" s="9"/>
      <c r="H124" s="451" t="str">
        <f>IF(comparador7=0,"Do not fill this line",comparador7)</f>
        <v>Do not fill this line</v>
      </c>
      <c r="I124" s="452"/>
      <c r="J124" s="230"/>
      <c r="K124" s="230"/>
      <c r="L124" s="230"/>
      <c r="M124" s="230"/>
      <c r="N124" s="289"/>
      <c r="O124" s="9"/>
      <c r="P124" s="9"/>
      <c r="Q124" s="300" t="str">
        <f>IF(comparador7=0,"Do not fill this line",comparador7)</f>
        <v>Do not fill this line</v>
      </c>
      <c r="R124" s="227">
        <f t="shared" si="10"/>
        <v>0</v>
      </c>
      <c r="S124" s="227">
        <f t="shared" si="7"/>
        <v>0</v>
      </c>
      <c r="T124" s="227">
        <f t="shared" si="8"/>
        <v>0</v>
      </c>
      <c r="U124" s="227">
        <f t="shared" si="9"/>
        <v>0</v>
      </c>
      <c r="V124" s="11"/>
      <c r="W124" s="9"/>
      <c r="X124" s="223" t="str">
        <f>IF(comparador7=0,"Do not fill this line",comparador7)</f>
        <v>Do not fill this line</v>
      </c>
      <c r="Y124" s="227" t="e">
        <f>1-AVERAGEIF(Data!AU$110:AU$121,"&gt;0",Data!AU$110:AU$121)</f>
        <v>#DIV/0!</v>
      </c>
      <c r="Z124" s="227" t="e">
        <f>1-AVERAGEIF(Data!AU$122:AU$133,"&gt;0",Data!AU$122:AU$133)</f>
        <v>#DIV/0!</v>
      </c>
      <c r="AA124" s="227" t="e">
        <f>1-AVERAGEIF(Data!AU$134:AU$145,"&gt;0",Data!AU$134:AU$145)</f>
        <v>#DIV/0!</v>
      </c>
      <c r="AB124" s="227" t="e">
        <f>1-AVERAGEIF(Data!AU$146:AU$157,"&gt;0",Data!AU$146:AU$157)</f>
        <v>#DIV/0!</v>
      </c>
      <c r="AC124" s="11"/>
      <c r="AD124" s="9"/>
      <c r="AE124" s="223" t="str">
        <f>IF(comparador7=0,"Do not fill this line",comparador7)</f>
        <v>Do not fill this line</v>
      </c>
      <c r="AF124" s="227">
        <f>1-IFERROR(IF(AND($H$106=1,J124=""),1,IF(AND($H$106=1,J124=0),0,IF(AND($H$106=1,J124&gt;0),J124,AVERAGEIF(Data!AC$110:AC$121,"&gt;0",Data!AC$110:AC$121)))),1)</f>
        <v>0</v>
      </c>
      <c r="AG124" s="227">
        <f>1-IFERROR(IF(AND($H$106=1,K124=""),1,IF(AND($H$106=1,K124=0),0,IF(AND($H$106=1,K124&gt;0),K124,AVERAGEIF(Data!AC$122:AC$133,"&gt;0",Data!AC$122:AC$133)))),1)</f>
        <v>0</v>
      </c>
      <c r="AH124" s="227">
        <f>1-IFERROR(IF(AND($H$106=1,L124=""),1,IF(AND($H$106=1,L124=0),0,IF(AND($H$106=1,L124&gt;0),L124,AVERAGEIF(Data!AC$134:AC$145,"&gt;0",Data!AC$134:AC$145)))),1)</f>
        <v>0</v>
      </c>
      <c r="AI124" s="227">
        <f>1-IFERROR(IF(AND($H$106=1,M124=""),1,IF(AND($H$106=1,M124=0),0,IF(AND($H$106=1,M124&gt;0),M124,AVERAGEIF(Data!AC$146:AC$157,"&gt;0",Data!AC$146:AC$157)))),1)</f>
        <v>0</v>
      </c>
      <c r="AJ124" s="9"/>
      <c r="AK124" s="9"/>
      <c r="AL124" s="223" t="str">
        <f>IF(comparador7=0,"Do not fill this line",comparador7)</f>
        <v>Do not fill this line</v>
      </c>
      <c r="AM124" s="227">
        <f>IFERROR(IF(H106=1,J124,AVERAGEIF(Data!M$110:M$121,"&gt;0",Data!M$110:M$121)),0)</f>
        <v>0</v>
      </c>
      <c r="AN124" s="227">
        <f>IFERROR(IF(H106=1,K124,AVERAGEIF(Data!M$122:M$133,"&gt;0",Data!M$122:M$133)),0)</f>
        <v>0</v>
      </c>
      <c r="AO124" s="227">
        <f>IFERROR(IF(H106=1,L124,AVERAGEIF(Data!M$134:M$145,"&gt;0",Data!M$134:M$145)),0)</f>
        <v>0</v>
      </c>
      <c r="AP124" s="227">
        <f>IFERROR(IF(H106=1,M124,AVERAGEIF(Data!M$146:M$157,"&gt;0",Data!M$146:M$157)),0)</f>
        <v>0</v>
      </c>
      <c r="AQ124" s="9"/>
    </row>
    <row r="125" spans="3:43">
      <c r="C125" s="300" t="str">
        <f>IF(comparador8=0,"Do not fill this line",comparador8)</f>
        <v>Do not fill this line</v>
      </c>
      <c r="D125" s="461"/>
      <c r="E125" s="462"/>
      <c r="F125" s="9"/>
      <c r="G125" s="9"/>
      <c r="H125" s="451" t="str">
        <f>IF(comparador8=0,"Do not fill this line",comparador8)</f>
        <v>Do not fill this line</v>
      </c>
      <c r="I125" s="452"/>
      <c r="J125" s="230"/>
      <c r="K125" s="230"/>
      <c r="L125" s="230"/>
      <c r="M125" s="230"/>
      <c r="N125" s="289"/>
      <c r="O125" s="9"/>
      <c r="P125" s="9"/>
      <c r="Q125" s="300" t="str">
        <f>IF(comparador8=0,"Do not fill this line",comparador8)</f>
        <v>Do not fill this line</v>
      </c>
      <c r="R125" s="227">
        <f t="shared" si="10"/>
        <v>0</v>
      </c>
      <c r="S125" s="227">
        <f t="shared" si="7"/>
        <v>0</v>
      </c>
      <c r="T125" s="227">
        <f t="shared" si="8"/>
        <v>0</v>
      </c>
      <c r="U125" s="227">
        <f t="shared" si="9"/>
        <v>0</v>
      </c>
      <c r="V125" s="11"/>
      <c r="W125" s="9"/>
      <c r="X125" s="223" t="str">
        <f>IF(comparador8=0,"Do not fill this line",comparador8)</f>
        <v>Do not fill this line</v>
      </c>
      <c r="Y125" s="227" t="e">
        <f>1-AVERAGEIF(Data!AV$110:AV$121,"&gt;0",Data!AV$110:AV$121)</f>
        <v>#DIV/0!</v>
      </c>
      <c r="Z125" s="227" t="e">
        <f>1-AVERAGEIF(Data!AV$122:AV$133,"&gt;0",Data!AV$122:AV$133)</f>
        <v>#DIV/0!</v>
      </c>
      <c r="AA125" s="227" t="e">
        <f>1-AVERAGEIF(Data!AV$134:AV$145,"&gt;0",Data!AV$134:AV$145)</f>
        <v>#DIV/0!</v>
      </c>
      <c r="AB125" s="227" t="e">
        <f>1-AVERAGEIF(Data!AV$146:AV$157,"&gt;0",Data!AV$146:AV$157)</f>
        <v>#DIV/0!</v>
      </c>
      <c r="AC125" s="11"/>
      <c r="AD125" s="9"/>
      <c r="AE125" s="223" t="str">
        <f>IF(comparador8=0,"Do not fill this line",comparador8)</f>
        <v>Do not fill this line</v>
      </c>
      <c r="AF125" s="227">
        <f>1-IFERROR(IF(AND($H$106=1,J125=""),1,IF(AND($H$106=1,J125=0),0,IF(AND($H$106=1,J125&gt;0),J125,AVERAGEIF(Data!AD$110:AD$121,"&gt;0",Data!AD$110:AD$121)))),1)</f>
        <v>0</v>
      </c>
      <c r="AG125" s="227">
        <f>1-IFERROR(IF(AND($H$106=1,K125=""),1,IF(AND($H$106=1,K125=0),0,IF(AND($H$106=1,K125&gt;0),K125,AVERAGEIF(Data!AD$122:AD$133,"&gt;0",Data!AD$122:AD$133)))),1)</f>
        <v>0</v>
      </c>
      <c r="AH125" s="227">
        <f>1-IFERROR(IF(AND($H$106=1,L125=""),1,IF(AND($H$106=1,L125=0),0,IF(AND($H$106=1,L125&gt;0),L125,AVERAGEIF(Data!AD$134:AD$145,"&gt;0",Data!AD$134:AD$145)))),1)</f>
        <v>0</v>
      </c>
      <c r="AI125" s="227">
        <f>1-IFERROR(IF(AND($H$106=1,M125=""),1,IF(AND($H$106=1,M125=0),0,IF(AND($H$106=1,M125&gt;0),M125,AVERAGEIF(Data!AD$146:AD$157,"&gt;0",Data!AD$146:AD$157)))),1)</f>
        <v>0</v>
      </c>
      <c r="AJ125" s="9"/>
      <c r="AK125" s="9"/>
      <c r="AL125" s="223" t="str">
        <f>IF(comparador8=0,"Do not fill this line",comparador8)</f>
        <v>Do not fill this line</v>
      </c>
      <c r="AM125" s="227">
        <f>IFERROR(IF(H106=1,J125,AVERAGEIF(Data!N$110:N$121,"&gt;0",Data!N$110:N$121)),0)</f>
        <v>0</v>
      </c>
      <c r="AN125" s="227">
        <f>IFERROR(IF(H106=1,K125,AVERAGEIF(Data!N$122:N$133,"&gt;0",Data!N$122:N$133)),0)</f>
        <v>0</v>
      </c>
      <c r="AO125" s="227">
        <f>IFERROR(IF(H106=1,L125,AVERAGEIF(Data!N$134:N$145,"&gt;0",Data!N$134:N$145)),0)</f>
        <v>0</v>
      </c>
      <c r="AP125" s="227">
        <f>IFERROR(IF(H106=1,M125,AVERAGEIF(Data!N$146:N$157,"&gt;0",Data!N$146:N$157)),0)</f>
        <v>0</v>
      </c>
      <c r="AQ125" s="9"/>
    </row>
    <row r="126" spans="3:43">
      <c r="C126" s="300" t="str">
        <f>IF(comparador9=0,"Do not fill this line",comparador9)</f>
        <v>Do not fill this line</v>
      </c>
      <c r="D126" s="461"/>
      <c r="E126" s="462"/>
      <c r="F126" s="9"/>
      <c r="G126" s="9"/>
      <c r="H126" s="451" t="str">
        <f>IF(comparador9=0,"Do not fill this line",comparador9)</f>
        <v>Do not fill this line</v>
      </c>
      <c r="I126" s="452"/>
      <c r="J126" s="230"/>
      <c r="K126" s="230"/>
      <c r="L126" s="230"/>
      <c r="M126" s="230"/>
      <c r="N126" s="289"/>
      <c r="O126" s="9"/>
      <c r="P126" s="9"/>
      <c r="Q126" s="300" t="str">
        <f>IF(comparador9=0,"Do not fill this line",comparador9)</f>
        <v>Do not fill this line</v>
      </c>
      <c r="R126" s="227">
        <f t="shared" si="10"/>
        <v>0</v>
      </c>
      <c r="S126" s="227">
        <f t="shared" si="7"/>
        <v>0</v>
      </c>
      <c r="T126" s="227">
        <f t="shared" si="8"/>
        <v>0</v>
      </c>
      <c r="U126" s="227">
        <f t="shared" si="9"/>
        <v>0</v>
      </c>
      <c r="V126" s="11"/>
      <c r="W126" s="9"/>
      <c r="X126" s="223" t="str">
        <f>IF(comparador9=0,"Do not fill this line",comparador9)</f>
        <v>Do not fill this line</v>
      </c>
      <c r="Y126" s="227" t="e">
        <f>1-AVERAGEIF(Data!AW$110:AW$121,"&gt;0",Data!AW$110:AW$121)</f>
        <v>#DIV/0!</v>
      </c>
      <c r="Z126" s="227" t="e">
        <f>1-AVERAGEIF(Data!AW$122:AW$133,"&gt;0",Data!AW$122:AW$133)</f>
        <v>#DIV/0!</v>
      </c>
      <c r="AA126" s="227" t="e">
        <f>1-AVERAGEIF(Data!AW$134:AW$145,"&gt;0",Data!AW$134:AW$145)</f>
        <v>#DIV/0!</v>
      </c>
      <c r="AB126" s="227" t="e">
        <f>1-AVERAGEIF(Data!AW$146:AW$157,"&gt;0",Data!AW$146:AW$157)</f>
        <v>#DIV/0!</v>
      </c>
      <c r="AC126" s="11"/>
      <c r="AD126" s="9"/>
      <c r="AE126" s="223" t="str">
        <f>IF(comparador9=0,"Do not fill this line",comparador9)</f>
        <v>Do not fill this line</v>
      </c>
      <c r="AF126" s="227">
        <f>1-IFERROR(IF(AND($H$106=1,J126=""),1,IF(AND($H$106=1,J126=0),0,IF(AND($H$106=1,J126&gt;0),J126,AVERAGEIF(Data!AE$110:AE$121,"&gt;0",Data!AE$110:AE$121)))),1)</f>
        <v>0</v>
      </c>
      <c r="AG126" s="227">
        <f>1-IFERROR(IF(AND($H$106=1,K126=""),1,IF(AND($H$106=1,K126=0),0,IF(AND($H$106=1,K126&gt;0),K126,AVERAGEIF(Data!AE$122:AE$133,"&gt;0",Data!AE$122:AE$133)))),1)</f>
        <v>0</v>
      </c>
      <c r="AH126" s="227">
        <f>1-IFERROR(IF(AND($H$106=1,L126=""),1,IF(AND($H$106=1,L126=0),0,IF(AND($H$106=1,L126&gt;0),L126,AVERAGEIF(Data!AE$134:AE$145,"&gt;0",Data!AE$134:AE$145)))),1)</f>
        <v>0</v>
      </c>
      <c r="AI126" s="227">
        <f>1-IFERROR(IF(AND($H$106=1,M126=""),1,IF(AND($H$106=1,M126=0),0,IF(AND($H$106=1,M126&gt;0),M126,AVERAGEIF(Data!AE$146:AE$157,"&gt;0",Data!AE$146:AE$157)))),1)</f>
        <v>0</v>
      </c>
      <c r="AJ126" s="9"/>
      <c r="AK126" s="9"/>
      <c r="AL126" s="223" t="str">
        <f>IF(comparador9=0,"Do not fill this line",comparador9)</f>
        <v>Do not fill this line</v>
      </c>
      <c r="AM126" s="227">
        <f>IFERROR(IF(H106=1,J126,AVERAGEIF(Data!O$110:O$121,"&gt;0",Data!O$110:O$121)),0)</f>
        <v>0</v>
      </c>
      <c r="AN126" s="227">
        <f>IFERROR(IF(H106=1,K126,AVERAGEIF(Data!O$122:O$133,"&gt;0",Data!O$122:O$133)),0)</f>
        <v>0</v>
      </c>
      <c r="AO126" s="227">
        <f>IFERROR(IF(H106=1,L126,AVERAGEIF(Data!O$134:O$145,"&gt;0",Data!O$134:O$145)),0)</f>
        <v>0</v>
      </c>
      <c r="AP126" s="227">
        <f>IFERROR(IF(H106=1,M126,AVERAGEIF(Data!O$146:O$157,"&gt;0",Data!O$146:O$157)),0)</f>
        <v>0</v>
      </c>
      <c r="AQ126" s="9"/>
    </row>
    <row r="127" spans="3:43">
      <c r="C127" s="300" t="str">
        <f>IF(comparador10=0,"Do not fill this line",comparador10)</f>
        <v>Do not fill this line</v>
      </c>
      <c r="D127" s="461"/>
      <c r="E127" s="462"/>
      <c r="F127" s="9"/>
      <c r="G127" s="9"/>
      <c r="H127" s="451" t="str">
        <f>IF(comparador10=0,"Do not fill this line",comparador10)</f>
        <v>Do not fill this line</v>
      </c>
      <c r="I127" s="452"/>
      <c r="J127" s="230"/>
      <c r="K127" s="230"/>
      <c r="L127" s="230"/>
      <c r="M127" s="230"/>
      <c r="N127" s="289"/>
      <c r="O127" s="9"/>
      <c r="P127" s="9"/>
      <c r="Q127" s="300" t="str">
        <f>IF(comparador10=0,"Do not fill this line",comparador10)</f>
        <v>Do not fill this line</v>
      </c>
      <c r="R127" s="227">
        <f>IFERROR(IF(AND(obito=1,$H$102=1),Y127,IF(AND(obito=1,$H$102=2),AM127,IF(AND(obito=1,$H$102=3),AF127,0))),0)</f>
        <v>0</v>
      </c>
      <c r="S127" s="227">
        <f t="shared" si="7"/>
        <v>0</v>
      </c>
      <c r="T127" s="227">
        <f t="shared" si="8"/>
        <v>0</v>
      </c>
      <c r="U127" s="227">
        <f t="shared" si="9"/>
        <v>0</v>
      </c>
      <c r="V127" s="11"/>
      <c r="W127" s="9"/>
      <c r="X127" s="223" t="str">
        <f>IF(comparador10=0,"Do not fill this line",comparador10)</f>
        <v>Do not fill this line</v>
      </c>
      <c r="Y127" s="227" t="e">
        <f>1-AVERAGEIF(Data!AX$110:AX$121,"&gt;0",Data!AX$110:AX$121)</f>
        <v>#DIV/0!</v>
      </c>
      <c r="Z127" s="227" t="e">
        <f>1-AVERAGEIF(Data!AX$122:AX$133,"&gt;0",Data!AX$122:AX$133)</f>
        <v>#DIV/0!</v>
      </c>
      <c r="AA127" s="227" t="e">
        <f>1-AVERAGEIF(Data!AX$134:AX$145,"&gt;0",Data!AX$134:AX$145)</f>
        <v>#DIV/0!</v>
      </c>
      <c r="AB127" s="227" t="e">
        <f>1-AVERAGEIF(Data!AX$146:AX$157,"&gt;0",Data!AX$146:AX$157)</f>
        <v>#DIV/0!</v>
      </c>
      <c r="AC127" s="11"/>
      <c r="AD127" s="9"/>
      <c r="AE127" s="223" t="str">
        <f>IF(comparador10=0,"Do not fill this line",comparador10)</f>
        <v>Do not fill this line</v>
      </c>
      <c r="AF127" s="227">
        <f>1-IFERROR(IF(AND($H$106=1,J127=""),1,IF(AND($H$106=1,J127=0),0,IF(AND($H$106=1,J127&gt;0),J127,AVERAGEIF(Data!AF$110:AF$121,"&gt;0",Data!AF$110:AF$121)))),1)</f>
        <v>0</v>
      </c>
      <c r="AG127" s="227">
        <f>1-IFERROR(IF(AND($H$106=1,K127=""),1,IF(AND($H$106=1,K127=0),0,IF(AND($H$106=1,K127&gt;0),K127,AVERAGEIF(Data!AF$122:AF$133,"&gt;0",Data!AF$122:AF$133)))),1)</f>
        <v>0</v>
      </c>
      <c r="AH127" s="227">
        <f>1-IFERROR(IF(AND($H$106=1,L127=""),1,IF(AND($H$106=1,L127=0),0,IF(AND($H$106=1,L127&gt;0),L127,AVERAGEIF(Data!AF$134:AF$145,"&gt;0",Data!AF$134:AF$145)))),1)</f>
        <v>0</v>
      </c>
      <c r="AI127" s="227">
        <f>1-IFERROR(IF(AND($H$106=1,M127=""),1,IF(AND($H$106=1,M127=0),0,IF(AND($H$106=1,M127&gt;0),M127,AVERAGEIF(Data!AF$146:AF$157,"&gt;0",Data!AF$146:AF$157)))),1)</f>
        <v>0</v>
      </c>
      <c r="AJ127" s="9"/>
      <c r="AK127" s="9"/>
      <c r="AL127" s="223" t="str">
        <f>IF(comparador10=0,"Do not fill this line",comparador10)</f>
        <v>Do not fill this line</v>
      </c>
      <c r="AM127" s="227">
        <f>IFERROR(IF(H106=1,J127,AVERAGEIF(Data!P$110:P$121,"&gt;0",Data!P$110:P$121)),0)</f>
        <v>0</v>
      </c>
      <c r="AN127" s="227">
        <f>IFERROR(IF(H106=1,K127,AVERAGEIF(Data!P$122:P$133,"&gt;0",Data!P$122:P$133)),0)</f>
        <v>0</v>
      </c>
      <c r="AO127" s="227">
        <f>IFERROR(IF(H106=1,L127,AVERAGEIF(Data!P$134:P$145,"&gt;0",Data!P$134:P$145)),0)</f>
        <v>0</v>
      </c>
      <c r="AP127" s="227">
        <f>IFERROR(IF(H106=1,M127,AVERAGEIF(Data!P$146:P$157,"&gt;0",Data!P$146:P$157)),0)</f>
        <v>0</v>
      </c>
      <c r="AQ127" s="9"/>
    </row>
    <row r="128" spans="3:43">
      <c r="C128" s="2"/>
      <c r="D128" s="7"/>
      <c r="E128" s="7"/>
      <c r="F128" s="7"/>
      <c r="G128" s="7"/>
      <c r="H128" s="7"/>
      <c r="I128" s="9"/>
      <c r="J128" s="7"/>
      <c r="K128" s="7"/>
      <c r="L128" s="7"/>
      <c r="M128" s="7"/>
      <c r="N128" s="289"/>
      <c r="O128" s="9"/>
      <c r="P128" s="9"/>
      <c r="Q128" s="11"/>
      <c r="R128" s="11"/>
      <c r="S128" s="11"/>
      <c r="T128" s="11"/>
      <c r="U128" s="11"/>
      <c r="V128" s="11"/>
      <c r="W128" s="9"/>
      <c r="X128" s="11"/>
      <c r="Y128" s="11"/>
      <c r="Z128" s="11"/>
      <c r="AA128" s="11"/>
      <c r="AB128" s="11"/>
      <c r="AC128" s="11"/>
      <c r="AD128" s="9"/>
      <c r="AE128" s="11"/>
      <c r="AF128" s="9"/>
      <c r="AG128" s="9"/>
      <c r="AH128" s="9"/>
      <c r="AI128" s="9"/>
      <c r="AJ128" s="9"/>
      <c r="AK128" s="9"/>
      <c r="AL128" s="9"/>
      <c r="AM128" s="9"/>
      <c r="AN128" s="9"/>
      <c r="AO128" s="9"/>
      <c r="AP128" s="9"/>
      <c r="AQ128" s="9"/>
    </row>
    <row r="129" spans="2:31">
      <c r="C129" s="2"/>
      <c r="D129" s="7"/>
      <c r="E129" s="7"/>
      <c r="F129" s="7"/>
      <c r="G129" s="7"/>
      <c r="H129" s="7"/>
      <c r="I129" s="7"/>
      <c r="J129" s="7"/>
      <c r="K129" s="7"/>
      <c r="L129" s="7"/>
      <c r="M129" s="289"/>
      <c r="N129" s="289"/>
      <c r="O129" s="9"/>
      <c r="P129" s="9"/>
      <c r="Q129" s="11"/>
      <c r="R129" s="11"/>
      <c r="S129" s="11"/>
      <c r="T129" s="11"/>
      <c r="U129" s="11"/>
    </row>
    <row r="130" spans="2:31">
      <c r="C130" s="7"/>
      <c r="D130" s="7"/>
      <c r="E130" s="7"/>
      <c r="F130" s="7"/>
      <c r="G130" s="7"/>
      <c r="H130" s="7"/>
      <c r="I130" s="7"/>
      <c r="J130" s="7"/>
      <c r="K130" s="7"/>
      <c r="L130" s="7"/>
      <c r="M130" s="289"/>
      <c r="N130" s="289"/>
      <c r="O130" s="306"/>
      <c r="P130" s="9"/>
      <c r="Q130" s="11"/>
      <c r="R130" s="11"/>
      <c r="S130" s="11"/>
      <c r="T130" s="11"/>
      <c r="U130" s="11"/>
    </row>
    <row r="131" spans="2:31">
      <c r="C131" s="7"/>
      <c r="D131" s="7"/>
      <c r="E131" s="7"/>
      <c r="F131" s="7"/>
      <c r="G131" s="7"/>
      <c r="H131" s="7"/>
      <c r="I131" s="7"/>
      <c r="J131" s="7"/>
      <c r="K131" s="7"/>
      <c r="L131" s="7"/>
      <c r="M131" s="289"/>
      <c r="N131" s="289"/>
      <c r="O131" s="306"/>
      <c r="P131" s="9"/>
      <c r="Q131" s="11"/>
      <c r="R131" s="11"/>
      <c r="S131" s="11"/>
      <c r="T131" s="11"/>
      <c r="U131" s="11"/>
    </row>
    <row r="132" spans="2:31">
      <c r="C132" s="9"/>
      <c r="D132" s="9"/>
      <c r="E132" s="9"/>
      <c r="F132" s="9"/>
      <c r="G132" s="9"/>
      <c r="H132" s="9"/>
      <c r="I132" s="7"/>
      <c r="J132" s="7"/>
      <c r="K132" s="7"/>
      <c r="L132" s="7"/>
      <c r="O132" s="9"/>
      <c r="P132" s="9"/>
      <c r="Q132" s="11"/>
      <c r="R132" s="11"/>
      <c r="S132" s="11"/>
      <c r="T132" s="11"/>
      <c r="U132" s="11"/>
    </row>
    <row r="137" spans="2:31">
      <c r="C137" s="7"/>
      <c r="D137" s="7"/>
      <c r="E137" s="7"/>
      <c r="F137" s="7"/>
      <c r="G137" s="7"/>
      <c r="H137" s="7"/>
      <c r="I137" s="7"/>
      <c r="J137" s="7"/>
      <c r="K137" s="7"/>
      <c r="L137" s="7"/>
      <c r="M137" s="142"/>
      <c r="N137" s="142"/>
    </row>
    <row r="138" spans="2:31">
      <c r="C138" s="65"/>
      <c r="D138" s="65"/>
      <c r="E138" s="65"/>
      <c r="F138" s="65"/>
      <c r="G138" s="65"/>
      <c r="H138" s="65"/>
      <c r="I138" s="65"/>
      <c r="J138" s="65"/>
      <c r="K138" s="65"/>
      <c r="L138" s="65"/>
      <c r="M138" s="65"/>
      <c r="N138" s="65"/>
    </row>
    <row r="139" spans="2:31">
      <c r="C139" s="406" t="s">
        <v>224</v>
      </c>
      <c r="D139" s="406"/>
      <c r="E139" s="406"/>
      <c r="F139" s="406"/>
      <c r="G139" s="406"/>
      <c r="H139" s="406"/>
      <c r="I139" s="406"/>
      <c r="J139" s="406"/>
      <c r="K139" s="406"/>
      <c r="L139" s="406"/>
      <c r="M139" s="406"/>
      <c r="N139" s="406"/>
    </row>
    <row r="140" spans="2:31">
      <c r="C140" s="406"/>
      <c r="D140" s="406"/>
      <c r="E140" s="406"/>
      <c r="F140" s="406"/>
      <c r="G140" s="406"/>
      <c r="H140" s="406"/>
      <c r="I140" s="406"/>
      <c r="J140" s="406"/>
      <c r="K140" s="406"/>
      <c r="L140" s="406"/>
      <c r="M140" s="406"/>
      <c r="N140" s="406"/>
    </row>
    <row r="141" spans="2:31" ht="85.95" customHeight="1">
      <c r="B141" s="405" t="e" vm="1">
        <v>#VALUE!</v>
      </c>
      <c r="C141" s="405"/>
      <c r="D141" s="405"/>
      <c r="E141" s="405"/>
      <c r="F141" s="405"/>
      <c r="G141" s="405"/>
      <c r="H141" s="405"/>
      <c r="I141" s="405"/>
      <c r="J141" s="405"/>
      <c r="K141" s="405"/>
      <c r="L141" s="405"/>
      <c r="M141" s="405"/>
      <c r="N141" s="3"/>
      <c r="Q141" s="3"/>
      <c r="R141" s="3"/>
      <c r="S141" s="3"/>
      <c r="T141" s="3"/>
      <c r="U141" s="3"/>
      <c r="V141" s="3"/>
      <c r="X141" s="3"/>
      <c r="Y141" s="3"/>
      <c r="Z141" s="3"/>
      <c r="AA141" s="3"/>
      <c r="AB141" s="3"/>
      <c r="AC141" s="3"/>
      <c r="AE141" s="3"/>
    </row>
  </sheetData>
  <sheetProtection algorithmName="SHA-512" hashValue="zqyH7KwBFoU5dVct2o/MFt8+B4uVQeh/UzyYRoexg2TgaCiEiUD8jqVprfIgXcZLA7FaLWpPdegtdduXW6W3Jg==" saltValue="Upu5T8upEvER9QWUzQ7fNA==" spinCount="100000" sheet="1" scenarios="1" formatCells="0" formatColumns="0" formatRows="0"/>
  <mergeCells count="104">
    <mergeCell ref="AL61:AP62"/>
    <mergeCell ref="Q61:U62"/>
    <mergeCell ref="H63:I64"/>
    <mergeCell ref="H69:I69"/>
    <mergeCell ref="H65:I65"/>
    <mergeCell ref="X61:AB62"/>
    <mergeCell ref="AE63:AE64"/>
    <mergeCell ref="I54:I55"/>
    <mergeCell ref="K54:M54"/>
    <mergeCell ref="J69:M69"/>
    <mergeCell ref="J64:M64"/>
    <mergeCell ref="J117:M117"/>
    <mergeCell ref="J112:M112"/>
    <mergeCell ref="H111:I112"/>
    <mergeCell ref="H113:I113"/>
    <mergeCell ref="H114:I114"/>
    <mergeCell ref="Q109:U110"/>
    <mergeCell ref="H77:I77"/>
    <mergeCell ref="H78:I78"/>
    <mergeCell ref="H79:I79"/>
    <mergeCell ref="C81:H83"/>
    <mergeCell ref="H73:I73"/>
    <mergeCell ref="H74:I74"/>
    <mergeCell ref="H75:I75"/>
    <mergeCell ref="H66:I66"/>
    <mergeCell ref="H67:I67"/>
    <mergeCell ref="H68:I68"/>
    <mergeCell ref="H70:I70"/>
    <mergeCell ref="H71:I71"/>
    <mergeCell ref="H72:I72"/>
    <mergeCell ref="C54:C55"/>
    <mergeCell ref="C40:C41"/>
    <mergeCell ref="D69:E69"/>
    <mergeCell ref="D65:E65"/>
    <mergeCell ref="D66:E66"/>
    <mergeCell ref="D67:E67"/>
    <mergeCell ref="D68:E68"/>
    <mergeCell ref="E40:G40"/>
    <mergeCell ref="C58:C59"/>
    <mergeCell ref="E58:G58"/>
    <mergeCell ref="C63:C64"/>
    <mergeCell ref="E54:G54"/>
    <mergeCell ref="D63:E64"/>
    <mergeCell ref="D72:E72"/>
    <mergeCell ref="Q63:Q64"/>
    <mergeCell ref="X63:X64"/>
    <mergeCell ref="AE61:AI62"/>
    <mergeCell ref="C106:C107"/>
    <mergeCell ref="E106:G106"/>
    <mergeCell ref="D114:E114"/>
    <mergeCell ref="C91:C92"/>
    <mergeCell ref="E91:G91"/>
    <mergeCell ref="C102:C103"/>
    <mergeCell ref="E102:G102"/>
    <mergeCell ref="D78:E78"/>
    <mergeCell ref="D79:E79"/>
    <mergeCell ref="C111:C112"/>
    <mergeCell ref="D111:E112"/>
    <mergeCell ref="D113:E113"/>
    <mergeCell ref="D73:E73"/>
    <mergeCell ref="D74:E74"/>
    <mergeCell ref="D75:E75"/>
    <mergeCell ref="D76:E76"/>
    <mergeCell ref="D77:E77"/>
    <mergeCell ref="D70:E70"/>
    <mergeCell ref="D71:E71"/>
    <mergeCell ref="H76:I76"/>
    <mergeCell ref="D125:E125"/>
    <mergeCell ref="D126:E126"/>
    <mergeCell ref="D127:E127"/>
    <mergeCell ref="D120:E120"/>
    <mergeCell ref="D121:E121"/>
    <mergeCell ref="D122:E122"/>
    <mergeCell ref="D123:E123"/>
    <mergeCell ref="D124:E124"/>
    <mergeCell ref="D115:E115"/>
    <mergeCell ref="D116:E116"/>
    <mergeCell ref="D117:E117"/>
    <mergeCell ref="D118:E118"/>
    <mergeCell ref="D119:E119"/>
    <mergeCell ref="C10:H10"/>
    <mergeCell ref="C17:H17"/>
    <mergeCell ref="C139:N140"/>
    <mergeCell ref="B141:M141"/>
    <mergeCell ref="X111:X112"/>
    <mergeCell ref="AE111:AE112"/>
    <mergeCell ref="AL111:AL112"/>
    <mergeCell ref="H126:I126"/>
    <mergeCell ref="H127:I127"/>
    <mergeCell ref="X109:AB110"/>
    <mergeCell ref="AE109:AI110"/>
    <mergeCell ref="AL109:AP110"/>
    <mergeCell ref="H117:I117"/>
    <mergeCell ref="Q111:Q112"/>
    <mergeCell ref="H121:I121"/>
    <mergeCell ref="H122:I122"/>
    <mergeCell ref="H123:I123"/>
    <mergeCell ref="H124:I124"/>
    <mergeCell ref="H125:I125"/>
    <mergeCell ref="H115:I115"/>
    <mergeCell ref="H116:I116"/>
    <mergeCell ref="H118:I118"/>
    <mergeCell ref="H119:I119"/>
    <mergeCell ref="H120:I120"/>
  </mergeCells>
  <phoneticPr fontId="2" type="noConversion"/>
  <conditionalFormatting sqref="D12:H15">
    <cfRule type="expression" dxfId="38" priority="44" stopIfTrue="1">
      <formula>$C12="Do not fill this line"</formula>
    </cfRule>
  </conditionalFormatting>
  <conditionalFormatting sqref="D19:H28">
    <cfRule type="expression" dxfId="37" priority="43" stopIfTrue="1">
      <formula>$C19="Do not fill this line"</formula>
    </cfRule>
  </conditionalFormatting>
  <conditionalFormatting sqref="C110:E127">
    <cfRule type="expression" dxfId="36" priority="25">
      <formula>$H$102&gt;1</formula>
    </cfRule>
  </conditionalFormatting>
  <conditionalFormatting sqref="H110:N128">
    <cfRule type="expression" dxfId="35" priority="20">
      <formula>$H$102=1</formula>
    </cfRule>
  </conditionalFormatting>
  <conditionalFormatting sqref="B61:F80">
    <cfRule type="expression" dxfId="34" priority="28">
      <formula>OR(uso=2,uso=3)</formula>
    </cfRule>
  </conditionalFormatting>
  <conditionalFormatting sqref="G62:N64 G69:N69 G65:I68 N65:N68 G80:N80 G70:I79 N70:N79">
    <cfRule type="expression" dxfId="33" priority="12">
      <formula>IF($H$58=2,TRUE,FALSE)</formula>
    </cfRule>
    <cfRule type="expression" dxfId="32" priority="13" stopIfTrue="1">
      <formula>OR(uso=1,uso=4)</formula>
    </cfRule>
  </conditionalFormatting>
  <conditionalFormatting sqref="C105:I108">
    <cfRule type="expression" dxfId="31" priority="38">
      <formula>IF($H$102=1,TRUE,FALSE)</formula>
    </cfRule>
  </conditionalFormatting>
  <conditionalFormatting sqref="C101:N129">
    <cfRule type="expression" dxfId="30" priority="18">
      <formula>IF($H$91=2,TRUE,FALSE)</formula>
    </cfRule>
  </conditionalFormatting>
  <conditionalFormatting sqref="C69:M69 C65:I68 C80:M80 C70:I79 C58:M64 C54:J57 L55:M57 C52:M53">
    <cfRule type="expression" dxfId="29" priority="10">
      <formula>IF($H$40=2,TRUE,FALSE)</formula>
    </cfRule>
  </conditionalFormatting>
  <conditionalFormatting sqref="C57:I61">
    <cfRule type="expression" dxfId="28" priority="35">
      <formula>IF(OR(uso=1,uso=4),TRUE,FALSE)</formula>
    </cfRule>
  </conditionalFormatting>
  <conditionalFormatting sqref="G109:N129">
    <cfRule type="expression" dxfId="27" priority="19">
      <formula>IF($H$106=2,TRUE,FALSE)</formula>
    </cfRule>
  </conditionalFormatting>
  <conditionalFormatting sqref="D67:E67">
    <cfRule type="expression" dxfId="26" priority="40">
      <formula>IF(C67="Do not fill this line",TRUE,FALSE)</formula>
    </cfRule>
  </conditionalFormatting>
  <conditionalFormatting sqref="D68:E68">
    <cfRule type="expression" dxfId="25" priority="36">
      <formula>IF(C68="Do not fill this line",TRUE,FALSE)</formula>
    </cfRule>
  </conditionalFormatting>
  <conditionalFormatting sqref="D68:E68">
    <cfRule type="expression" dxfId="24" priority="32">
      <formula>IF(C68="Do not fill this line",TRUE,FALSE)</formula>
    </cfRule>
  </conditionalFormatting>
  <conditionalFormatting sqref="D70:E79">
    <cfRule type="expression" dxfId="23" priority="31">
      <formula>IF(C70="Do not fill this line",TRUE,FALSE)</formula>
    </cfRule>
  </conditionalFormatting>
  <conditionalFormatting sqref="D70:E79">
    <cfRule type="expression" dxfId="22" priority="30">
      <formula>IF(C70="Do not fill this line",TRUE,FALSE)</formula>
    </cfRule>
  </conditionalFormatting>
  <conditionalFormatting sqref="D113:E113">
    <cfRule type="expression" dxfId="21" priority="42">
      <formula>IF(C113="Do not fill this line",TRUE,FALSE)</formula>
    </cfRule>
  </conditionalFormatting>
  <conditionalFormatting sqref="D114:E116">
    <cfRule type="expression" dxfId="20" priority="37">
      <formula>IF(C114="Do not fill this line",TRUE,FALSE)</formula>
    </cfRule>
  </conditionalFormatting>
  <conditionalFormatting sqref="D118:E127">
    <cfRule type="expression" dxfId="19" priority="27">
      <formula>IF(C118="Do not fill this line",TRUE,FALSE)</formula>
    </cfRule>
  </conditionalFormatting>
  <conditionalFormatting sqref="J113:M116">
    <cfRule type="expression" dxfId="18" priority="41">
      <formula>IF($H113="Do not fill this line",TRUE,FALSE)</formula>
    </cfRule>
  </conditionalFormatting>
  <conditionalFormatting sqref="J114:M114">
    <cfRule type="expression" dxfId="17" priority="33">
      <formula>IF(H114="Do not fill this line",TRUE,FALSE)</formula>
    </cfRule>
  </conditionalFormatting>
  <conditionalFormatting sqref="J115:M115">
    <cfRule type="expression" dxfId="16" priority="26">
      <formula>IF(H115="Do not fill this line",TRUE,FALSE)</formula>
    </cfRule>
  </conditionalFormatting>
  <conditionalFormatting sqref="J116:M116">
    <cfRule type="expression" dxfId="15" priority="24">
      <formula>IF(H116="Do not fill this line",TRUE,FALSE)</formula>
    </cfRule>
  </conditionalFormatting>
  <conditionalFormatting sqref="J118:J127">
    <cfRule type="expression" dxfId="14" priority="23">
      <formula>IF(H118="Do not fill this line",TRUE,FALSE)</formula>
    </cfRule>
  </conditionalFormatting>
  <conditionalFormatting sqref="J118:M127">
    <cfRule type="expression" dxfId="13" priority="22">
      <formula>IF($H118="Do not fill this line",TRUE,FALSE)</formula>
    </cfRule>
  </conditionalFormatting>
  <conditionalFormatting sqref="J118:M127">
    <cfRule type="expression" dxfId="12" priority="21">
      <formula>IF(H118="Do not fill this line",TRUE,FALSE)</formula>
    </cfRule>
  </conditionalFormatting>
  <conditionalFormatting sqref="J65:M68">
    <cfRule type="expression" dxfId="11" priority="39">
      <formula>IF(H65="Do not fill this line",TRUE,FALSE)</formula>
    </cfRule>
  </conditionalFormatting>
  <conditionalFormatting sqref="J65:M68">
    <cfRule type="expression" dxfId="10" priority="34">
      <formula>IF($H65="Do not fill this line",TRUE,FALSE)</formula>
    </cfRule>
  </conditionalFormatting>
  <conditionalFormatting sqref="J65:M68">
    <cfRule type="expression" dxfId="9" priority="29">
      <formula>IF(H65="Do not fill this line",TRUE,FALSE)</formula>
    </cfRule>
  </conditionalFormatting>
  <conditionalFormatting sqref="J70:M79">
    <cfRule type="expression" dxfId="8" priority="17">
      <formula>IF(H70="Do not fill this line",TRUE,FALSE)</formula>
    </cfRule>
  </conditionalFormatting>
  <conditionalFormatting sqref="J70:M79">
    <cfRule type="expression" dxfId="7" priority="16">
      <formula>IF($H70="Do not fill this line",TRUE,FALSE)</formula>
    </cfRule>
  </conditionalFormatting>
  <conditionalFormatting sqref="J70:M79">
    <cfRule type="expression" dxfId="6" priority="15">
      <formula>IF(H70="Do not fill this line",TRUE,FALSE)</formula>
    </cfRule>
  </conditionalFormatting>
  <conditionalFormatting sqref="J65:M79">
    <cfRule type="expression" dxfId="5" priority="3">
      <formula>$H$58=2</formula>
    </cfRule>
    <cfRule type="expression" dxfId="4" priority="4">
      <formula>OR(uso=1,uso=4)</formula>
    </cfRule>
    <cfRule type="expression" dxfId="3" priority="5">
      <formula>$H$40=2</formula>
    </cfRule>
  </conditionalFormatting>
  <conditionalFormatting sqref="C81">
    <cfRule type="expression" dxfId="2" priority="2">
      <formula>OR(uso=2,uso=3)</formula>
    </cfRule>
  </conditionalFormatting>
  <conditionalFormatting sqref="C81">
    <cfRule type="expression" dxfId="1" priority="1">
      <formula>IF($H$40=2,TRUE,FALSE)</formula>
    </cfRule>
  </conditionalFormatting>
  <dataValidations count="7">
    <dataValidation type="list" allowBlank="1" showInputMessage="1" showErrorMessage="1" sqref="E102:G102" xr:uid="{0A46129E-B32B-40DA-9EBB-905DAFB7A3C8}">
      <formula1>"Median survival,Cumulative mortality rate,Overall survival"</formula1>
    </dataValidation>
    <dataValidation type="list" allowBlank="1" showInputMessage="1" showErrorMessage="1" sqref="E91:G91 E40:G40 J54" xr:uid="{AA7AFB32-ED8C-4F8B-9A30-013D835D2286}">
      <formula1>"Yes,No"</formula1>
    </dataValidation>
    <dataValidation type="list" allowBlank="1" showInputMessage="1" showErrorMessage="1" sqref="E54:G54" xr:uid="{CEF5F761-9A55-45D4-B951-E389D1E3CC7C}">
      <formula1>"Median usage time,Discontinuation rate,Progression-free survival,Median progression-free survival"</formula1>
    </dataValidation>
    <dataValidation type="list" allowBlank="1" showInputMessage="1" showErrorMessage="1" sqref="E58:G58 E106:G106" xr:uid="{D0323927-5CD0-9449-9BFC-63B79D78F4C7}">
      <formula1>"Annual data,Other data frequency"</formula1>
    </dataValidation>
    <dataValidation type="decimal" allowBlank="1" showInputMessage="1" showErrorMessage="1" error="Enter the number of months of treatment use per year (from 0 to 12)." sqref="D19:H28 D12:H15" xr:uid="{677DF6AE-A3DC-F342-8A09-9055854BED38}">
      <formula1>0</formula1>
      <formula2>12</formula2>
    </dataValidation>
    <dataValidation type="decimal" operator="greaterThan" allowBlank="1" showInputMessage="1" showErrorMessage="1" sqref="D65:E68 D70:E79 D113:E116 D118:E127" xr:uid="{BF30B2A5-ACDD-F146-AFF1-AF1308CA6A2D}">
      <formula1>0</formula1>
    </dataValidation>
    <dataValidation type="decimal" allowBlank="1" showInputMessage="1" showErrorMessage="1" sqref="J65:M68 J70:M79 J113:M116 J118:M127" xr:uid="{E96F6BE2-BDFE-A543-9085-6B2D57411D70}">
      <formula1>0</formula1>
      <formula2>1</formula2>
    </dataValidation>
  </dataValidations>
  <pageMargins left="0.511811024" right="0.511811024" top="0.78740157499999996" bottom="0.78740157499999996" header="0.31496062000000002" footer="0.31496062000000002"/>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9D641-CB78-45F3-8E6B-38CA72C6D6FA}">
  <sheetPr codeName="Planilha17">
    <tabColor rgb="FF726C5A"/>
  </sheetPr>
  <dimension ref="A1:X98"/>
  <sheetViews>
    <sheetView showGridLines="0" showRowColHeaders="0" topLeftCell="A29" zoomScaleNormal="100" workbookViewId="0">
      <selection activeCell="R9" sqref="R9"/>
    </sheetView>
  </sheetViews>
  <sheetFormatPr defaultColWidth="8.77734375" defaultRowHeight="14.4"/>
  <cols>
    <col min="1" max="1" width="5.44140625" style="3" customWidth="1"/>
    <col min="2" max="2" width="24.6640625" style="3" customWidth="1"/>
    <col min="3" max="3" width="14.109375" style="3" customWidth="1"/>
    <col min="4" max="9" width="18.109375" style="3" customWidth="1"/>
    <col min="10" max="10" width="6.77734375" style="3" customWidth="1"/>
    <col min="11" max="11" width="21.44140625" style="3" customWidth="1"/>
    <col min="12" max="21" width="8.77734375" style="3" customWidth="1"/>
    <col min="22" max="22" width="17.33203125" style="3" customWidth="1"/>
    <col min="23" max="23" width="21.77734375" style="3" customWidth="1"/>
    <col min="24" max="24" width="17.6640625" style="3" customWidth="1"/>
    <col min="25" max="44" width="8.77734375" style="3" customWidth="1"/>
    <col min="45" max="16384" width="8.77734375" style="3"/>
  </cols>
  <sheetData>
    <row r="1" spans="1:24" s="130" customFormat="1" ht="33.6">
      <c r="A1" s="127"/>
      <c r="B1" s="128" t="str">
        <f>Introduction!$B$1</f>
        <v>Budget impact analysis of Intrauterine device levonorgestrel for treatment of Leiomioma presenting with heavy bleeding</v>
      </c>
      <c r="C1" s="128"/>
      <c r="D1" s="129"/>
      <c r="E1" s="127"/>
      <c r="F1" s="127"/>
      <c r="G1" s="127"/>
      <c r="H1" s="127"/>
      <c r="I1" s="127"/>
      <c r="J1" s="127"/>
      <c r="K1" s="127"/>
      <c r="L1" s="127"/>
      <c r="M1" s="127"/>
      <c r="N1" s="127"/>
      <c r="O1" s="127"/>
      <c r="P1" s="127"/>
      <c r="Q1" s="127"/>
      <c r="R1" s="127"/>
      <c r="S1" s="127"/>
      <c r="T1" s="127"/>
      <c r="U1" s="127"/>
      <c r="V1" s="127"/>
      <c r="W1" s="127"/>
      <c r="X1" s="127"/>
    </row>
    <row r="2" spans="1:24" s="130" customFormat="1" ht="18">
      <c r="A2" s="127"/>
      <c r="B2" s="131"/>
      <c r="C2" s="131"/>
      <c r="D2" s="132"/>
      <c r="E2" s="133"/>
      <c r="F2" s="133"/>
      <c r="G2" s="133"/>
      <c r="H2" s="133"/>
      <c r="I2" s="133"/>
      <c r="J2" s="133"/>
      <c r="K2" s="133"/>
      <c r="L2" s="133"/>
      <c r="M2" s="127"/>
      <c r="N2" s="127"/>
      <c r="O2" s="127"/>
      <c r="P2" s="127"/>
      <c r="Q2" s="127"/>
      <c r="R2" s="127"/>
      <c r="S2" s="127"/>
      <c r="T2" s="127"/>
      <c r="U2" s="127"/>
      <c r="V2" s="127"/>
      <c r="W2" s="127"/>
      <c r="X2" s="127"/>
    </row>
    <row r="3" spans="1:24" s="134" customFormat="1" ht="2.25" customHeight="1">
      <c r="D3" s="135"/>
    </row>
    <row r="4" spans="1:24" ht="15.6">
      <c r="A4" s="9"/>
      <c r="B4" s="9"/>
      <c r="C4" s="9"/>
      <c r="D4" s="9"/>
      <c r="E4" s="9"/>
      <c r="F4" s="9"/>
      <c r="G4" s="9"/>
      <c r="H4" s="9"/>
      <c r="I4" s="9"/>
      <c r="J4" s="9"/>
      <c r="K4" s="9"/>
      <c r="L4" s="9"/>
      <c r="M4" s="9"/>
      <c r="N4" s="9"/>
      <c r="O4" s="9"/>
      <c r="P4" s="9"/>
      <c r="Q4" s="9"/>
      <c r="R4" s="9"/>
      <c r="S4" s="9"/>
      <c r="T4" s="9"/>
      <c r="U4" s="274"/>
      <c r="V4" s="9"/>
      <c r="W4" s="9"/>
      <c r="X4" s="9"/>
    </row>
    <row r="5" spans="1:24" s="137" customFormat="1" ht="18">
      <c r="A5" s="136"/>
      <c r="B5" s="140" t="s">
        <v>183</v>
      </c>
      <c r="D5" s="138"/>
      <c r="F5" s="43"/>
    </row>
    <row r="6" spans="1:24" s="137" customFormat="1" ht="15" customHeight="1">
      <c r="A6" s="136"/>
      <c r="B6" s="136"/>
      <c r="D6" s="136"/>
      <c r="E6" s="136"/>
      <c r="F6" s="43"/>
    </row>
    <row r="7" spans="1:24" customFormat="1">
      <c r="D7" s="9"/>
    </row>
    <row r="8" spans="1:24" customFormat="1">
      <c r="D8" s="189">
        <f>ano_1</f>
        <v>2026</v>
      </c>
      <c r="E8" s="189">
        <f>ano_1+1</f>
        <v>2027</v>
      </c>
      <c r="F8" s="189">
        <f>ano_1+2</f>
        <v>2028</v>
      </c>
      <c r="G8" s="189">
        <f>ano_1+3</f>
        <v>2029</v>
      </c>
      <c r="H8" s="189">
        <f>ano_1+4</f>
        <v>2030</v>
      </c>
      <c r="J8" s="9"/>
      <c r="K8" s="189" t="s">
        <v>190</v>
      </c>
    </row>
    <row r="9" spans="1:24" ht="15.6">
      <c r="A9" s="9"/>
      <c r="B9" s="10"/>
      <c r="C9" s="275" t="s">
        <v>189</v>
      </c>
      <c r="D9" s="199">
        <f>IF(demanda="Enter data manually",Population!D27,IF(demanda="Epidemiological method",Population!E89,Population!D67))</f>
        <v>311080.53998220514</v>
      </c>
      <c r="E9" s="199">
        <f>IF(demanda="Enter data manually",Population!E27,IF(demanda="Epidemiological method",Population!F89,Population!E67))</f>
        <v>309959.50471967034</v>
      </c>
      <c r="F9" s="199">
        <f>IF(demanda="Enter data manually",Population!F27,IF(demanda="Epidemiological method",Population!G89,Population!F67))</f>
        <v>308747.1600436939</v>
      </c>
      <c r="G9" s="199">
        <f>IF(demanda="Enter data manually",Population!G27,IF(demanda="Epidemiological method",Population!H89,Population!G67))</f>
        <v>307292.69308336981</v>
      </c>
      <c r="H9" s="199">
        <f>IF(demanda="Enter data manually",Population!H27,IF(demanda="Epidemiological method",Population!I89,Population!H67))</f>
        <v>305462.50005901721</v>
      </c>
      <c r="I9" s="9"/>
      <c r="J9" s="9"/>
      <c r="K9" s="199">
        <f>AVERAGE(D9:H9)</f>
        <v>308508.47957759129</v>
      </c>
      <c r="L9" s="9"/>
      <c r="M9" s="9"/>
      <c r="N9" s="9"/>
      <c r="O9" s="9"/>
      <c r="P9" s="9"/>
      <c r="Q9" s="9"/>
      <c r="R9" s="9"/>
      <c r="S9" s="9"/>
      <c r="T9" s="9"/>
      <c r="U9" s="9"/>
      <c r="V9" s="9"/>
      <c r="W9" s="276"/>
      <c r="X9" s="9"/>
    </row>
    <row r="10" spans="1:24">
      <c r="A10" s="9"/>
      <c r="B10" s="9"/>
      <c r="C10" s="9"/>
      <c r="D10" s="43"/>
      <c r="E10" s="9"/>
      <c r="F10" s="9"/>
      <c r="G10" s="9"/>
      <c r="H10" s="9"/>
      <c r="I10" s="9"/>
      <c r="J10" s="9"/>
      <c r="K10" s="9"/>
      <c r="L10" s="9"/>
      <c r="M10" s="9"/>
      <c r="N10" s="9"/>
      <c r="O10" s="9"/>
      <c r="P10" s="9"/>
      <c r="Q10" s="9"/>
      <c r="R10" s="9"/>
      <c r="S10" s="9"/>
      <c r="T10" s="9"/>
      <c r="U10" s="9"/>
      <c r="V10" s="9"/>
      <c r="W10" s="9"/>
      <c r="X10" s="9"/>
    </row>
    <row r="11" spans="1:24">
      <c r="A11" s="9"/>
      <c r="B11" s="9"/>
      <c r="C11" s="9"/>
      <c r="D11" s="43"/>
      <c r="E11" s="9"/>
      <c r="F11" s="9"/>
      <c r="G11" s="9"/>
      <c r="H11" s="9"/>
      <c r="I11" s="9"/>
      <c r="J11" s="9"/>
      <c r="K11" s="9"/>
      <c r="L11" s="9"/>
      <c r="M11" s="9"/>
      <c r="N11" s="9"/>
      <c r="O11" s="9"/>
      <c r="P11" s="9"/>
      <c r="Q11" s="9"/>
      <c r="R11" s="9"/>
      <c r="S11" s="9"/>
      <c r="T11" s="9"/>
      <c r="U11" s="9"/>
      <c r="V11" s="9"/>
      <c r="W11" s="9"/>
      <c r="X11" s="9"/>
    </row>
    <row r="12" spans="1:24">
      <c r="A12" s="9"/>
      <c r="B12" s="417" t="s">
        <v>333</v>
      </c>
      <c r="C12" s="417"/>
      <c r="D12" s="7"/>
      <c r="E12"/>
      <c r="F12" s="7"/>
      <c r="G12" s="9"/>
      <c r="H12" s="9"/>
      <c r="I12" s="9"/>
      <c r="J12" s="9"/>
      <c r="K12" s="9"/>
      <c r="L12" s="9"/>
      <c r="M12" s="9"/>
      <c r="N12" s="9"/>
      <c r="O12" s="9"/>
      <c r="P12" s="9"/>
      <c r="Q12" s="9"/>
      <c r="R12" s="9"/>
      <c r="S12" s="9"/>
      <c r="T12" s="9"/>
      <c r="U12" s="9"/>
      <c r="V12" s="9"/>
      <c r="W12" s="9"/>
      <c r="X12" s="9"/>
    </row>
    <row r="13" spans="1:24">
      <c r="A13" s="9"/>
      <c r="B13" s="417"/>
      <c r="C13" s="417"/>
      <c r="D13" s="381" t="s">
        <v>256</v>
      </c>
      <c r="E13" s="290" t="s">
        <v>334</v>
      </c>
      <c r="G13" s="9"/>
      <c r="H13" s="9"/>
      <c r="I13" s="9"/>
      <c r="J13" s="9"/>
      <c r="K13" s="9"/>
      <c r="L13" s="9"/>
      <c r="M13" s="9"/>
      <c r="N13" s="9"/>
      <c r="O13" s="9"/>
      <c r="P13" s="9"/>
      <c r="Q13" s="9"/>
      <c r="R13" s="9"/>
      <c r="S13" s="9"/>
      <c r="T13" s="9"/>
      <c r="U13" s="9"/>
      <c r="V13" s="9"/>
      <c r="W13" s="9"/>
      <c r="X13" s="9"/>
    </row>
    <row r="14" spans="1:24">
      <c r="A14" s="9"/>
      <c r="B14" s="9"/>
      <c r="C14" s="9"/>
      <c r="D14" s="43"/>
      <c r="E14" s="9"/>
      <c r="F14" s="9"/>
      <c r="G14" s="9"/>
      <c r="H14" s="9"/>
      <c r="I14" s="9"/>
      <c r="J14" s="9"/>
      <c r="K14" s="9"/>
      <c r="L14" s="9"/>
      <c r="M14" s="9"/>
      <c r="N14" s="9"/>
      <c r="O14" s="9"/>
      <c r="P14" s="9"/>
      <c r="Q14" s="9"/>
      <c r="R14" s="9"/>
      <c r="S14" s="9"/>
      <c r="T14" s="9"/>
      <c r="U14" s="9"/>
      <c r="V14" s="9"/>
      <c r="W14" s="9"/>
      <c r="X14" s="9"/>
    </row>
    <row r="15" spans="1:24">
      <c r="A15" s="9"/>
      <c r="B15" s="269"/>
      <c r="C15" s="269"/>
      <c r="D15" s="270"/>
      <c r="E15" s="269"/>
      <c r="F15" s="269"/>
      <c r="G15" s="269"/>
      <c r="H15" s="269"/>
      <c r="I15" s="269"/>
      <c r="J15" s="269"/>
      <c r="K15" s="269"/>
      <c r="L15" s="269"/>
      <c r="M15" s="269"/>
      <c r="N15" s="269"/>
      <c r="O15" s="269"/>
      <c r="P15" s="269"/>
      <c r="Q15" s="269"/>
      <c r="R15" s="269"/>
      <c r="S15" s="269"/>
      <c r="T15" s="269"/>
      <c r="U15" s="269"/>
      <c r="V15" s="269"/>
      <c r="W15" s="269"/>
      <c r="X15" s="9"/>
    </row>
    <row r="16" spans="1:24">
      <c r="A16" s="9"/>
      <c r="B16" s="9"/>
      <c r="C16" s="9"/>
      <c r="D16" s="43"/>
      <c r="E16" s="9"/>
      <c r="F16" s="9"/>
      <c r="G16" s="9"/>
      <c r="H16" s="9"/>
      <c r="I16" s="9"/>
      <c r="J16" s="9"/>
      <c r="K16" s="9"/>
      <c r="L16" s="9"/>
      <c r="M16" s="9"/>
      <c r="N16" s="9"/>
      <c r="O16" s="9"/>
      <c r="P16" s="9"/>
      <c r="Q16" s="9"/>
      <c r="R16" s="9"/>
      <c r="S16" s="9"/>
      <c r="T16" s="9"/>
      <c r="U16" s="9"/>
      <c r="V16" s="9"/>
      <c r="W16" s="9"/>
      <c r="X16" s="9"/>
    </row>
    <row r="17" spans="1:24" ht="18">
      <c r="A17" s="9"/>
      <c r="B17" s="271" t="str">
        <f>'Mkt share'!B39</f>
        <v>Alternative scenario 1:</v>
      </c>
      <c r="C17" s="140" t="str">
        <f>cen_prop1</f>
        <v>With IUD-LNG 5-25%</v>
      </c>
      <c r="D17" s="140"/>
      <c r="E17" s="140"/>
      <c r="F17" s="140"/>
      <c r="G17" s="140"/>
      <c r="H17" s="140"/>
      <c r="I17" s="140"/>
      <c r="J17" s="9"/>
      <c r="K17" s="9"/>
      <c r="L17" s="9"/>
      <c r="M17" s="9"/>
      <c r="N17" s="9"/>
      <c r="O17" s="9"/>
      <c r="P17" s="9"/>
      <c r="Q17" s="9"/>
      <c r="R17" s="9"/>
      <c r="S17" s="9"/>
      <c r="T17" s="9"/>
      <c r="U17" s="9"/>
      <c r="V17" s="9"/>
      <c r="W17" s="9"/>
      <c r="X17" s="9"/>
    </row>
    <row r="18" spans="1:24" ht="15.6">
      <c r="A18" s="9"/>
      <c r="B18" s="275" t="s">
        <v>188</v>
      </c>
      <c r="C18" s="277">
        <f>SUM('Mkt share'!C42:C45)</f>
        <v>0.05</v>
      </c>
      <c r="D18" s="278" t="s">
        <v>186</v>
      </c>
      <c r="E18" s="277">
        <f>SUM('Mkt share'!G42:G45)</f>
        <v>0.25</v>
      </c>
      <c r="F18" s="9"/>
      <c r="G18" s="9"/>
      <c r="H18" s="9"/>
      <c r="I18" s="9"/>
      <c r="J18" s="9"/>
      <c r="K18" s="9"/>
      <c r="L18" s="9"/>
      <c r="M18" s="9"/>
      <c r="N18" s="9"/>
      <c r="O18" s="9"/>
      <c r="P18" s="9"/>
      <c r="Q18" s="9"/>
      <c r="R18" s="9"/>
      <c r="S18" s="9"/>
      <c r="T18" s="9"/>
      <c r="U18" s="9"/>
      <c r="V18" s="9"/>
      <c r="W18" s="9"/>
      <c r="X18" s="9"/>
    </row>
    <row r="19" spans="1:24" ht="14.55" customHeight="1">
      <c r="B19" s="9"/>
      <c r="C19" s="9"/>
      <c r="D19" s="9"/>
      <c r="E19" s="9"/>
      <c r="F19" s="9"/>
      <c r="G19" s="9"/>
      <c r="H19" s="9"/>
      <c r="I19" s="9"/>
      <c r="J19" s="9"/>
      <c r="K19" s="9"/>
      <c r="L19" s="9"/>
      <c r="M19" s="9"/>
      <c r="N19" s="9"/>
      <c r="O19" s="9"/>
      <c r="P19" s="9"/>
      <c r="Q19" s="9"/>
      <c r="R19" s="9"/>
      <c r="S19" s="9"/>
      <c r="T19" s="489"/>
      <c r="U19" s="489"/>
      <c r="V19" s="489"/>
      <c r="W19" s="489"/>
      <c r="X19" s="9"/>
    </row>
    <row r="20" spans="1:24">
      <c r="B20" s="9"/>
      <c r="C20" s="9"/>
      <c r="D20" s="9"/>
      <c r="E20" s="9"/>
      <c r="F20" s="9"/>
      <c r="G20" s="9"/>
      <c r="H20" s="9"/>
      <c r="I20" s="9"/>
      <c r="J20" s="9"/>
      <c r="K20" s="9"/>
      <c r="L20" s="9"/>
      <c r="M20" s="9"/>
      <c r="N20" s="9"/>
      <c r="O20" s="9"/>
      <c r="P20" s="9"/>
      <c r="Q20" s="9"/>
      <c r="R20" s="9"/>
      <c r="S20" s="9"/>
      <c r="T20" s="489"/>
      <c r="U20" s="489"/>
      <c r="V20" s="489"/>
      <c r="W20" s="489"/>
      <c r="X20" s="9"/>
    </row>
    <row r="21" spans="1:24">
      <c r="B21" s="491" t="s">
        <v>191</v>
      </c>
      <c r="C21" s="492"/>
      <c r="D21" s="189">
        <f>ano_1</f>
        <v>2026</v>
      </c>
      <c r="E21" s="189">
        <f>D21+1</f>
        <v>2027</v>
      </c>
      <c r="F21" s="189">
        <f t="shared" ref="F21:H21" si="0">E21+1</f>
        <v>2028</v>
      </c>
      <c r="G21" s="189">
        <f t="shared" si="0"/>
        <v>2029</v>
      </c>
      <c r="H21" s="189">
        <f t="shared" si="0"/>
        <v>2030</v>
      </c>
      <c r="I21" s="189" t="s">
        <v>313</v>
      </c>
      <c r="J21" s="9"/>
      <c r="K21" s="189" t="s">
        <v>190</v>
      </c>
      <c r="L21" s="9"/>
      <c r="M21" s="9"/>
      <c r="N21" s="9"/>
      <c r="O21" s="9"/>
      <c r="P21" s="9"/>
      <c r="Q21" s="9"/>
      <c r="R21" s="9"/>
      <c r="S21" s="9"/>
      <c r="T21" s="489"/>
      <c r="U21" s="489"/>
      <c r="V21" s="489"/>
      <c r="W21" s="489"/>
      <c r="X21" s="9"/>
    </row>
    <row r="22" spans="1:24">
      <c r="B22" s="9"/>
      <c r="C22" s="279" t="str">
        <f>'Mkt share'!B19</f>
        <v>Reference scenario:</v>
      </c>
      <c r="D22" s="318">
        <f ca="1">IF($E$18&gt;0,Calculations3!C25,0)</f>
        <v>5487460.7252860991</v>
      </c>
      <c r="E22" s="318">
        <f ca="1">IF($E$18&gt;0,Calculations3!D25,0)</f>
        <v>5467685.6632549856</v>
      </c>
      <c r="F22" s="318">
        <f ca="1">IF($E$18&gt;0,Calculations3!E25,0)</f>
        <v>5446299.9031707607</v>
      </c>
      <c r="G22" s="318">
        <f ca="1">IF($E$18&gt;0,Calculations3!F25,0)</f>
        <v>5420643.1059906445</v>
      </c>
      <c r="H22" s="318">
        <f ca="1">IF($E$18&gt;0,Calculations3!G25,0)</f>
        <v>5388358.501041064</v>
      </c>
      <c r="I22" s="319"/>
      <c r="J22" s="319"/>
      <c r="K22" s="318">
        <f ca="1">AVERAGE(D22:H22)</f>
        <v>5442089.5797487106</v>
      </c>
      <c r="L22" s="9"/>
      <c r="M22" s="9"/>
      <c r="N22" s="9"/>
      <c r="O22" s="9"/>
      <c r="P22" s="9"/>
      <c r="Q22" s="9"/>
      <c r="R22" s="9"/>
      <c r="S22" s="9"/>
      <c r="T22" s="9"/>
      <c r="U22" s="9"/>
      <c r="V22" s="9"/>
      <c r="W22" s="9"/>
      <c r="X22" s="9"/>
    </row>
    <row r="23" spans="1:24" ht="15" thickBot="1">
      <c r="B23" s="280"/>
      <c r="C23" s="281" t="str">
        <f>B17</f>
        <v>Alternative scenario 1:</v>
      </c>
      <c r="D23" s="320">
        <f ca="1">Calculations3!C44</f>
        <v>18482228.121962756</v>
      </c>
      <c r="E23" s="320">
        <f ca="1">Calculations3!D44</f>
        <v>18094422.011623606</v>
      </c>
      <c r="F23" s="320">
        <f ca="1">Calculations3!E44</f>
        <v>17695539.905051354</v>
      </c>
      <c r="G23" s="320">
        <f ca="1">Calculations3!F44</f>
        <v>17257963.443685785</v>
      </c>
      <c r="H23" s="320">
        <f ca="1">Calculations3!G44</f>
        <v>16758504.281983137</v>
      </c>
      <c r="I23" s="321"/>
      <c r="J23" s="319"/>
      <c r="K23" s="318">
        <f ca="1">AVERAGE(D23:H23)</f>
        <v>17657731.552861325</v>
      </c>
      <c r="L23" s="9"/>
      <c r="M23" s="9"/>
      <c r="N23" s="9"/>
      <c r="O23" s="9"/>
      <c r="P23" s="9"/>
      <c r="Q23" s="9"/>
      <c r="R23" s="9"/>
      <c r="S23" s="9"/>
      <c r="T23" s="9"/>
      <c r="U23" s="9"/>
      <c r="V23" s="9"/>
      <c r="W23" s="9"/>
      <c r="X23" s="9"/>
    </row>
    <row r="24" spans="1:24">
      <c r="B24" s="9"/>
      <c r="C24" s="282" t="s">
        <v>187</v>
      </c>
      <c r="D24" s="322">
        <f ca="1">D23-D22</f>
        <v>12994767.396676656</v>
      </c>
      <c r="E24" s="322">
        <f ca="1">E23-E22</f>
        <v>12626736.34836862</v>
      </c>
      <c r="F24" s="322">
        <f ca="1">F23-F22</f>
        <v>12249240.001880594</v>
      </c>
      <c r="G24" s="322">
        <f ca="1">G23-G22</f>
        <v>11837320.33769514</v>
      </c>
      <c r="H24" s="322">
        <f ca="1">H23-H22</f>
        <v>11370145.780942073</v>
      </c>
      <c r="I24" s="322">
        <f ca="1">SUM(D24:H24)</f>
        <v>61078209.865563087</v>
      </c>
      <c r="J24" s="319"/>
      <c r="K24" s="318">
        <f ca="1">AVERAGE(D24:H24)</f>
        <v>12215641.973112617</v>
      </c>
      <c r="L24" s="9"/>
      <c r="M24" s="9"/>
      <c r="N24" s="9"/>
      <c r="O24" s="9"/>
      <c r="P24" s="9"/>
      <c r="Q24" s="9"/>
      <c r="R24" s="9"/>
      <c r="S24" s="9"/>
      <c r="T24" s="9"/>
      <c r="U24" s="9"/>
      <c r="V24" s="9"/>
      <c r="W24" s="9"/>
      <c r="X24" s="9"/>
    </row>
    <row r="25" spans="1:24">
      <c r="B25" s="9"/>
      <c r="C25" s="361" t="s">
        <v>326</v>
      </c>
      <c r="D25" s="322">
        <f>PSA!Q7</f>
        <v>13012767.24398795</v>
      </c>
      <c r="E25" s="322">
        <f>PSA!R7</f>
        <v>12643067.863784686</v>
      </c>
      <c r="F25" s="322">
        <f>PSA!S7</f>
        <v>12263898.424525749</v>
      </c>
      <c r="G25" s="322">
        <f>PSA!T7</f>
        <v>11850267.35599819</v>
      </c>
      <c r="H25" s="322">
        <f>PSA!U7</f>
        <v>11381317.495101839</v>
      </c>
      <c r="I25" s="322">
        <f>PSA!V7</f>
        <v>61151318.383398429</v>
      </c>
      <c r="J25" s="319"/>
      <c r="K25" s="390"/>
      <c r="L25" s="9"/>
      <c r="M25" s="9"/>
      <c r="N25" s="9"/>
      <c r="O25" s="9"/>
      <c r="P25" s="9"/>
      <c r="Q25" s="9"/>
      <c r="R25" s="9"/>
      <c r="S25" s="9"/>
      <c r="T25" s="9"/>
      <c r="U25" s="9"/>
      <c r="V25" s="9"/>
      <c r="W25" s="9"/>
      <c r="X25" s="9"/>
    </row>
    <row r="26" spans="1:24">
      <c r="C26" s="361" t="str">
        <f>PSA!P12</f>
        <v>95% CI (lower)</v>
      </c>
      <c r="D26" s="322">
        <f>PSA!Q12</f>
        <v>6452910.3545604581</v>
      </c>
      <c r="E26" s="322">
        <f>PSA!R12</f>
        <v>6244405.0079528121</v>
      </c>
      <c r="F26" s="322">
        <f>PSA!S12</f>
        <v>6030341.4642962413</v>
      </c>
      <c r="G26" s="322">
        <f>PSA!T12</f>
        <v>5798275.3358281692</v>
      </c>
      <c r="H26" s="322">
        <f>PSA!U12</f>
        <v>5537828.7375471322</v>
      </c>
      <c r="I26" s="322">
        <f>PSA!V12</f>
        <v>30069415.869897787</v>
      </c>
    </row>
    <row r="27" spans="1:24">
      <c r="C27" s="361" t="str">
        <f>PSA!P13</f>
        <v>95% CI (upper)</v>
      </c>
      <c r="D27" s="322">
        <f>PSA!Q13</f>
        <v>19572624.133415442</v>
      </c>
      <c r="E27" s="322">
        <f>PSA!R13</f>
        <v>19041730.719616558</v>
      </c>
      <c r="F27" s="322">
        <f>PSA!S13</f>
        <v>18497455.384755258</v>
      </c>
      <c r="G27" s="322">
        <f>PSA!T13</f>
        <v>17902259.37616821</v>
      </c>
      <c r="H27" s="322">
        <f>PSA!U13</f>
        <v>17224806.252656545</v>
      </c>
      <c r="I27" s="322">
        <f>PSA!V13</f>
        <v>92233220.896899074</v>
      </c>
    </row>
    <row r="30" spans="1:24">
      <c r="B30" s="491" t="s">
        <v>192</v>
      </c>
      <c r="C30" s="492"/>
      <c r="D30" s="189">
        <f>ano_1</f>
        <v>2026</v>
      </c>
      <c r="E30" s="189">
        <f>D30+1</f>
        <v>2027</v>
      </c>
      <c r="F30" s="189">
        <f t="shared" ref="F30:H30" si="1">E30+1</f>
        <v>2028</v>
      </c>
      <c r="G30" s="189">
        <f t="shared" si="1"/>
        <v>2029</v>
      </c>
      <c r="H30" s="189">
        <f t="shared" si="1"/>
        <v>2030</v>
      </c>
      <c r="I30" s="189" t="s">
        <v>313</v>
      </c>
      <c r="J30" s="9"/>
      <c r="K30" s="189" t="s">
        <v>190</v>
      </c>
      <c r="L30" s="9"/>
      <c r="M30" s="9"/>
      <c r="N30" s="9"/>
      <c r="O30" s="9"/>
      <c r="P30" s="9"/>
      <c r="Q30" s="9"/>
      <c r="R30" s="9"/>
      <c r="S30" s="9"/>
      <c r="T30" s="9"/>
      <c r="U30" s="9"/>
      <c r="V30" s="9"/>
      <c r="W30" s="9"/>
      <c r="X30" s="9"/>
    </row>
    <row r="31" spans="1:24">
      <c r="B31" s="9"/>
      <c r="C31" s="279" t="str">
        <f>C22</f>
        <v>Reference scenario:</v>
      </c>
      <c r="D31" s="318">
        <f ca="1">IF($E$18&gt;0,Calculations3!K25,0)</f>
        <v>457288.39377384161</v>
      </c>
      <c r="E31" s="318">
        <f ca="1">IF($E$18&gt;0,Calculations3!L25,0)</f>
        <v>455640.47193791548</v>
      </c>
      <c r="F31" s="318">
        <f ca="1">IF($E$18&gt;0,Calculations3!M25,0)</f>
        <v>453858.32526423008</v>
      </c>
      <c r="G31" s="318">
        <f ca="1">IF($E$18&gt;0,Calculations3!N25,0)</f>
        <v>451720.25883255369</v>
      </c>
      <c r="H31" s="318">
        <f ca="1">IF($E$18&gt;0,Calculations3!O25,0)</f>
        <v>449029.87508675538</v>
      </c>
      <c r="I31" s="319"/>
      <c r="J31" s="319"/>
      <c r="K31" s="318">
        <f ca="1">AVERAGE(D31:H31)</f>
        <v>453507.46497905924</v>
      </c>
      <c r="L31" s="9"/>
      <c r="M31" s="9"/>
      <c r="N31" s="9"/>
      <c r="O31" s="9"/>
      <c r="P31" s="9"/>
      <c r="Q31" s="9"/>
      <c r="R31" s="9"/>
      <c r="S31" s="9"/>
      <c r="T31" s="9"/>
      <c r="U31" s="9"/>
      <c r="V31" s="9"/>
      <c r="W31" s="9"/>
      <c r="X31" s="9"/>
    </row>
    <row r="32" spans="1:24" ht="15" thickBot="1">
      <c r="B32" s="280"/>
      <c r="C32" s="281" t="str">
        <f>C23</f>
        <v>Alternative scenario 1:</v>
      </c>
      <c r="D32" s="320">
        <f ca="1">Calculations3!K44</f>
        <v>13703564.407026112</v>
      </c>
      <c r="E32" s="320">
        <f ca="1">Calculations3!L44</f>
        <v>13583581.339438243</v>
      </c>
      <c r="F32" s="320">
        <f ca="1">Calculations3!M44</f>
        <v>13451964.563830804</v>
      </c>
      <c r="G32" s="320">
        <f ca="1">Calculations3!N44</f>
        <v>13282825.165959314</v>
      </c>
      <c r="H32" s="320">
        <f ca="1">Calculations3!O44</f>
        <v>13054007.812517405</v>
      </c>
      <c r="I32" s="321"/>
      <c r="J32" s="319"/>
      <c r="K32" s="318">
        <f ca="1">AVERAGE(D32:H32)</f>
        <v>13415188.657754377</v>
      </c>
      <c r="L32" s="9"/>
      <c r="M32" s="9"/>
      <c r="N32" s="9"/>
      <c r="O32" s="9"/>
      <c r="P32" s="9"/>
      <c r="Q32" s="9"/>
      <c r="R32" s="9"/>
      <c r="S32" s="9"/>
      <c r="T32" s="9"/>
      <c r="U32" s="9"/>
      <c r="V32" s="9"/>
      <c r="W32" s="9"/>
      <c r="X32" s="9"/>
    </row>
    <row r="33" spans="2:24">
      <c r="B33" s="9"/>
      <c r="C33" s="282" t="str">
        <f>C24</f>
        <v>Incremental budget impact</v>
      </c>
      <c r="D33" s="322">
        <f ca="1">D32-D31</f>
        <v>13246276.013252271</v>
      </c>
      <c r="E33" s="322">
        <f t="shared" ref="E33:H33" ca="1" si="2">E32-E31</f>
        <v>13127940.867500328</v>
      </c>
      <c r="F33" s="322">
        <f t="shared" ca="1" si="2"/>
        <v>12998106.238566574</v>
      </c>
      <c r="G33" s="322">
        <f t="shared" ca="1" si="2"/>
        <v>12831104.90712676</v>
      </c>
      <c r="H33" s="322">
        <f t="shared" ca="1" si="2"/>
        <v>12604977.93743065</v>
      </c>
      <c r="I33" s="322">
        <f ca="1">SUM(D33:H33)</f>
        <v>64808405.963876583</v>
      </c>
      <c r="J33" s="319"/>
      <c r="K33" s="318">
        <f ca="1">AVERAGE(D33:H33)</f>
        <v>12961681.192775317</v>
      </c>
      <c r="L33" s="9"/>
      <c r="M33" s="9"/>
      <c r="N33" s="9"/>
      <c r="O33" s="9"/>
      <c r="P33" s="9"/>
      <c r="Q33" s="9"/>
      <c r="R33" s="9"/>
      <c r="S33" s="9"/>
      <c r="T33" s="9"/>
      <c r="U33" s="9"/>
      <c r="V33" s="9"/>
      <c r="W33" s="9"/>
      <c r="X33" s="9"/>
    </row>
    <row r="34" spans="2:24">
      <c r="B34" s="9"/>
      <c r="C34" s="361" t="s">
        <v>326</v>
      </c>
      <c r="D34" s="322">
        <f>PSA!AT7</f>
        <v>13487959.036616853</v>
      </c>
      <c r="E34" s="322">
        <f>PSA!AU7</f>
        <v>13367510.34282298</v>
      </c>
      <c r="F34" s="322">
        <f>PSA!AV7</f>
        <v>13235352.025610387</v>
      </c>
      <c r="G34" s="322">
        <f>PSA!AW7</f>
        <v>13065348.518014723</v>
      </c>
      <c r="H34" s="322">
        <f>PSA!AX7</f>
        <v>12835140.1073293</v>
      </c>
      <c r="I34" s="322">
        <f>PSA!AY7</f>
        <v>65991310.030394256</v>
      </c>
      <c r="J34" s="319"/>
      <c r="K34" s="390"/>
      <c r="L34" s="9"/>
      <c r="M34" s="9"/>
      <c r="N34" s="9"/>
      <c r="O34" s="9"/>
      <c r="P34" s="9"/>
      <c r="Q34" s="9"/>
      <c r="R34" s="9"/>
      <c r="S34" s="9"/>
      <c r="T34" s="9"/>
      <c r="U34" s="9"/>
      <c r="V34" s="9"/>
      <c r="W34" s="9"/>
      <c r="X34" s="9"/>
    </row>
    <row r="35" spans="2:24">
      <c r="C35" s="361" t="str">
        <f>PSA!AS12</f>
        <v>95% CI (lower)</v>
      </c>
      <c r="D35" s="322">
        <f>PSA!AT12</f>
        <v>7110883.5317353485</v>
      </c>
      <c r="E35" s="322">
        <f>PSA!AU12</f>
        <v>7045379.1221509874</v>
      </c>
      <c r="F35" s="322">
        <f>PSA!AV12</f>
        <v>6973709.505430216</v>
      </c>
      <c r="G35" s="322">
        <f>PSA!AW12</f>
        <v>6882097.5989467772</v>
      </c>
      <c r="H35" s="322">
        <f>PSA!AX12</f>
        <v>6758760.7034029411</v>
      </c>
      <c r="I35" s="322">
        <f>PSA!AY12</f>
        <v>34770862.936410792</v>
      </c>
    </row>
    <row r="36" spans="2:24">
      <c r="C36" s="361" t="str">
        <f>PSA!AS13</f>
        <v>95% CI (upper)</v>
      </c>
      <c r="D36" s="322">
        <f>PSA!AT13</f>
        <v>19865034.541498356</v>
      </c>
      <c r="E36" s="322">
        <f>PSA!AU13</f>
        <v>19689641.563494973</v>
      </c>
      <c r="F36" s="322">
        <f>PSA!AV13</f>
        <v>19496994.545790561</v>
      </c>
      <c r="G36" s="322">
        <f>PSA!AW13</f>
        <v>19248599.437082671</v>
      </c>
      <c r="H36" s="322">
        <f>PSA!AX13</f>
        <v>18911519.511255659</v>
      </c>
      <c r="I36" s="322">
        <f>PSA!AY13</f>
        <v>97211757.124377728</v>
      </c>
    </row>
    <row r="40" spans="2:24">
      <c r="B40" s="9"/>
      <c r="C40" s="9"/>
      <c r="D40" s="43"/>
      <c r="E40" s="9"/>
      <c r="F40" s="9"/>
      <c r="G40" s="9"/>
      <c r="H40" s="9"/>
      <c r="I40" s="9"/>
      <c r="J40" s="9"/>
      <c r="K40" s="9"/>
      <c r="L40" s="9"/>
      <c r="M40" s="9"/>
      <c r="N40" s="9"/>
      <c r="O40" s="9"/>
      <c r="P40" s="9"/>
      <c r="Q40" s="9"/>
      <c r="R40" s="9"/>
      <c r="S40" s="9"/>
      <c r="T40" s="9"/>
      <c r="U40" s="9"/>
      <c r="V40" s="9"/>
      <c r="W40" s="9"/>
      <c r="X40" s="9"/>
    </row>
    <row r="41" spans="2:24">
      <c r="B41" s="269"/>
      <c r="C41" s="269"/>
      <c r="D41" s="270"/>
      <c r="E41" s="269"/>
      <c r="F41" s="269"/>
      <c r="G41" s="269"/>
      <c r="H41" s="269"/>
      <c r="I41" s="269"/>
      <c r="J41" s="269"/>
      <c r="K41" s="269"/>
      <c r="L41" s="269"/>
      <c r="M41" s="269"/>
      <c r="N41" s="269"/>
      <c r="O41" s="269"/>
      <c r="P41" s="269"/>
      <c r="Q41" s="269"/>
      <c r="R41" s="269"/>
      <c r="S41" s="269"/>
      <c r="T41" s="269"/>
      <c r="U41" s="269"/>
      <c r="V41" s="269"/>
      <c r="W41" s="269"/>
      <c r="X41" s="9"/>
    </row>
    <row r="42" spans="2:24">
      <c r="B42" s="9"/>
      <c r="C42" s="9"/>
      <c r="D42" s="43"/>
      <c r="E42" s="9"/>
      <c r="F42" s="9"/>
      <c r="G42" s="9"/>
      <c r="H42" s="9"/>
      <c r="I42" s="9"/>
      <c r="J42" s="9"/>
      <c r="K42" s="9"/>
      <c r="L42" s="9"/>
      <c r="M42" s="9"/>
      <c r="N42" s="9"/>
      <c r="O42" s="9"/>
      <c r="P42" s="9"/>
      <c r="Q42" s="9"/>
      <c r="R42" s="9"/>
      <c r="S42" s="9"/>
      <c r="T42" s="9"/>
      <c r="U42" s="9"/>
      <c r="V42" s="9"/>
      <c r="W42" s="9"/>
      <c r="X42" s="9"/>
    </row>
    <row r="43" spans="2:24" ht="18">
      <c r="B43" s="271" t="str">
        <f>'Mkt share'!B59</f>
        <v>Alternative scenario 2:</v>
      </c>
      <c r="C43" s="140" t="str">
        <f>cen_prop2</f>
        <v>With IUD-LNG 10-50%</v>
      </c>
      <c r="D43" s="140"/>
      <c r="E43" s="140"/>
      <c r="F43" s="140"/>
      <c r="G43" s="140"/>
      <c r="H43" s="140"/>
      <c r="I43" s="140"/>
      <c r="J43" s="9"/>
      <c r="K43" s="9"/>
      <c r="L43" s="9"/>
      <c r="M43" s="9"/>
      <c r="N43" s="9"/>
      <c r="O43" s="9"/>
      <c r="P43" s="9"/>
      <c r="Q43" s="9"/>
      <c r="R43" s="9"/>
      <c r="S43" s="9"/>
      <c r="T43" s="9"/>
      <c r="U43" s="9"/>
      <c r="V43" s="9"/>
      <c r="W43" s="9"/>
      <c r="X43" s="9"/>
    </row>
    <row r="44" spans="2:24" ht="15.6">
      <c r="B44" s="275" t="s">
        <v>188</v>
      </c>
      <c r="C44" s="277">
        <f>SUM('Mkt share'!C62:C65)</f>
        <v>0.1</v>
      </c>
      <c r="D44" s="278" t="s">
        <v>186</v>
      </c>
      <c r="E44" s="277">
        <f>SUM('Mkt share'!G62:G65)</f>
        <v>0.5</v>
      </c>
      <c r="F44" s="9"/>
      <c r="G44" s="9"/>
      <c r="H44" s="9"/>
      <c r="I44" s="9"/>
      <c r="J44" s="9"/>
      <c r="K44" s="9"/>
      <c r="L44" s="9"/>
      <c r="M44" s="9"/>
      <c r="N44" s="9"/>
      <c r="O44" s="9"/>
      <c r="P44" s="9"/>
      <c r="Q44" s="9"/>
      <c r="R44" s="9"/>
      <c r="S44" s="9"/>
      <c r="T44" s="9"/>
      <c r="U44" s="9"/>
      <c r="V44" s="9"/>
      <c r="W44" s="9"/>
      <c r="X44" s="9"/>
    </row>
    <row r="45" spans="2:24" ht="14.55" customHeight="1">
      <c r="B45" s="9"/>
      <c r="C45" s="9"/>
      <c r="D45" s="9"/>
      <c r="E45" s="9"/>
      <c r="F45" s="9"/>
      <c r="G45" s="9"/>
      <c r="H45" s="9"/>
      <c r="I45" s="9"/>
      <c r="J45" s="9"/>
      <c r="K45" s="9"/>
      <c r="L45" s="9"/>
      <c r="M45" s="9"/>
      <c r="N45" s="9"/>
      <c r="O45" s="9"/>
      <c r="P45" s="9"/>
      <c r="Q45" s="9"/>
      <c r="R45" s="9"/>
      <c r="S45" s="9"/>
      <c r="T45" s="9"/>
      <c r="U45" s="9"/>
      <c r="V45" s="9"/>
      <c r="W45" s="9"/>
      <c r="X45" s="9"/>
    </row>
    <row r="47" spans="2:24">
      <c r="B47" s="491" t="s">
        <v>191</v>
      </c>
      <c r="C47" s="492"/>
      <c r="D47" s="189">
        <f>ano_1</f>
        <v>2026</v>
      </c>
      <c r="E47" s="189">
        <f>D47+1</f>
        <v>2027</v>
      </c>
      <c r="F47" s="189">
        <f t="shared" ref="F47:H47" si="3">E47+1</f>
        <v>2028</v>
      </c>
      <c r="G47" s="189">
        <f t="shared" si="3"/>
        <v>2029</v>
      </c>
      <c r="H47" s="189">
        <f t="shared" si="3"/>
        <v>2030</v>
      </c>
      <c r="I47" s="189" t="s">
        <v>313</v>
      </c>
      <c r="J47" s="9"/>
      <c r="K47" s="189" t="s">
        <v>190</v>
      </c>
      <c r="L47" s="9"/>
      <c r="M47" s="9"/>
      <c r="N47" s="9"/>
      <c r="O47" s="9"/>
      <c r="P47" s="9"/>
      <c r="Q47" s="9"/>
      <c r="R47" s="9"/>
      <c r="S47" s="9"/>
      <c r="T47" s="9"/>
      <c r="U47" s="9"/>
      <c r="V47" s="9"/>
      <c r="W47" s="9"/>
      <c r="X47" s="9"/>
    </row>
    <row r="48" spans="2:24">
      <c r="B48" s="9"/>
      <c r="C48" s="279" t="str">
        <f>'Mkt share'!B44</f>
        <v>Do not fill this line</v>
      </c>
      <c r="D48" s="318">
        <f ca="1">IF($E$44&gt;0,Calculations3!C25,0)</f>
        <v>5487460.7252860991</v>
      </c>
      <c r="E48" s="318">
        <f ca="1">IF($E$44&gt;0,Calculations3!D25,0)</f>
        <v>5467685.6632549856</v>
      </c>
      <c r="F48" s="318">
        <f ca="1">IF($E$44&gt;0,Calculations3!E25,0)</f>
        <v>5446299.9031707607</v>
      </c>
      <c r="G48" s="318">
        <f ca="1">IF($E$44&gt;0,Calculations3!F25,0)</f>
        <v>5420643.1059906445</v>
      </c>
      <c r="H48" s="318">
        <f ca="1">IF($E$44&gt;0,Calculations3!G25,0)</f>
        <v>5388358.501041064</v>
      </c>
      <c r="I48" s="319"/>
      <c r="J48" s="319"/>
      <c r="K48" s="318">
        <f ca="1">AVERAGE(D48:H48)</f>
        <v>5442089.5797487106</v>
      </c>
      <c r="L48" s="9"/>
      <c r="M48" s="9"/>
      <c r="N48" s="9"/>
      <c r="O48" s="9"/>
      <c r="P48" s="9"/>
      <c r="Q48" s="9"/>
      <c r="R48" s="9"/>
      <c r="S48" s="9"/>
      <c r="T48" s="9"/>
      <c r="U48" s="9"/>
      <c r="V48" s="9"/>
      <c r="W48" s="9"/>
      <c r="X48" s="9"/>
    </row>
    <row r="49" spans="2:24" ht="15" thickBot="1">
      <c r="B49" s="280"/>
      <c r="C49" s="281" t="str">
        <f>B43</f>
        <v>Alternative scenario 2:</v>
      </c>
      <c r="D49" s="320">
        <f ca="1">Calculations3!C63</f>
        <v>31476995.518639416</v>
      </c>
      <c r="E49" s="320">
        <f ca="1">Calculations3!D63</f>
        <v>30721158.359992228</v>
      </c>
      <c r="F49" s="320">
        <f ca="1">Calculations3!E63</f>
        <v>29944779.906931952</v>
      </c>
      <c r="G49" s="320">
        <f ca="1">Calculations3!F63</f>
        <v>29095283.781380929</v>
      </c>
      <c r="H49" s="320">
        <f ca="1">Calculations3!G63</f>
        <v>28128650.062925208</v>
      </c>
      <c r="I49" s="321"/>
      <c r="J49" s="319"/>
      <c r="K49" s="318">
        <f ca="1">AVERAGE(D49:H49)</f>
        <v>29873373.525973946</v>
      </c>
      <c r="L49" s="9"/>
      <c r="M49" s="9"/>
      <c r="N49" s="9"/>
      <c r="O49" s="9"/>
      <c r="P49" s="9"/>
      <c r="Q49" s="9"/>
      <c r="R49" s="9"/>
      <c r="S49" s="9"/>
      <c r="T49" s="9"/>
      <c r="U49" s="9"/>
      <c r="V49" s="9"/>
      <c r="W49" s="9"/>
      <c r="X49" s="9"/>
    </row>
    <row r="50" spans="2:24">
      <c r="B50" s="9"/>
      <c r="C50" s="282" t="s">
        <v>187</v>
      </c>
      <c r="D50" s="322">
        <f ca="1">D49-D48</f>
        <v>25989534.793353315</v>
      </c>
      <c r="E50" s="322">
        <f t="shared" ref="E50:H50" ca="1" si="4">E49-E48</f>
        <v>25253472.696737245</v>
      </c>
      <c r="F50" s="322">
        <f t="shared" ca="1" si="4"/>
        <v>24498480.003761191</v>
      </c>
      <c r="G50" s="322">
        <f t="shared" ca="1" si="4"/>
        <v>23674640.675390285</v>
      </c>
      <c r="H50" s="322">
        <f t="shared" ca="1" si="4"/>
        <v>22740291.561884142</v>
      </c>
      <c r="I50" s="322">
        <f ca="1">SUM(D50:H50)</f>
        <v>122156419.73112619</v>
      </c>
      <c r="J50" s="319"/>
      <c r="K50" s="318">
        <f ca="1">AVERAGE(D50:H50)</f>
        <v>24431283.946225237</v>
      </c>
      <c r="L50" s="9"/>
      <c r="M50" s="9"/>
      <c r="N50" s="9"/>
      <c r="O50" s="9"/>
      <c r="P50" s="9"/>
      <c r="Q50" s="9"/>
      <c r="R50" s="9"/>
      <c r="S50" s="9"/>
      <c r="T50" s="9"/>
      <c r="U50" s="9"/>
      <c r="V50" s="9"/>
      <c r="W50" s="9"/>
      <c r="X50" s="9"/>
    </row>
    <row r="56" spans="2:24">
      <c r="B56" s="491" t="s">
        <v>192</v>
      </c>
      <c r="C56" s="492"/>
      <c r="D56" s="189">
        <f>ano_1</f>
        <v>2026</v>
      </c>
      <c r="E56" s="189">
        <f>D56+1</f>
        <v>2027</v>
      </c>
      <c r="F56" s="189">
        <f t="shared" ref="F56:H56" si="5">E56+1</f>
        <v>2028</v>
      </c>
      <c r="G56" s="189">
        <f t="shared" si="5"/>
        <v>2029</v>
      </c>
      <c r="H56" s="189">
        <f t="shared" si="5"/>
        <v>2030</v>
      </c>
      <c r="I56" s="189" t="s">
        <v>313</v>
      </c>
      <c r="J56" s="9"/>
      <c r="K56" s="189" t="s">
        <v>190</v>
      </c>
      <c r="L56" s="9"/>
      <c r="M56" s="9"/>
      <c r="N56" s="9"/>
      <c r="O56" s="9"/>
      <c r="P56" s="9"/>
      <c r="Q56" s="9"/>
      <c r="R56" s="9"/>
      <c r="S56" s="9"/>
      <c r="T56" s="9"/>
      <c r="U56" s="9"/>
      <c r="V56" s="9"/>
      <c r="W56" s="9"/>
      <c r="X56" s="9"/>
    </row>
    <row r="57" spans="2:24">
      <c r="B57" s="9"/>
      <c r="C57" s="279" t="str">
        <f>C48</f>
        <v>Do not fill this line</v>
      </c>
      <c r="D57" s="318">
        <f ca="1">IF($E$44&gt;0,Calculations3!K25,0)</f>
        <v>457288.39377384161</v>
      </c>
      <c r="E57" s="318">
        <f ca="1">IF($E$44&gt;0,Calculations3!L25,0)</f>
        <v>455640.47193791548</v>
      </c>
      <c r="F57" s="318">
        <f ca="1">IF($E$44&gt;0,Calculations3!M25,0)</f>
        <v>453858.32526423008</v>
      </c>
      <c r="G57" s="318">
        <f ca="1">IF($E$44&gt;0,Calculations3!N25,0)</f>
        <v>451720.25883255369</v>
      </c>
      <c r="H57" s="318">
        <f ca="1">IF($E$44&gt;0,Calculations3!O25,0)</f>
        <v>449029.87508675538</v>
      </c>
      <c r="I57" s="319"/>
      <c r="J57" s="319"/>
      <c r="K57" s="318">
        <f ca="1">AVERAGE(D57:H57)</f>
        <v>453507.46497905924</v>
      </c>
      <c r="L57" s="9"/>
      <c r="M57" s="9"/>
      <c r="N57" s="9"/>
      <c r="O57" s="9"/>
      <c r="P57" s="9"/>
      <c r="Q57" s="9"/>
      <c r="R57" s="9"/>
      <c r="S57" s="9"/>
      <c r="T57" s="9"/>
      <c r="U57" s="9"/>
      <c r="V57" s="9"/>
      <c r="W57" s="9"/>
      <c r="X57" s="9"/>
    </row>
    <row r="58" spans="2:24" ht="15" thickBot="1">
      <c r="B58" s="280"/>
      <c r="C58" s="281" t="str">
        <f>C49</f>
        <v>Alternative scenario 2:</v>
      </c>
      <c r="D58" s="320">
        <f ca="1">Calculations3!K63</f>
        <v>26949840.420278382</v>
      </c>
      <c r="E58" s="320">
        <f ca="1">Calculations3!L63</f>
        <v>26711522.206938572</v>
      </c>
      <c r="F58" s="320">
        <f ca="1">Calculations3!M63</f>
        <v>26450070.802397378</v>
      </c>
      <c r="G58" s="320">
        <f ca="1">Calculations3!N63</f>
        <v>26113930.073086075</v>
      </c>
      <c r="H58" s="320">
        <f ca="1">Calculations3!O63</f>
        <v>25658985.749948055</v>
      </c>
      <c r="I58" s="321"/>
      <c r="J58" s="319"/>
      <c r="K58" s="318">
        <f ca="1">AVERAGE(D58:H58)</f>
        <v>26376869.850529693</v>
      </c>
      <c r="L58" s="9"/>
      <c r="M58" s="9"/>
      <c r="N58" s="9"/>
      <c r="O58" s="9"/>
      <c r="P58" s="9"/>
      <c r="Q58" s="9"/>
      <c r="R58" s="9"/>
      <c r="S58" s="9"/>
      <c r="T58" s="9"/>
      <c r="U58" s="9"/>
      <c r="V58" s="9"/>
      <c r="W58" s="9"/>
      <c r="X58" s="9"/>
    </row>
    <row r="59" spans="2:24">
      <c r="B59" s="9"/>
      <c r="C59" s="282" t="str">
        <f>C50</f>
        <v>Incremental budget impact</v>
      </c>
      <c r="D59" s="322">
        <f ca="1">D58-D57</f>
        <v>26492552.026504539</v>
      </c>
      <c r="E59" s="322">
        <f t="shared" ref="E59:H59" ca="1" si="6">E58-E57</f>
        <v>26255881.735000655</v>
      </c>
      <c r="F59" s="322">
        <f t="shared" ca="1" si="6"/>
        <v>25996212.477133147</v>
      </c>
      <c r="G59" s="322">
        <f t="shared" ca="1" si="6"/>
        <v>25662209.81425352</v>
      </c>
      <c r="H59" s="322">
        <f t="shared" ca="1" si="6"/>
        <v>25209955.8748613</v>
      </c>
      <c r="I59" s="322">
        <f ca="1">SUM(D59:H59)</f>
        <v>129616811.92775317</v>
      </c>
      <c r="J59" s="319"/>
      <c r="K59" s="318">
        <f ca="1">AVERAGE(D59:H59)</f>
        <v>25923362.385550633</v>
      </c>
      <c r="L59" s="9"/>
      <c r="M59" s="9"/>
      <c r="N59" s="9"/>
      <c r="O59" s="9"/>
      <c r="P59" s="9"/>
      <c r="Q59" s="9"/>
      <c r="R59" s="9"/>
      <c r="S59" s="9"/>
      <c r="T59" s="9"/>
      <c r="U59" s="9"/>
      <c r="V59" s="9"/>
      <c r="W59" s="9"/>
      <c r="X59" s="9"/>
    </row>
    <row r="65" spans="2:24">
      <c r="B65" s="9"/>
      <c r="C65" s="9"/>
      <c r="D65" s="43"/>
      <c r="E65" s="9"/>
      <c r="F65" s="9"/>
      <c r="G65" s="9"/>
      <c r="H65" s="9"/>
      <c r="I65" s="9"/>
      <c r="J65" s="9"/>
      <c r="K65" s="9"/>
      <c r="L65" s="9"/>
      <c r="M65" s="9"/>
      <c r="N65" s="9"/>
      <c r="O65" s="9"/>
      <c r="P65" s="9"/>
      <c r="Q65" s="9"/>
      <c r="R65" s="9"/>
      <c r="S65" s="9"/>
      <c r="T65" s="9"/>
      <c r="U65" s="9"/>
      <c r="V65" s="9"/>
      <c r="W65" s="9"/>
      <c r="X65" s="9"/>
    </row>
    <row r="66" spans="2:24">
      <c r="B66" s="269"/>
      <c r="C66" s="269"/>
      <c r="D66" s="270"/>
      <c r="E66" s="269"/>
      <c r="F66" s="269"/>
      <c r="G66" s="269"/>
      <c r="H66" s="269"/>
      <c r="I66" s="269"/>
      <c r="J66" s="269"/>
      <c r="K66" s="269"/>
      <c r="L66" s="269"/>
      <c r="M66" s="269"/>
      <c r="N66" s="269"/>
      <c r="O66" s="269"/>
      <c r="P66" s="269"/>
      <c r="Q66" s="269"/>
      <c r="R66" s="269"/>
      <c r="S66" s="269"/>
      <c r="T66" s="269"/>
      <c r="U66" s="269"/>
      <c r="V66" s="269"/>
      <c r="W66" s="269"/>
      <c r="X66" s="9"/>
    </row>
    <row r="67" spans="2:24">
      <c r="B67" s="9"/>
      <c r="C67" s="9"/>
      <c r="D67" s="43"/>
      <c r="E67" s="9"/>
      <c r="F67" s="9"/>
      <c r="G67" s="9"/>
      <c r="H67" s="9"/>
      <c r="I67" s="9"/>
      <c r="J67" s="9"/>
      <c r="K67" s="9"/>
      <c r="L67" s="9"/>
      <c r="M67" s="9"/>
      <c r="N67" s="9"/>
      <c r="O67" s="9"/>
      <c r="P67" s="9"/>
      <c r="Q67" s="9"/>
      <c r="R67" s="9"/>
      <c r="S67" s="9"/>
      <c r="T67" s="9"/>
      <c r="U67" s="9"/>
      <c r="V67" s="9"/>
      <c r="W67" s="9"/>
      <c r="X67" s="9"/>
    </row>
    <row r="68" spans="2:24" ht="18">
      <c r="B68" s="271" t="str">
        <f>'Mkt share'!B79</f>
        <v>Alternative scenario 3:</v>
      </c>
      <c r="C68" s="140">
        <f>cen_prop3</f>
        <v>0</v>
      </c>
      <c r="D68" s="140"/>
      <c r="E68" s="140"/>
      <c r="F68" s="140"/>
      <c r="G68" s="140"/>
      <c r="H68" s="140"/>
      <c r="I68" s="140"/>
      <c r="J68" s="9"/>
      <c r="K68" s="9"/>
      <c r="L68" s="9"/>
      <c r="M68" s="9"/>
      <c r="N68" s="9"/>
      <c r="O68" s="9"/>
      <c r="P68" s="9"/>
      <c r="Q68" s="9"/>
      <c r="R68" s="9"/>
      <c r="S68" s="9"/>
      <c r="T68" s="9"/>
      <c r="U68" s="9"/>
      <c r="V68" s="9"/>
      <c r="W68" s="9"/>
      <c r="X68" s="9"/>
    </row>
    <row r="69" spans="2:24" ht="15.6">
      <c r="B69" s="275" t="s">
        <v>188</v>
      </c>
      <c r="C69" s="277">
        <f>SUM('Mkt share'!C82:C85)</f>
        <v>0</v>
      </c>
      <c r="D69" s="278" t="s">
        <v>186</v>
      </c>
      <c r="E69" s="277">
        <f>SUM('Mkt share'!G82:G85)</f>
        <v>0</v>
      </c>
      <c r="F69" s="9"/>
      <c r="G69" s="9"/>
      <c r="H69" s="9"/>
      <c r="I69" s="9"/>
      <c r="J69" s="9"/>
      <c r="K69" s="9"/>
      <c r="L69" s="9"/>
      <c r="M69" s="9"/>
      <c r="N69" s="9"/>
      <c r="O69" s="9"/>
      <c r="P69" s="9"/>
      <c r="Q69" s="9"/>
      <c r="R69" s="9"/>
      <c r="S69" s="9"/>
      <c r="T69" s="9"/>
      <c r="U69" s="9"/>
      <c r="V69" s="9"/>
      <c r="W69" s="9"/>
      <c r="X69" s="9"/>
    </row>
    <row r="70" spans="2:24" ht="14.55" customHeight="1">
      <c r="B70" s="9"/>
      <c r="C70" s="9"/>
      <c r="D70" s="9"/>
      <c r="E70" s="9"/>
      <c r="F70" s="9"/>
      <c r="G70" s="9"/>
      <c r="H70" s="9"/>
      <c r="I70" s="9"/>
      <c r="J70" s="9"/>
      <c r="K70" s="9"/>
      <c r="L70" s="9"/>
      <c r="M70" s="9"/>
      <c r="N70" s="9"/>
      <c r="O70" s="9"/>
      <c r="P70" s="9"/>
      <c r="Q70" s="9"/>
      <c r="R70" s="9"/>
      <c r="S70" s="9"/>
      <c r="T70" s="9"/>
      <c r="U70" s="9"/>
      <c r="V70" s="9"/>
      <c r="W70" s="9"/>
      <c r="X70" s="9"/>
    </row>
    <row r="72" spans="2:24">
      <c r="B72" s="491" t="s">
        <v>191</v>
      </c>
      <c r="C72" s="492"/>
      <c r="D72" s="189">
        <f>ano_1</f>
        <v>2026</v>
      </c>
      <c r="E72" s="189">
        <f>D72+1</f>
        <v>2027</v>
      </c>
      <c r="F72" s="189">
        <f t="shared" ref="F72:H72" si="7">E72+1</f>
        <v>2028</v>
      </c>
      <c r="G72" s="189">
        <f t="shared" si="7"/>
        <v>2029</v>
      </c>
      <c r="H72" s="189">
        <f t="shared" si="7"/>
        <v>2030</v>
      </c>
      <c r="I72" s="189" t="s">
        <v>313</v>
      </c>
      <c r="J72" s="9"/>
      <c r="K72" s="189" t="s">
        <v>190</v>
      </c>
      <c r="L72" s="9"/>
      <c r="M72" s="9"/>
      <c r="N72" s="9"/>
      <c r="O72" s="9"/>
      <c r="P72" s="9"/>
      <c r="Q72" s="9"/>
      <c r="R72" s="9"/>
      <c r="S72" s="9"/>
      <c r="T72" s="9"/>
      <c r="U72" s="9"/>
      <c r="V72" s="9"/>
      <c r="W72" s="9"/>
      <c r="X72" s="9"/>
    </row>
    <row r="73" spans="2:24">
      <c r="B73" s="9"/>
      <c r="C73" s="279" t="str">
        <f>'Mkt share'!B69</f>
        <v>Do not fill this line</v>
      </c>
      <c r="D73" s="318">
        <f>IF($E$69&gt;0,Calculations3!C25,0)</f>
        <v>0</v>
      </c>
      <c r="E73" s="318">
        <f>IF($E$69&gt;0,Calculations3!D25,0)</f>
        <v>0</v>
      </c>
      <c r="F73" s="318">
        <f>IF($E$69&gt;0,Calculations3!E25,0)</f>
        <v>0</v>
      </c>
      <c r="G73" s="318">
        <f>IF($E$69&gt;0,Calculations3!F25,0)</f>
        <v>0</v>
      </c>
      <c r="H73" s="318">
        <f>IF($E$69&gt;0,Calculations3!G25,0)</f>
        <v>0</v>
      </c>
      <c r="I73" s="319"/>
      <c r="J73" s="319"/>
      <c r="K73" s="318">
        <f>AVERAGE(D73:H73)</f>
        <v>0</v>
      </c>
      <c r="L73" s="9"/>
      <c r="M73" s="9"/>
      <c r="N73" s="9"/>
      <c r="O73" s="9"/>
      <c r="P73" s="9"/>
      <c r="Q73" s="9"/>
      <c r="R73" s="9"/>
      <c r="S73" s="9"/>
      <c r="T73" s="9"/>
      <c r="U73" s="9"/>
      <c r="V73" s="9"/>
      <c r="W73" s="9"/>
      <c r="X73" s="9"/>
    </row>
    <row r="74" spans="2:24" ht="15" thickBot="1">
      <c r="B74" s="280"/>
      <c r="C74" s="281" t="str">
        <f>B68</f>
        <v>Alternative scenario 3:</v>
      </c>
      <c r="D74" s="320">
        <f ca="1">Calculations3!C82</f>
        <v>0</v>
      </c>
      <c r="E74" s="320">
        <f ca="1">Calculations3!D82</f>
        <v>0</v>
      </c>
      <c r="F74" s="320">
        <f ca="1">Calculations3!E82</f>
        <v>0</v>
      </c>
      <c r="G74" s="320">
        <f ca="1">Calculations3!F82</f>
        <v>0</v>
      </c>
      <c r="H74" s="320">
        <f ca="1">Calculations3!G82</f>
        <v>0</v>
      </c>
      <c r="I74" s="321"/>
      <c r="J74" s="319"/>
      <c r="K74" s="318">
        <f ca="1">AVERAGE(D74:H74)</f>
        <v>0</v>
      </c>
      <c r="L74" s="9"/>
      <c r="M74" s="9"/>
      <c r="N74" s="9"/>
      <c r="O74" s="9"/>
      <c r="P74" s="9"/>
      <c r="Q74" s="9"/>
      <c r="R74" s="9"/>
      <c r="S74" s="9"/>
      <c r="T74" s="9"/>
      <c r="U74" s="9"/>
      <c r="V74" s="9"/>
      <c r="W74" s="9"/>
      <c r="X74" s="9"/>
    </row>
    <row r="75" spans="2:24">
      <c r="B75" s="9"/>
      <c r="C75" s="282" t="s">
        <v>187</v>
      </c>
      <c r="D75" s="322">
        <f ca="1">D74-D73</f>
        <v>0</v>
      </c>
      <c r="E75" s="322">
        <f t="shared" ref="E75:H75" ca="1" si="8">E74-E73</f>
        <v>0</v>
      </c>
      <c r="F75" s="322">
        <f t="shared" ca="1" si="8"/>
        <v>0</v>
      </c>
      <c r="G75" s="322">
        <f t="shared" ca="1" si="8"/>
        <v>0</v>
      </c>
      <c r="H75" s="322">
        <f t="shared" ca="1" si="8"/>
        <v>0</v>
      </c>
      <c r="I75" s="322">
        <f ca="1">SUM(D75:H75)</f>
        <v>0</v>
      </c>
      <c r="J75" s="319"/>
      <c r="K75" s="318">
        <f ca="1">AVERAGE(D75:H75)</f>
        <v>0</v>
      </c>
      <c r="L75" s="9"/>
      <c r="M75" s="9"/>
      <c r="N75" s="9"/>
      <c r="O75" s="9"/>
      <c r="P75" s="9"/>
      <c r="Q75" s="9"/>
      <c r="R75" s="9"/>
      <c r="S75" s="9"/>
      <c r="T75" s="9"/>
      <c r="U75" s="9"/>
      <c r="V75" s="9"/>
      <c r="W75" s="9"/>
      <c r="X75" s="9"/>
    </row>
    <row r="76" spans="2:24">
      <c r="D76" s="323"/>
      <c r="E76" s="323"/>
      <c r="F76" s="323"/>
      <c r="G76" s="323"/>
      <c r="H76" s="323"/>
      <c r="I76" s="323"/>
      <c r="J76" s="323"/>
      <c r="K76" s="323"/>
    </row>
    <row r="81" spans="2:24">
      <c r="B81" s="491" t="s">
        <v>192</v>
      </c>
      <c r="C81" s="492"/>
      <c r="D81" s="189">
        <f>ano_1</f>
        <v>2026</v>
      </c>
      <c r="E81" s="189">
        <f>D81+1</f>
        <v>2027</v>
      </c>
      <c r="F81" s="189">
        <f t="shared" ref="F81:H81" si="9">E81+1</f>
        <v>2028</v>
      </c>
      <c r="G81" s="189">
        <f t="shared" si="9"/>
        <v>2029</v>
      </c>
      <c r="H81" s="189">
        <f t="shared" si="9"/>
        <v>2030</v>
      </c>
      <c r="I81" s="189" t="s">
        <v>313</v>
      </c>
      <c r="J81" s="9"/>
      <c r="K81" s="189" t="s">
        <v>190</v>
      </c>
      <c r="L81" s="9"/>
      <c r="M81" s="9"/>
      <c r="N81" s="9"/>
      <c r="O81" s="9"/>
      <c r="P81" s="9"/>
      <c r="Q81" s="9"/>
      <c r="R81" s="9"/>
      <c r="S81" s="9"/>
      <c r="T81" s="9"/>
      <c r="U81" s="9"/>
      <c r="V81" s="9"/>
      <c r="W81" s="9"/>
      <c r="X81" s="9"/>
    </row>
    <row r="82" spans="2:24">
      <c r="B82" s="9"/>
      <c r="C82" s="279" t="str">
        <f>C73</f>
        <v>Do not fill this line</v>
      </c>
      <c r="D82" s="318">
        <f>IF($E$69&gt;0,Calculations3!K25,0)</f>
        <v>0</v>
      </c>
      <c r="E82" s="318">
        <f>IF($E$69&gt;0,Calculations3!L25,0)</f>
        <v>0</v>
      </c>
      <c r="F82" s="318">
        <f>IF($E$69&gt;0,Calculations3!M25,0)</f>
        <v>0</v>
      </c>
      <c r="G82" s="318">
        <f>IF($E$69&gt;0,Calculations3!N25,0)</f>
        <v>0</v>
      </c>
      <c r="H82" s="318">
        <f>IF($E$69&gt;0,Calculations3!O25,0)</f>
        <v>0</v>
      </c>
      <c r="I82" s="319"/>
      <c r="J82" s="319"/>
      <c r="K82" s="318">
        <f>AVERAGE(D82:H82)</f>
        <v>0</v>
      </c>
      <c r="L82" s="9"/>
      <c r="M82" s="9"/>
      <c r="N82" s="9"/>
      <c r="O82" s="9"/>
      <c r="P82" s="9"/>
      <c r="Q82" s="9"/>
      <c r="R82" s="9"/>
      <c r="S82" s="9"/>
      <c r="T82" s="9"/>
      <c r="U82" s="9"/>
      <c r="V82" s="9"/>
      <c r="W82" s="9"/>
      <c r="X82" s="9"/>
    </row>
    <row r="83" spans="2:24" ht="15" thickBot="1">
      <c r="B83" s="280"/>
      <c r="C83" s="281" t="str">
        <f>C74</f>
        <v>Alternative scenario 3:</v>
      </c>
      <c r="D83" s="320">
        <f ca="1">Calculations3!K82</f>
        <v>0</v>
      </c>
      <c r="E83" s="320">
        <f ca="1">Calculations3!L82</f>
        <v>0</v>
      </c>
      <c r="F83" s="320">
        <f ca="1">Calculations3!M82</f>
        <v>0</v>
      </c>
      <c r="G83" s="320">
        <f ca="1">Calculations3!N82</f>
        <v>0</v>
      </c>
      <c r="H83" s="320">
        <f ca="1">Calculations3!O82</f>
        <v>0</v>
      </c>
      <c r="I83" s="321"/>
      <c r="J83" s="319"/>
      <c r="K83" s="318">
        <f ca="1">AVERAGE(D83:H83)</f>
        <v>0</v>
      </c>
      <c r="L83" s="9"/>
      <c r="M83" s="9"/>
      <c r="N83" s="9"/>
      <c r="O83" s="9"/>
      <c r="P83" s="9"/>
      <c r="Q83" s="9"/>
      <c r="R83" s="9"/>
      <c r="S83" s="9"/>
      <c r="T83" s="9"/>
      <c r="U83" s="9"/>
      <c r="V83" s="9"/>
      <c r="W83" s="9"/>
      <c r="X83" s="9"/>
    </row>
    <row r="84" spans="2:24">
      <c r="B84" s="9"/>
      <c r="C84" s="282" t="str">
        <f>C75</f>
        <v>Incremental budget impact</v>
      </c>
      <c r="D84" s="322">
        <f ca="1">D83-D82</f>
        <v>0</v>
      </c>
      <c r="E84" s="322">
        <f t="shared" ref="E84:H84" ca="1" si="10">E83-E82</f>
        <v>0</v>
      </c>
      <c r="F84" s="322">
        <f t="shared" ca="1" si="10"/>
        <v>0</v>
      </c>
      <c r="G84" s="322">
        <f t="shared" ca="1" si="10"/>
        <v>0</v>
      </c>
      <c r="H84" s="322">
        <f t="shared" ca="1" si="10"/>
        <v>0</v>
      </c>
      <c r="I84" s="322">
        <f ca="1">SUM(D84:H84)</f>
        <v>0</v>
      </c>
      <c r="J84" s="319"/>
      <c r="K84" s="318">
        <f ca="1">AVERAGE(D84:H84)</f>
        <v>0</v>
      </c>
      <c r="L84" s="9"/>
      <c r="M84" s="9"/>
      <c r="N84" s="9"/>
      <c r="O84" s="9"/>
      <c r="P84" s="9"/>
      <c r="Q84" s="9"/>
      <c r="R84" s="9"/>
      <c r="S84" s="9"/>
      <c r="T84" s="9"/>
      <c r="U84" s="9"/>
      <c r="V84" s="9"/>
      <c r="W84" s="9"/>
      <c r="X84" s="9"/>
    </row>
    <row r="92" spans="2:24" ht="64.95" customHeight="1">
      <c r="B92" s="490"/>
      <c r="C92" s="490"/>
      <c r="D92" s="490"/>
      <c r="E92" s="490"/>
      <c r="F92" s="490"/>
      <c r="G92" s="490"/>
      <c r="H92" s="490"/>
      <c r="I92" s="490"/>
      <c r="J92" s="9"/>
      <c r="K92" s="9"/>
      <c r="L92" s="9"/>
      <c r="M92" s="9"/>
      <c r="N92" s="9"/>
      <c r="O92" s="9"/>
      <c r="P92" s="9"/>
      <c r="Q92" s="9"/>
      <c r="R92" s="9"/>
      <c r="S92" s="9"/>
      <c r="T92" s="9"/>
      <c r="U92" s="9"/>
      <c r="V92" s="9"/>
      <c r="W92" s="9"/>
      <c r="X92" s="9"/>
    </row>
    <row r="94" spans="2:24" ht="13.95" customHeight="1">
      <c r="B94" s="7"/>
      <c r="C94" s="7"/>
      <c r="D94" s="7"/>
      <c r="E94" s="7"/>
      <c r="F94" s="7"/>
      <c r="G94" s="7"/>
      <c r="H94" s="7"/>
      <c r="I94" s="7"/>
      <c r="J94" s="7"/>
      <c r="K94" s="7"/>
      <c r="L94" s="142"/>
      <c r="M94" s="142"/>
      <c r="N94" s="9"/>
      <c r="O94" s="9"/>
      <c r="P94" s="9"/>
      <c r="Q94" s="9"/>
      <c r="R94" s="9"/>
      <c r="S94" s="9"/>
      <c r="T94" s="9"/>
      <c r="U94" s="9"/>
      <c r="V94" s="9"/>
      <c r="W94" s="9"/>
      <c r="X94" s="9"/>
    </row>
    <row r="95" spans="2:24">
      <c r="B95" s="65"/>
      <c r="C95" s="65"/>
      <c r="D95" s="65"/>
      <c r="E95" s="65"/>
      <c r="F95" s="65"/>
      <c r="G95" s="65"/>
      <c r="H95" s="65"/>
      <c r="I95" s="65"/>
      <c r="J95" s="65"/>
      <c r="K95" s="65"/>
      <c r="L95" s="65"/>
      <c r="M95" s="65"/>
    </row>
    <row r="96" spans="2:24">
      <c r="B96" s="406" t="s">
        <v>77</v>
      </c>
      <c r="C96" s="406"/>
      <c r="D96" s="406"/>
      <c r="E96" s="406"/>
      <c r="F96" s="406"/>
      <c r="G96" s="406"/>
      <c r="H96" s="406"/>
      <c r="I96" s="406"/>
      <c r="J96" s="406"/>
      <c r="K96" s="406"/>
      <c r="L96" s="406"/>
      <c r="M96" s="406"/>
    </row>
    <row r="97" spans="2:13">
      <c r="B97" s="406"/>
      <c r="C97" s="406"/>
      <c r="D97" s="406"/>
      <c r="E97" s="406"/>
      <c r="F97" s="406"/>
      <c r="G97" s="406"/>
      <c r="H97" s="406"/>
      <c r="I97" s="406"/>
      <c r="J97" s="406"/>
      <c r="K97" s="406"/>
      <c r="L97" s="406"/>
      <c r="M97" s="406"/>
    </row>
    <row r="98" spans="2:13" s="1" customFormat="1" ht="85.95" customHeight="1">
      <c r="B98" s="405" t="e" vm="1">
        <v>#VALUE!</v>
      </c>
      <c r="C98" s="405"/>
      <c r="D98" s="405"/>
      <c r="E98" s="405"/>
      <c r="F98" s="405"/>
      <c r="G98" s="405"/>
      <c r="H98" s="405"/>
      <c r="I98" s="405"/>
      <c r="J98" s="405"/>
      <c r="K98" s="405"/>
      <c r="L98" s="405"/>
      <c r="M98" s="405"/>
    </row>
  </sheetData>
  <sheetProtection formatColumns="0" formatRows="0" autoFilter="0" pivotTables="0"/>
  <mergeCells count="11">
    <mergeCell ref="B12:C13"/>
    <mergeCell ref="B96:M97"/>
    <mergeCell ref="B98:M98"/>
    <mergeCell ref="T19:W21"/>
    <mergeCell ref="B92:I92"/>
    <mergeCell ref="B21:C21"/>
    <mergeCell ref="B30:C30"/>
    <mergeCell ref="B47:C47"/>
    <mergeCell ref="B56:C56"/>
    <mergeCell ref="B72:C72"/>
    <mergeCell ref="B81:C81"/>
  </mergeCells>
  <conditionalFormatting sqref="D13">
    <cfRule type="expression" dxfId="0" priority="1">
      <formula>IF($H$45=2,TRUE,FALSE)</formula>
    </cfRule>
  </conditionalFormatting>
  <dataValidations count="1">
    <dataValidation type="list" allowBlank="1" showInputMessage="1" showErrorMessage="1" sqref="D13" xr:uid="{B564552F-24C9-0649-8D40-7D35E97FF8B9}">
      <formula1>"Yes,No"</formula1>
    </dataValidation>
  </dataValidation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29D00B-97E7-4A00-857B-37FBE786C7EB}">
  <sheetPr codeName="Planilha20">
    <tabColor rgb="FF726C5A"/>
  </sheetPr>
  <dimension ref="A1:Z77"/>
  <sheetViews>
    <sheetView showGridLines="0" showRowColHeaders="0" zoomScaleNormal="100" workbookViewId="0">
      <selection activeCell="J11" sqref="J11"/>
    </sheetView>
  </sheetViews>
  <sheetFormatPr defaultColWidth="8.77734375" defaultRowHeight="14.4"/>
  <cols>
    <col min="1" max="1" width="8.33203125" style="1" customWidth="1"/>
    <col min="2" max="2" width="31.6640625" style="1" customWidth="1"/>
    <col min="3" max="3" width="20.6640625" style="1" customWidth="1"/>
    <col min="4" max="7" width="18.109375" style="1" customWidth="1"/>
    <col min="8" max="8" width="25.6640625" style="1" customWidth="1"/>
    <col min="9" max="9" width="21.44140625" style="1" customWidth="1"/>
    <col min="10" max="21" width="8.77734375" style="1" customWidth="1"/>
    <col min="22" max="22" width="17.33203125" style="1" customWidth="1"/>
    <col min="23" max="23" width="21.77734375" style="1" customWidth="1"/>
    <col min="24" max="24" width="17.6640625" style="1" customWidth="1"/>
    <col min="25" max="44" width="8.77734375" style="1" customWidth="1"/>
    <col min="45" max="16384" width="8.77734375" style="1"/>
  </cols>
  <sheetData>
    <row r="1" spans="1:26" s="33" customFormat="1" ht="33.6">
      <c r="A1" s="36"/>
      <c r="B1" s="34" t="str">
        <f>Introduction!$B$1</f>
        <v>Budget impact analysis of Intrauterine device levonorgestrel for treatment of Leiomioma presenting with heavy bleeding</v>
      </c>
      <c r="C1" s="34"/>
      <c r="D1" s="35"/>
      <c r="E1" s="36"/>
      <c r="F1" s="36"/>
      <c r="G1" s="36"/>
      <c r="H1" s="36"/>
      <c r="I1" s="36"/>
      <c r="J1" s="36"/>
      <c r="K1" s="36"/>
      <c r="L1" s="36"/>
      <c r="M1" s="36"/>
      <c r="N1" s="36"/>
      <c r="O1" s="36"/>
      <c r="P1" s="36"/>
      <c r="Q1" s="36"/>
      <c r="R1" s="36"/>
      <c r="S1" s="36"/>
      <c r="T1" s="36"/>
      <c r="U1" s="36"/>
      <c r="V1" s="36"/>
      <c r="W1" s="36"/>
      <c r="X1" s="36"/>
      <c r="Y1" s="36"/>
      <c r="Z1" s="36"/>
    </row>
    <row r="2" spans="1:26" s="33" customFormat="1" ht="18">
      <c r="A2" s="36"/>
      <c r="B2" s="37"/>
      <c r="C2" s="37"/>
      <c r="D2" s="38"/>
      <c r="E2" s="39"/>
      <c r="F2" s="39"/>
      <c r="G2" s="39"/>
      <c r="H2" s="39"/>
      <c r="I2" s="39"/>
      <c r="J2" s="39"/>
      <c r="K2" s="39"/>
      <c r="L2" s="39"/>
      <c r="M2" s="36"/>
      <c r="N2" s="36"/>
      <c r="O2" s="36"/>
      <c r="P2" s="36"/>
      <c r="Q2" s="36"/>
      <c r="R2" s="36"/>
      <c r="S2" s="36"/>
      <c r="T2" s="36"/>
      <c r="U2" s="36"/>
      <c r="V2" s="36"/>
      <c r="W2" s="36"/>
      <c r="X2" s="36"/>
      <c r="Y2" s="36"/>
      <c r="Z2" s="36"/>
    </row>
    <row r="3" spans="1:26" s="45" customFormat="1" ht="2.25" customHeight="1">
      <c r="D3" s="46"/>
    </row>
    <row r="4" spans="1:26">
      <c r="A4" s="8"/>
      <c r="B4" s="8"/>
      <c r="C4" s="8"/>
      <c r="D4" s="8"/>
      <c r="E4" s="8"/>
      <c r="F4" s="8"/>
      <c r="G4" s="8"/>
      <c r="H4" s="8"/>
      <c r="I4" s="8"/>
      <c r="J4" s="8"/>
      <c r="K4" s="8"/>
      <c r="L4" s="8"/>
      <c r="M4" s="8"/>
      <c r="N4" s="8"/>
      <c r="O4" s="8"/>
      <c r="P4" s="8"/>
      <c r="Q4" s="8"/>
      <c r="R4" s="8"/>
      <c r="S4" s="8"/>
      <c r="T4" s="8"/>
      <c r="U4" s="8"/>
      <c r="V4" s="8"/>
      <c r="W4" s="8"/>
      <c r="X4" s="8"/>
      <c r="Y4" s="8"/>
      <c r="Z4" s="8"/>
    </row>
    <row r="5" spans="1:26" s="40" customFormat="1" ht="18">
      <c r="A5" s="31"/>
      <c r="B5" s="47" t="s">
        <v>312</v>
      </c>
      <c r="D5" s="41"/>
      <c r="F5" s="272"/>
    </row>
    <row r="6" spans="1:26" s="40" customFormat="1" ht="15" customHeight="1">
      <c r="A6" s="31"/>
      <c r="B6" s="31"/>
      <c r="D6" s="31"/>
      <c r="E6" s="31"/>
      <c r="F6" s="272"/>
    </row>
    <row r="7" spans="1:26">
      <c r="A7" s="8"/>
      <c r="B7" s="58"/>
      <c r="C7" s="58"/>
      <c r="D7" s="273"/>
      <c r="E7" s="58"/>
      <c r="F7" s="58"/>
      <c r="G7" s="58"/>
      <c r="H7" s="58"/>
      <c r="I7" s="58"/>
      <c r="J7" s="8"/>
      <c r="K7" s="8"/>
      <c r="L7" s="8"/>
      <c r="M7" s="8"/>
      <c r="N7" s="8"/>
      <c r="O7" s="8"/>
      <c r="P7" s="8"/>
      <c r="Q7" s="8"/>
      <c r="R7" s="8"/>
      <c r="S7" s="8"/>
      <c r="T7" s="8"/>
      <c r="U7" s="8"/>
      <c r="V7" s="8"/>
      <c r="W7" s="8"/>
      <c r="X7" s="8"/>
      <c r="Y7" s="8"/>
      <c r="Z7" s="8"/>
    </row>
    <row r="8" spans="1:26" ht="18">
      <c r="A8" s="8"/>
      <c r="B8" s="57" t="str">
        <f>'Mkt share'!B39</f>
        <v>Alternative scenario 1:</v>
      </c>
      <c r="C8" s="47" t="str">
        <f>cen_prop1</f>
        <v>With IUD-LNG 5-25%</v>
      </c>
      <c r="D8" s="47"/>
      <c r="E8" s="47"/>
      <c r="F8" s="47"/>
      <c r="G8" s="47"/>
      <c r="H8" s="47"/>
      <c r="I8" s="47"/>
      <c r="J8" s="8"/>
      <c r="K8" s="8"/>
      <c r="L8" s="8"/>
      <c r="M8" s="8"/>
      <c r="N8" s="8"/>
      <c r="O8" s="8"/>
      <c r="P8" s="8"/>
      <c r="Q8" s="8"/>
      <c r="R8" s="8"/>
      <c r="S8" s="8"/>
      <c r="T8" s="8"/>
      <c r="U8" s="8"/>
      <c r="V8" s="8"/>
      <c r="W8" s="8"/>
      <c r="X8" s="8"/>
      <c r="Y8" s="8"/>
      <c r="Z8" s="8"/>
    </row>
    <row r="9" spans="1:26">
      <c r="A9" s="8"/>
      <c r="B9" s="8"/>
      <c r="C9" s="8"/>
      <c r="D9" s="8"/>
      <c r="E9" s="8"/>
      <c r="F9" s="8"/>
      <c r="G9" s="8"/>
      <c r="H9" s="8"/>
      <c r="I9" s="8"/>
      <c r="J9" s="8"/>
      <c r="K9" s="8"/>
      <c r="L9" s="8"/>
      <c r="M9" s="8"/>
      <c r="N9" s="8"/>
      <c r="O9" s="8"/>
      <c r="P9" s="8"/>
      <c r="Q9" s="8"/>
      <c r="R9" s="8"/>
      <c r="S9" s="8"/>
      <c r="T9" s="8"/>
      <c r="U9" s="8"/>
      <c r="V9" s="8"/>
      <c r="W9" s="8"/>
      <c r="X9" s="8"/>
      <c r="Y9" s="8"/>
      <c r="Z9" s="8"/>
    </row>
    <row r="10" spans="1:26" ht="14.55" customHeight="1">
      <c r="A10" s="8"/>
      <c r="B10" s="8"/>
      <c r="C10" s="8"/>
      <c r="D10" s="8"/>
      <c r="E10" s="8"/>
      <c r="F10" s="8"/>
      <c r="G10" s="8"/>
      <c r="H10" s="8"/>
      <c r="I10" s="8"/>
      <c r="J10" s="8"/>
      <c r="K10" s="8"/>
      <c r="L10" s="8"/>
      <c r="M10" s="8"/>
      <c r="N10" s="8"/>
      <c r="O10" s="8"/>
      <c r="P10" s="8"/>
      <c r="Q10" s="8"/>
      <c r="R10" s="8"/>
      <c r="S10" s="8"/>
      <c r="T10" s="493"/>
      <c r="U10" s="493"/>
      <c r="V10" s="493"/>
      <c r="W10" s="493"/>
      <c r="X10" s="8"/>
      <c r="Y10" s="8"/>
      <c r="Z10" s="8"/>
    </row>
    <row r="11" spans="1:26">
      <c r="A11" s="8"/>
      <c r="B11" s="8"/>
      <c r="C11" s="8"/>
      <c r="D11" s="8"/>
      <c r="E11" s="8"/>
      <c r="F11" s="8"/>
      <c r="G11" s="8"/>
      <c r="H11" s="8"/>
      <c r="I11" s="8"/>
      <c r="J11" s="8"/>
      <c r="K11" s="8"/>
      <c r="L11" s="8"/>
      <c r="M11" s="8"/>
      <c r="N11" s="8"/>
      <c r="O11" s="8"/>
      <c r="P11" s="8"/>
      <c r="Q11" s="8"/>
      <c r="R11" s="8"/>
      <c r="S11" s="8"/>
      <c r="T11" s="493"/>
      <c r="U11" s="493"/>
      <c r="V11" s="493"/>
      <c r="W11" s="493"/>
      <c r="X11" s="8"/>
      <c r="Y11" s="8"/>
      <c r="Z11" s="8"/>
    </row>
    <row r="12" spans="1:26">
      <c r="A12" s="8"/>
      <c r="B12" s="8"/>
      <c r="C12" s="8"/>
      <c r="D12" s="8"/>
      <c r="E12" s="8"/>
      <c r="F12" s="8"/>
      <c r="G12" s="8"/>
      <c r="H12" s="8"/>
      <c r="I12" s="8"/>
      <c r="J12" s="8"/>
      <c r="K12" s="8"/>
      <c r="L12" s="8"/>
      <c r="M12" s="8"/>
      <c r="N12" s="8"/>
      <c r="O12" s="8"/>
      <c r="P12" s="8"/>
      <c r="Q12" s="8"/>
      <c r="R12" s="8"/>
      <c r="S12" s="8"/>
      <c r="T12" s="493"/>
      <c r="U12" s="493"/>
      <c r="V12" s="493"/>
      <c r="W12" s="493"/>
      <c r="X12" s="8"/>
      <c r="Y12" s="8"/>
      <c r="Z12" s="8"/>
    </row>
    <row r="13" spans="1:26">
      <c r="A13" s="8"/>
      <c r="B13" s="8"/>
      <c r="C13" s="8"/>
      <c r="D13" s="8"/>
      <c r="E13" s="8"/>
      <c r="F13" s="8"/>
      <c r="G13" s="8"/>
      <c r="H13" s="8"/>
      <c r="I13" s="8"/>
      <c r="J13" s="8"/>
      <c r="K13" s="8"/>
      <c r="L13" s="8"/>
      <c r="M13" s="8"/>
      <c r="N13" s="8"/>
      <c r="O13" s="8"/>
      <c r="P13" s="8"/>
      <c r="Q13" s="8"/>
      <c r="R13" s="8"/>
      <c r="S13" s="8"/>
      <c r="T13" s="8"/>
      <c r="U13" s="8"/>
      <c r="V13" s="8"/>
      <c r="W13" s="8"/>
      <c r="X13" s="8"/>
      <c r="Y13" s="8"/>
      <c r="Z13" s="8"/>
    </row>
    <row r="14" spans="1:26">
      <c r="A14" s="8"/>
      <c r="B14" s="8"/>
      <c r="C14" s="8"/>
      <c r="D14" s="8"/>
      <c r="E14" s="8"/>
      <c r="F14" s="8"/>
      <c r="G14" s="8"/>
      <c r="H14" s="8"/>
      <c r="I14" s="8"/>
      <c r="J14" s="8"/>
      <c r="K14" s="8"/>
      <c r="L14" s="8"/>
      <c r="M14" s="8"/>
      <c r="N14" s="8"/>
      <c r="O14" s="8"/>
      <c r="P14" s="8"/>
      <c r="Q14" s="8"/>
      <c r="R14" s="8"/>
      <c r="S14" s="8"/>
      <c r="T14" s="8"/>
      <c r="U14" s="8"/>
      <c r="V14" s="8"/>
      <c r="W14" s="8"/>
      <c r="X14" s="8"/>
      <c r="Y14" s="8"/>
      <c r="Z14" s="8"/>
    </row>
    <row r="15" spans="1:26">
      <c r="A15" s="8"/>
      <c r="B15" s="8"/>
      <c r="C15" s="8"/>
      <c r="D15" s="8"/>
      <c r="E15" s="8"/>
      <c r="F15" s="8"/>
      <c r="G15" s="8"/>
      <c r="H15" s="8"/>
      <c r="I15" s="8"/>
      <c r="J15" s="8"/>
      <c r="K15" s="8"/>
      <c r="L15" s="8"/>
      <c r="M15" s="8"/>
      <c r="N15" s="8"/>
      <c r="O15" s="8"/>
      <c r="P15" s="8"/>
      <c r="Q15" s="8"/>
      <c r="R15" s="8"/>
      <c r="S15" s="8"/>
      <c r="T15" s="8"/>
      <c r="U15" s="8"/>
      <c r="V15" s="8"/>
      <c r="W15" s="8"/>
      <c r="X15" s="8"/>
      <c r="Y15" s="8"/>
      <c r="Z15" s="8"/>
    </row>
    <row r="18" spans="8:23">
      <c r="H18" s="8"/>
      <c r="I18" s="8"/>
      <c r="J18" s="8"/>
      <c r="K18" s="8"/>
      <c r="L18" s="8"/>
      <c r="M18" s="8"/>
      <c r="N18" s="8"/>
      <c r="O18" s="8"/>
      <c r="P18" s="8"/>
      <c r="Q18" s="8"/>
      <c r="R18" s="8"/>
      <c r="S18" s="8"/>
      <c r="T18" s="8"/>
      <c r="U18" s="8"/>
      <c r="V18" s="8"/>
      <c r="W18" s="8"/>
    </row>
    <row r="19" spans="8:23">
      <c r="H19" s="8"/>
      <c r="I19" s="119"/>
      <c r="J19" s="8"/>
      <c r="K19" s="8"/>
      <c r="L19" s="8"/>
      <c r="M19" s="8"/>
      <c r="N19" s="8"/>
      <c r="O19" s="8"/>
      <c r="P19" s="8"/>
      <c r="Q19" s="8"/>
      <c r="R19" s="8"/>
      <c r="S19" s="8"/>
      <c r="T19" s="8"/>
      <c r="U19" s="8"/>
      <c r="V19" s="8"/>
      <c r="W19" s="8"/>
    </row>
    <row r="20" spans="8:23">
      <c r="H20" s="52" t="s">
        <v>311</v>
      </c>
      <c r="I20" s="317">
        <f ca="1">Results!I24</f>
        <v>61078209.865563087</v>
      </c>
      <c r="J20" s="8"/>
      <c r="K20" s="8"/>
      <c r="L20" s="8"/>
      <c r="M20" s="8"/>
      <c r="N20" s="8"/>
      <c r="O20" s="8"/>
      <c r="P20" s="8"/>
      <c r="Q20" s="8"/>
      <c r="R20" s="8"/>
      <c r="S20" s="8"/>
      <c r="T20" s="8"/>
      <c r="U20" s="8"/>
      <c r="V20" s="8"/>
      <c r="W20" s="8"/>
    </row>
    <row r="21" spans="8:23">
      <c r="H21" s="52" t="s">
        <v>309</v>
      </c>
      <c r="I21" s="317">
        <f>MIN(DSA!C70:D129)*0.8</f>
        <v>0</v>
      </c>
      <c r="J21" s="8"/>
      <c r="K21" s="8"/>
      <c r="L21" s="8"/>
      <c r="M21" s="8"/>
      <c r="N21" s="8"/>
      <c r="O21" s="8"/>
      <c r="P21" s="8"/>
      <c r="Q21" s="8"/>
      <c r="R21" s="8"/>
      <c r="S21" s="8"/>
      <c r="T21" s="8"/>
      <c r="U21" s="8"/>
      <c r="V21" s="8"/>
      <c r="W21" s="8"/>
    </row>
    <row r="22" spans="8:23">
      <c r="H22" s="52" t="s">
        <v>310</v>
      </c>
      <c r="I22" s="317">
        <f>MAX(DSA!C70:D129)*1.2</f>
        <v>0</v>
      </c>
      <c r="J22" s="8"/>
      <c r="K22" s="8"/>
      <c r="L22" s="8"/>
      <c r="M22" s="8"/>
      <c r="N22" s="8"/>
      <c r="O22" s="8"/>
      <c r="P22" s="8"/>
      <c r="Q22" s="8"/>
      <c r="R22" s="8"/>
      <c r="S22" s="8"/>
      <c r="T22" s="8"/>
      <c r="U22" s="8"/>
      <c r="V22" s="8"/>
      <c r="W22" s="8"/>
    </row>
    <row r="39" spans="2:24">
      <c r="B39" s="8"/>
      <c r="C39" s="8"/>
      <c r="D39" s="272"/>
      <c r="E39" s="8"/>
      <c r="F39" s="8"/>
      <c r="G39" s="8"/>
      <c r="H39" s="8"/>
      <c r="I39" s="8"/>
      <c r="J39" s="8"/>
      <c r="K39" s="8"/>
      <c r="L39" s="8"/>
      <c r="M39" s="8"/>
      <c r="N39" s="8"/>
      <c r="O39" s="8"/>
      <c r="P39" s="8"/>
      <c r="Q39" s="8"/>
      <c r="R39" s="8"/>
      <c r="S39" s="8"/>
      <c r="T39" s="8"/>
      <c r="U39" s="8"/>
      <c r="V39" s="8"/>
      <c r="W39" s="8"/>
      <c r="X39" s="8"/>
    </row>
    <row r="40" spans="2:24">
      <c r="B40" s="58"/>
      <c r="C40" s="58"/>
      <c r="D40" s="273"/>
      <c r="E40" s="58"/>
      <c r="F40" s="58"/>
      <c r="G40" s="58"/>
      <c r="H40" s="58"/>
      <c r="I40" s="58"/>
      <c r="J40" s="8"/>
      <c r="K40" s="8"/>
      <c r="L40" s="8"/>
      <c r="M40" s="8"/>
      <c r="N40" s="8"/>
      <c r="O40" s="8"/>
      <c r="P40" s="8"/>
      <c r="Q40" s="8"/>
      <c r="R40" s="8"/>
      <c r="S40" s="8"/>
      <c r="T40" s="8"/>
      <c r="U40" s="8"/>
      <c r="V40" s="8"/>
      <c r="W40" s="8"/>
      <c r="X40" s="8"/>
    </row>
    <row r="41" spans="2:24" ht="18">
      <c r="B41" s="57" t="str">
        <f>'Mkt share'!B59</f>
        <v>Alternative scenario 2:</v>
      </c>
      <c r="C41" s="47" t="str">
        <f>cen_prop2</f>
        <v>With IUD-LNG 10-50%</v>
      </c>
      <c r="D41" s="47"/>
      <c r="E41" s="47"/>
      <c r="F41" s="47"/>
      <c r="G41" s="47"/>
      <c r="H41" s="47"/>
      <c r="I41" s="47"/>
      <c r="J41" s="8"/>
      <c r="K41" s="8"/>
      <c r="L41" s="8"/>
      <c r="M41" s="8"/>
      <c r="N41" s="8"/>
      <c r="O41" s="8"/>
      <c r="P41" s="8"/>
      <c r="Q41" s="8"/>
      <c r="R41" s="8"/>
      <c r="S41" s="8"/>
      <c r="T41" s="8"/>
      <c r="U41" s="8"/>
      <c r="V41" s="8"/>
      <c r="W41" s="8"/>
      <c r="X41" s="8"/>
    </row>
    <row r="42" spans="2:24">
      <c r="B42" s="8"/>
      <c r="C42" s="8"/>
      <c r="D42" s="8"/>
      <c r="E42" s="8"/>
      <c r="F42" s="8"/>
      <c r="G42" s="8"/>
      <c r="H42" s="8"/>
      <c r="I42" s="8"/>
      <c r="J42" s="8"/>
      <c r="K42" s="8"/>
      <c r="L42" s="8"/>
      <c r="M42" s="8"/>
      <c r="N42" s="8"/>
      <c r="O42" s="8"/>
      <c r="P42" s="8"/>
      <c r="Q42" s="8"/>
      <c r="R42" s="8"/>
      <c r="S42" s="8"/>
      <c r="T42" s="8"/>
      <c r="U42" s="8"/>
      <c r="V42" s="8"/>
      <c r="W42" s="8"/>
      <c r="X42" s="8"/>
    </row>
    <row r="43" spans="2:24" ht="14.55" customHeight="1">
      <c r="B43" s="8"/>
      <c r="C43" s="8"/>
      <c r="D43" s="8"/>
      <c r="E43" s="8"/>
      <c r="F43" s="8"/>
      <c r="G43" s="8"/>
      <c r="H43" s="8"/>
      <c r="I43" s="8"/>
      <c r="J43" s="8"/>
      <c r="K43" s="8"/>
      <c r="L43" s="8"/>
      <c r="M43" s="8"/>
      <c r="N43" s="8"/>
      <c r="O43" s="8"/>
      <c r="P43" s="8"/>
      <c r="Q43" s="8"/>
      <c r="R43" s="8"/>
      <c r="S43" s="8"/>
      <c r="T43" s="493"/>
      <c r="U43" s="493"/>
      <c r="V43" s="493"/>
      <c r="W43" s="493"/>
      <c r="X43" s="8"/>
    </row>
    <row r="44" spans="2:24">
      <c r="B44" s="8"/>
      <c r="C44" s="8"/>
      <c r="D44" s="8"/>
      <c r="E44" s="8"/>
      <c r="F44" s="8"/>
      <c r="G44" s="8"/>
      <c r="H44" s="8"/>
      <c r="I44" s="8"/>
      <c r="J44" s="8"/>
      <c r="K44" s="8"/>
      <c r="L44" s="8"/>
      <c r="M44" s="8"/>
      <c r="N44" s="8"/>
      <c r="O44" s="8"/>
      <c r="P44" s="8"/>
      <c r="Q44" s="8"/>
      <c r="R44" s="8"/>
      <c r="S44" s="8"/>
      <c r="T44" s="493"/>
      <c r="U44" s="493"/>
      <c r="V44" s="493"/>
      <c r="W44" s="493"/>
      <c r="X44" s="8"/>
    </row>
    <row r="45" spans="2:24">
      <c r="B45" s="8"/>
      <c r="C45" s="8"/>
      <c r="D45" s="8"/>
      <c r="E45" s="8"/>
      <c r="F45" s="8"/>
      <c r="G45" s="8"/>
      <c r="H45" s="8"/>
      <c r="I45" s="8"/>
      <c r="J45" s="8"/>
      <c r="K45" s="8"/>
      <c r="L45" s="8"/>
      <c r="M45" s="8"/>
      <c r="N45" s="8"/>
      <c r="O45" s="8"/>
      <c r="P45" s="8"/>
      <c r="Q45" s="8"/>
      <c r="R45" s="8"/>
      <c r="S45" s="8"/>
      <c r="T45" s="493"/>
      <c r="U45" s="493"/>
      <c r="V45" s="493"/>
      <c r="W45" s="493"/>
      <c r="X45" s="8"/>
    </row>
    <row r="46" spans="2:24">
      <c r="B46" s="8"/>
      <c r="C46" s="8"/>
      <c r="D46" s="8"/>
      <c r="E46" s="8"/>
      <c r="F46" s="8"/>
      <c r="G46" s="8"/>
      <c r="H46" s="8"/>
      <c r="I46" s="8"/>
      <c r="J46" s="8"/>
      <c r="K46" s="8"/>
      <c r="L46" s="8"/>
      <c r="M46" s="8"/>
      <c r="N46" s="8"/>
      <c r="O46" s="8"/>
      <c r="P46" s="8"/>
      <c r="Q46" s="8"/>
      <c r="R46" s="8"/>
      <c r="S46" s="8"/>
      <c r="T46" s="8"/>
      <c r="U46" s="8"/>
      <c r="V46" s="8"/>
      <c r="W46" s="8"/>
      <c r="X46" s="8"/>
    </row>
    <row r="47" spans="2:24">
      <c r="B47" s="8"/>
      <c r="C47" s="8"/>
      <c r="D47" s="8"/>
      <c r="E47" s="8"/>
      <c r="F47" s="8"/>
      <c r="G47" s="8"/>
      <c r="H47" s="8"/>
      <c r="I47" s="8"/>
      <c r="J47" s="8"/>
      <c r="K47" s="8"/>
      <c r="L47" s="8"/>
      <c r="M47" s="8"/>
      <c r="N47" s="8"/>
      <c r="O47" s="8"/>
      <c r="P47" s="8"/>
      <c r="Q47" s="8"/>
      <c r="R47" s="8"/>
      <c r="S47" s="8"/>
      <c r="T47" s="8"/>
      <c r="U47" s="8"/>
      <c r="V47" s="8"/>
      <c r="W47" s="8"/>
      <c r="X47" s="8"/>
    </row>
    <row r="48" spans="2:24">
      <c r="B48" s="8"/>
      <c r="C48" s="8"/>
      <c r="D48" s="8"/>
      <c r="E48" s="8"/>
      <c r="F48" s="8"/>
      <c r="G48" s="8"/>
      <c r="H48" s="8"/>
      <c r="I48" s="8"/>
      <c r="J48" s="8"/>
      <c r="K48" s="8"/>
      <c r="L48" s="8"/>
      <c r="M48" s="8"/>
      <c r="N48" s="8"/>
      <c r="O48" s="8"/>
      <c r="P48" s="8"/>
      <c r="Q48" s="8"/>
      <c r="R48" s="8"/>
      <c r="S48" s="8"/>
      <c r="T48" s="8"/>
      <c r="U48" s="8"/>
      <c r="V48" s="8"/>
      <c r="W48" s="8"/>
      <c r="X48" s="8"/>
    </row>
    <row r="50" spans="8:23">
      <c r="H50" s="52" t="s">
        <v>311</v>
      </c>
      <c r="I50" s="317">
        <f ca="1">Results!I33</f>
        <v>64808405.963876583</v>
      </c>
      <c r="J50" s="8"/>
      <c r="K50" s="8"/>
      <c r="L50" s="8"/>
      <c r="M50" s="8"/>
      <c r="N50" s="8"/>
      <c r="O50" s="8"/>
      <c r="P50" s="8"/>
      <c r="Q50" s="8"/>
      <c r="R50" s="8"/>
      <c r="S50" s="8"/>
      <c r="T50" s="8"/>
      <c r="U50" s="8"/>
      <c r="V50" s="8"/>
      <c r="W50" s="8"/>
    </row>
    <row r="51" spans="8:23">
      <c r="H51" s="52" t="s">
        <v>309</v>
      </c>
      <c r="I51" s="317">
        <f>MIN(DSA!I70:J123)*0.8</f>
        <v>0</v>
      </c>
      <c r="J51" s="8"/>
      <c r="K51" s="8"/>
      <c r="L51" s="8"/>
      <c r="M51" s="8"/>
      <c r="N51" s="8"/>
      <c r="O51" s="8"/>
      <c r="P51" s="8"/>
      <c r="Q51" s="8"/>
      <c r="R51" s="8"/>
      <c r="S51" s="8"/>
      <c r="T51" s="8"/>
      <c r="U51" s="8"/>
      <c r="V51" s="8"/>
      <c r="W51" s="8"/>
    </row>
    <row r="52" spans="8:23">
      <c r="H52" s="52" t="s">
        <v>310</v>
      </c>
      <c r="I52" s="317">
        <f>MAX(DSA!I70:J123)*1.2</f>
        <v>0</v>
      </c>
      <c r="J52" s="8"/>
      <c r="K52" s="8"/>
      <c r="L52" s="8"/>
      <c r="M52" s="8"/>
      <c r="N52" s="8"/>
      <c r="O52" s="8"/>
      <c r="P52" s="8"/>
      <c r="Q52" s="8"/>
      <c r="R52" s="8"/>
      <c r="S52" s="8"/>
      <c r="T52" s="8"/>
      <c r="U52" s="8"/>
      <c r="V52" s="8"/>
      <c r="W52" s="8"/>
    </row>
    <row r="53" spans="8:23">
      <c r="H53" s="8"/>
      <c r="I53" s="8"/>
      <c r="J53" s="8"/>
      <c r="K53" s="8"/>
      <c r="L53" s="8"/>
      <c r="M53" s="8"/>
      <c r="N53" s="8"/>
      <c r="O53" s="8"/>
      <c r="P53" s="8"/>
      <c r="Q53" s="8"/>
      <c r="R53" s="8"/>
      <c r="S53" s="8"/>
      <c r="T53" s="8"/>
      <c r="U53" s="8"/>
      <c r="V53" s="8"/>
      <c r="W53" s="8"/>
    </row>
    <row r="54" spans="8:23">
      <c r="H54" s="8"/>
      <c r="I54" s="8"/>
      <c r="J54" s="8"/>
      <c r="K54" s="8"/>
      <c r="L54" s="8"/>
      <c r="M54" s="8"/>
      <c r="N54" s="8"/>
      <c r="O54" s="8"/>
      <c r="P54" s="8"/>
      <c r="Q54" s="8"/>
      <c r="R54" s="8"/>
      <c r="S54" s="8"/>
      <c r="T54" s="8"/>
      <c r="U54" s="8"/>
      <c r="V54" s="8"/>
      <c r="W54" s="8"/>
    </row>
    <row r="72" spans="2:24">
      <c r="B72" s="8"/>
      <c r="C72" s="8"/>
      <c r="D72" s="272"/>
      <c r="E72" s="8"/>
      <c r="F72" s="8"/>
      <c r="G72" s="8"/>
      <c r="H72" s="8"/>
      <c r="I72" s="8"/>
      <c r="J72" s="8"/>
      <c r="K72" s="8"/>
      <c r="L72" s="8"/>
      <c r="M72" s="8"/>
      <c r="N72" s="8"/>
      <c r="O72" s="8"/>
      <c r="P72" s="8"/>
      <c r="Q72" s="8"/>
      <c r="R72" s="8"/>
      <c r="S72" s="8"/>
      <c r="T72" s="8"/>
      <c r="U72" s="8"/>
      <c r="V72" s="8"/>
      <c r="W72" s="8"/>
      <c r="X72" s="8"/>
    </row>
    <row r="73" spans="2:24" s="3" customFormat="1" ht="13.95" customHeight="1">
      <c r="B73" s="7"/>
      <c r="C73" s="7"/>
      <c r="D73" s="7"/>
      <c r="E73" s="7"/>
      <c r="F73" s="7"/>
      <c r="G73" s="7"/>
      <c r="H73" s="7"/>
      <c r="I73" s="7"/>
      <c r="J73" s="7"/>
      <c r="K73" s="7"/>
      <c r="L73" s="142"/>
      <c r="M73" s="142"/>
      <c r="N73" s="9"/>
      <c r="O73" s="9"/>
      <c r="P73" s="9"/>
      <c r="Q73" s="9"/>
      <c r="R73" s="9"/>
      <c r="S73" s="9"/>
      <c r="T73" s="9"/>
      <c r="U73" s="9"/>
      <c r="V73" s="9"/>
      <c r="W73" s="9"/>
      <c r="X73" s="9"/>
    </row>
    <row r="74" spans="2:24" s="3" customFormat="1">
      <c r="B74" s="65"/>
      <c r="C74" s="65"/>
      <c r="D74" s="65"/>
      <c r="E74" s="65"/>
      <c r="F74" s="65"/>
      <c r="G74" s="65"/>
      <c r="H74" s="65"/>
      <c r="I74" s="65"/>
      <c r="J74" s="65"/>
      <c r="K74" s="65"/>
      <c r="L74" s="65"/>
      <c r="M74" s="65"/>
    </row>
    <row r="75" spans="2:24" s="3" customFormat="1">
      <c r="B75" s="406" t="s">
        <v>77</v>
      </c>
      <c r="C75" s="406"/>
      <c r="D75" s="406"/>
      <c r="E75" s="406"/>
      <c r="F75" s="406"/>
      <c r="G75" s="406"/>
      <c r="H75" s="406"/>
      <c r="I75" s="406"/>
      <c r="J75" s="406"/>
      <c r="K75" s="406"/>
      <c r="L75" s="406"/>
      <c r="M75" s="406"/>
    </row>
    <row r="76" spans="2:24" s="3" customFormat="1">
      <c r="B76" s="406"/>
      <c r="C76" s="406"/>
      <c r="D76" s="406"/>
      <c r="E76" s="406"/>
      <c r="F76" s="406"/>
      <c r="G76" s="406"/>
      <c r="H76" s="406"/>
      <c r="I76" s="406"/>
      <c r="J76" s="406"/>
      <c r="K76" s="406"/>
      <c r="L76" s="406"/>
      <c r="M76" s="406"/>
    </row>
    <row r="77" spans="2:24" ht="85.95" customHeight="1">
      <c r="B77" s="405" t="e" vm="1">
        <v>#VALUE!</v>
      </c>
      <c r="C77" s="405"/>
      <c r="D77" s="405"/>
      <c r="E77" s="405"/>
      <c r="F77" s="405"/>
      <c r="G77" s="405"/>
      <c r="H77" s="405"/>
      <c r="I77" s="405"/>
      <c r="J77" s="405"/>
      <c r="K77" s="405"/>
      <c r="L77" s="405"/>
      <c r="M77" s="405"/>
    </row>
  </sheetData>
  <sheetProtection sort="0" autoFilter="0" pivotTables="0"/>
  <mergeCells count="4">
    <mergeCell ref="B77:M77"/>
    <mergeCell ref="T10:W12"/>
    <mergeCell ref="T43:W45"/>
    <mergeCell ref="B75:M76"/>
  </mergeCells>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7514B-B031-49EE-B417-12410A586E2E}">
  <sheetPr codeName="Planilha3">
    <tabColor rgb="FF726C5A"/>
  </sheetPr>
  <dimension ref="A1:ED1029"/>
  <sheetViews>
    <sheetView showGridLines="0" showRowColHeaders="0" topLeftCell="B1" zoomScaleNormal="100" workbookViewId="0">
      <selection activeCell="AF1015" sqref="AF1015:AR1015"/>
    </sheetView>
  </sheetViews>
  <sheetFormatPr defaultColWidth="0" defaultRowHeight="14.4" zeroHeight="1"/>
  <cols>
    <col min="1" max="1" width="10.33203125" style="327" customWidth="1"/>
    <col min="2" max="2" width="6.6640625" customWidth="1"/>
    <col min="3" max="3" width="22.109375" style="325" customWidth="1"/>
    <col min="4" max="4" width="20.44140625" style="325" customWidth="1"/>
    <col min="5" max="5" width="18.6640625" style="325" customWidth="1"/>
    <col min="6" max="7" width="19.109375" style="325" customWidth="1"/>
    <col min="8" max="8" width="19.6640625" style="325" customWidth="1"/>
    <col min="9" max="9" width="5.109375" customWidth="1"/>
    <col min="10" max="10" width="20" style="325" customWidth="1"/>
    <col min="11" max="12" width="19.109375" style="325" customWidth="1"/>
    <col min="13" max="14" width="18.77734375" style="325" customWidth="1"/>
    <col min="15" max="15" width="18.109375" style="325" customWidth="1"/>
    <col min="16" max="16" width="5.6640625" customWidth="1"/>
    <col min="17" max="17" width="18.109375" customWidth="1"/>
    <col min="18" max="21" width="18.44140625" customWidth="1"/>
    <col min="22" max="22" width="18.6640625" customWidth="1"/>
    <col min="23" max="29" width="5.44140625" style="328" customWidth="1"/>
    <col min="30" max="30" width="4.44140625" style="328" customWidth="1"/>
    <col min="31" max="31" width="6.77734375" customWidth="1"/>
    <col min="32" max="32" width="24" customWidth="1"/>
    <col min="33" max="33" width="18.44140625" customWidth="1"/>
    <col min="34" max="34" width="25.44140625" customWidth="1"/>
    <col min="35" max="35" width="19" customWidth="1"/>
    <col min="36" max="36" width="22.109375" customWidth="1"/>
    <col min="37" max="37" width="19.6640625" customWidth="1"/>
    <col min="38" max="38" width="5.44140625" customWidth="1"/>
    <col min="39" max="40" width="23.109375" customWidth="1"/>
    <col min="41" max="41" width="18.109375" customWidth="1"/>
    <col min="42" max="42" width="24" customWidth="1"/>
    <col min="43" max="43" width="13.109375" customWidth="1"/>
    <col min="44" max="44" width="21.109375" customWidth="1"/>
    <col min="45" max="45" width="6.109375" customWidth="1"/>
    <col min="46" max="48" width="27.77734375" customWidth="1"/>
    <col min="49" max="49" width="27.77734375" style="324" customWidth="1"/>
    <col min="50" max="51" width="27.77734375" customWidth="1"/>
    <col min="52" max="52" width="8.77734375" customWidth="1"/>
    <col min="53" max="53" width="6.77734375" customWidth="1"/>
    <col min="54" max="57" width="7.109375" customWidth="1"/>
    <col min="58" max="58" width="6.6640625" customWidth="1"/>
    <col min="59" max="59" width="8.77734375" customWidth="1"/>
    <col min="60" max="134" width="0" hidden="1" customWidth="1"/>
    <col min="135" max="16384" width="8.77734375" hidden="1"/>
  </cols>
  <sheetData>
    <row r="1" spans="1:134" s="328" customFormat="1" ht="33.6">
      <c r="A1" s="333"/>
      <c r="B1" s="334" t="str">
        <f>Introduction!$B$1</f>
        <v>Budget impact analysis of Intrauterine device levonorgestrel for treatment of Leiomioma presenting with heavy bleeding</v>
      </c>
      <c r="C1" s="334"/>
      <c r="D1" s="335"/>
      <c r="E1" s="336"/>
      <c r="F1" s="336"/>
      <c r="G1" s="336"/>
      <c r="H1" s="336"/>
      <c r="I1" s="336"/>
      <c r="J1" s="336"/>
      <c r="K1" s="336"/>
      <c r="L1" s="336"/>
      <c r="M1" s="336"/>
      <c r="N1" s="336"/>
      <c r="O1" s="336"/>
      <c r="P1" s="336"/>
      <c r="Q1" s="336"/>
      <c r="R1" s="336"/>
      <c r="S1" s="336"/>
      <c r="T1" s="337"/>
      <c r="U1" s="337"/>
      <c r="V1" s="337"/>
      <c r="W1" s="337"/>
      <c r="X1" s="337"/>
      <c r="Y1" s="337"/>
      <c r="Z1" s="337"/>
      <c r="AA1" s="337"/>
      <c r="AB1" s="337"/>
      <c r="AC1" s="337"/>
      <c r="AD1" s="337"/>
      <c r="AE1" s="337"/>
      <c r="AF1" s="337"/>
      <c r="AG1" s="337"/>
      <c r="AH1" s="337"/>
      <c r="AI1" s="337"/>
      <c r="AJ1" s="337"/>
      <c r="AK1" s="338"/>
      <c r="AL1" s="338"/>
      <c r="AM1" s="338"/>
      <c r="AN1" s="338"/>
      <c r="AO1" s="338"/>
      <c r="AP1" s="338"/>
      <c r="AQ1" s="338"/>
      <c r="AR1" s="338"/>
      <c r="AS1" s="338"/>
      <c r="AT1" s="338"/>
      <c r="AU1" s="338"/>
      <c r="AV1" s="338"/>
      <c r="AW1" s="338"/>
      <c r="AX1" s="338"/>
      <c r="AY1" s="338"/>
      <c r="AZ1" s="338"/>
      <c r="BA1" s="338"/>
      <c r="BB1" s="338"/>
      <c r="BC1" s="338"/>
      <c r="BD1" s="338"/>
      <c r="BE1" s="338"/>
      <c r="BF1" s="338"/>
      <c r="BG1" s="338"/>
      <c r="BH1" s="338"/>
      <c r="BI1" s="338"/>
      <c r="BJ1" s="338"/>
      <c r="BK1" s="338"/>
      <c r="BL1" s="338"/>
      <c r="BM1" s="338"/>
      <c r="BN1" s="338"/>
      <c r="BO1" s="338"/>
      <c r="BP1" s="338"/>
      <c r="BQ1" s="338"/>
      <c r="BR1" s="338"/>
      <c r="BS1" s="338"/>
      <c r="BT1" s="338"/>
      <c r="BU1" s="338"/>
      <c r="BV1" s="338"/>
      <c r="BW1" s="338"/>
      <c r="BX1" s="338"/>
      <c r="BY1" s="338"/>
      <c r="BZ1" s="338"/>
      <c r="CA1" s="338"/>
      <c r="CB1" s="338"/>
      <c r="CC1" s="338"/>
      <c r="CD1" s="338"/>
      <c r="CE1" s="338"/>
      <c r="CF1" s="338"/>
      <c r="CG1" s="338"/>
      <c r="CH1" s="338"/>
      <c r="CI1" s="338"/>
      <c r="CJ1" s="338"/>
      <c r="CK1" s="338"/>
      <c r="CL1" s="338"/>
      <c r="CM1" s="338"/>
      <c r="CN1" s="338"/>
      <c r="CO1" s="338"/>
      <c r="CP1" s="338"/>
      <c r="CQ1" s="338"/>
      <c r="CR1" s="338"/>
      <c r="CS1" s="338"/>
      <c r="CT1" s="338"/>
      <c r="CU1" s="338"/>
      <c r="CV1" s="338"/>
      <c r="CW1" s="338"/>
      <c r="CX1" s="338"/>
      <c r="CY1" s="338"/>
      <c r="CZ1" s="338"/>
      <c r="DA1" s="338"/>
      <c r="DB1" s="338"/>
      <c r="DC1" s="338"/>
      <c r="DD1" s="338"/>
      <c r="DE1" s="338"/>
      <c r="DF1" s="338"/>
      <c r="DG1" s="338"/>
      <c r="DH1" s="338"/>
      <c r="DI1" s="338"/>
      <c r="DJ1" s="338"/>
      <c r="DK1" s="338"/>
      <c r="DL1" s="338"/>
      <c r="DM1" s="338"/>
      <c r="DN1" s="338"/>
      <c r="DO1" s="338"/>
      <c r="DP1" s="338"/>
      <c r="DQ1" s="338"/>
      <c r="DR1" s="338"/>
      <c r="DS1" s="338"/>
      <c r="DT1" s="338"/>
      <c r="DU1" s="338"/>
      <c r="DV1" s="338"/>
      <c r="DW1" s="338"/>
      <c r="DX1" s="338"/>
      <c r="DY1" s="338"/>
      <c r="DZ1" s="338"/>
      <c r="EA1" s="338"/>
      <c r="EB1" s="338"/>
      <c r="EC1" s="338"/>
      <c r="ED1" s="338"/>
    </row>
    <row r="2" spans="1:134" s="328" customFormat="1" ht="18.600000000000001" thickBot="1">
      <c r="A2" s="339"/>
      <c r="B2" s="37"/>
      <c r="C2" s="37"/>
      <c r="D2" s="38"/>
      <c r="E2" s="39"/>
      <c r="F2" s="39"/>
      <c r="G2" s="39"/>
      <c r="H2" s="39"/>
      <c r="I2" s="39"/>
      <c r="J2" s="39"/>
      <c r="K2" s="133"/>
      <c r="L2" s="133"/>
      <c r="M2" s="133"/>
      <c r="N2" s="133"/>
      <c r="O2" s="133"/>
      <c r="P2" s="133"/>
      <c r="Q2" s="133"/>
      <c r="R2" s="133"/>
      <c r="S2" s="39"/>
      <c r="T2" s="33"/>
      <c r="U2" s="33"/>
      <c r="V2" s="33"/>
      <c r="W2" s="33"/>
      <c r="X2" s="33"/>
      <c r="Y2" s="33"/>
      <c r="Z2" s="33"/>
      <c r="AA2" s="33"/>
      <c r="AB2" s="33"/>
      <c r="AC2" s="33"/>
      <c r="AD2" s="340"/>
      <c r="AE2" s="340"/>
      <c r="AF2" s="340"/>
      <c r="AG2" s="340"/>
      <c r="AH2" s="340"/>
      <c r="AI2" s="340"/>
      <c r="AJ2" s="340"/>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c r="BJ2" s="341"/>
      <c r="BK2" s="341"/>
      <c r="BL2" s="341"/>
      <c r="BM2" s="341"/>
      <c r="BN2" s="341"/>
      <c r="BO2" s="341"/>
      <c r="BP2" s="341"/>
      <c r="BQ2" s="341"/>
      <c r="BR2" s="341"/>
      <c r="BS2" s="341"/>
      <c r="BT2" s="341"/>
      <c r="BU2" s="341"/>
      <c r="BV2" s="341"/>
      <c r="BW2" s="341"/>
      <c r="BX2" s="341"/>
      <c r="BY2" s="341"/>
      <c r="BZ2" s="341"/>
      <c r="CA2" s="341"/>
      <c r="CB2" s="341"/>
      <c r="CC2" s="341"/>
      <c r="CD2" s="341"/>
      <c r="CE2" s="341"/>
      <c r="CF2" s="341"/>
      <c r="CG2" s="341"/>
      <c r="CH2" s="341"/>
      <c r="CI2" s="341"/>
      <c r="CJ2" s="341"/>
      <c r="CK2" s="341"/>
      <c r="CL2" s="341"/>
      <c r="CM2" s="341"/>
      <c r="CN2" s="341"/>
      <c r="CO2" s="341"/>
      <c r="CP2" s="341"/>
      <c r="CQ2" s="341"/>
      <c r="CR2" s="341"/>
      <c r="CS2" s="341"/>
      <c r="CT2" s="341"/>
      <c r="CU2" s="341"/>
      <c r="CV2" s="341"/>
      <c r="CW2" s="341"/>
      <c r="CX2" s="341"/>
      <c r="CY2" s="341"/>
      <c r="CZ2" s="341"/>
      <c r="DA2" s="341"/>
      <c r="DB2" s="341"/>
      <c r="DC2" s="341"/>
      <c r="DD2" s="341"/>
      <c r="DE2" s="341"/>
      <c r="DF2" s="341"/>
      <c r="DG2" s="341"/>
      <c r="DH2" s="341"/>
      <c r="DI2" s="341"/>
      <c r="DJ2" s="341"/>
      <c r="DK2" s="341"/>
      <c r="DL2" s="341"/>
      <c r="DM2" s="341"/>
      <c r="DN2" s="341"/>
      <c r="DO2" s="341"/>
      <c r="DP2" s="341"/>
      <c r="DQ2" s="341"/>
      <c r="DR2" s="341"/>
      <c r="DS2" s="341"/>
      <c r="DT2" s="341"/>
      <c r="DU2" s="341"/>
      <c r="DV2" s="341"/>
      <c r="DW2" s="341"/>
      <c r="DX2" s="341"/>
      <c r="DY2" s="341"/>
      <c r="DZ2" s="341"/>
      <c r="EA2" s="341"/>
      <c r="EB2" s="341"/>
      <c r="EC2" s="341"/>
      <c r="ED2" s="341"/>
    </row>
    <row r="3" spans="1:134" ht="18">
      <c r="A3" s="326"/>
      <c r="B3" s="342"/>
      <c r="C3" s="496" t="s">
        <v>324</v>
      </c>
      <c r="D3" s="496"/>
      <c r="E3" s="496"/>
      <c r="F3" s="496"/>
      <c r="G3" s="496"/>
      <c r="H3" s="496"/>
      <c r="I3" s="343"/>
      <c r="J3" s="496" t="s">
        <v>325</v>
      </c>
      <c r="K3" s="496"/>
      <c r="L3" s="496"/>
      <c r="M3" s="496"/>
      <c r="N3" s="496"/>
      <c r="O3" s="496"/>
      <c r="P3" s="343"/>
      <c r="Q3" s="497" t="s">
        <v>327</v>
      </c>
      <c r="R3" s="497"/>
      <c r="S3" s="497"/>
      <c r="T3" s="497"/>
      <c r="U3" s="497"/>
      <c r="V3" s="497"/>
      <c r="W3" s="343"/>
      <c r="X3" s="343"/>
      <c r="Y3" s="343"/>
      <c r="Z3" s="343"/>
      <c r="AA3" s="343"/>
      <c r="AB3" s="343"/>
      <c r="AC3" s="358"/>
      <c r="AD3" s="360"/>
      <c r="AE3" s="342"/>
      <c r="AF3" s="496" t="s">
        <v>324</v>
      </c>
      <c r="AG3" s="496"/>
      <c r="AH3" s="496"/>
      <c r="AI3" s="496"/>
      <c r="AJ3" s="496"/>
      <c r="AK3" s="496"/>
      <c r="AL3" s="343"/>
      <c r="AM3" s="496" t="s">
        <v>325</v>
      </c>
      <c r="AN3" s="496"/>
      <c r="AO3" s="496"/>
      <c r="AP3" s="496"/>
      <c r="AQ3" s="496"/>
      <c r="AR3" s="496"/>
      <c r="AS3" s="343"/>
      <c r="AT3" s="497" t="s">
        <v>327</v>
      </c>
      <c r="AU3" s="497"/>
      <c r="AV3" s="497"/>
      <c r="AW3" s="497"/>
      <c r="AX3" s="497"/>
      <c r="AY3" s="497"/>
      <c r="AZ3" s="343"/>
      <c r="BA3" s="343"/>
      <c r="BB3" s="343"/>
      <c r="BC3" s="343"/>
      <c r="BD3" s="343"/>
      <c r="BE3" s="343"/>
      <c r="BF3" s="358"/>
      <c r="BG3" s="360"/>
    </row>
    <row r="4" spans="1:134" ht="18">
      <c r="A4" s="326"/>
      <c r="B4" s="344"/>
      <c r="C4" s="345">
        <f>ano_1</f>
        <v>2026</v>
      </c>
      <c r="D4" s="345">
        <f>C4+1</f>
        <v>2027</v>
      </c>
      <c r="E4" s="345">
        <f t="shared" ref="E4:G4" si="0">D4+1</f>
        <v>2028</v>
      </c>
      <c r="F4" s="345">
        <f t="shared" si="0"/>
        <v>2029</v>
      </c>
      <c r="G4" s="345">
        <f t="shared" si="0"/>
        <v>2030</v>
      </c>
      <c r="H4" s="345" t="s">
        <v>313</v>
      </c>
      <c r="I4" s="346"/>
      <c r="J4" s="345">
        <f>ano_1</f>
        <v>2026</v>
      </c>
      <c r="K4" s="345">
        <f>J4+1</f>
        <v>2027</v>
      </c>
      <c r="L4" s="345">
        <f t="shared" ref="L4:N4" si="1">K4+1</f>
        <v>2028</v>
      </c>
      <c r="M4" s="345">
        <f t="shared" si="1"/>
        <v>2029</v>
      </c>
      <c r="N4" s="345">
        <f t="shared" si="1"/>
        <v>2030</v>
      </c>
      <c r="O4" s="347" t="s">
        <v>313</v>
      </c>
      <c r="P4" s="365"/>
      <c r="Q4" s="345">
        <f>ano_1</f>
        <v>2026</v>
      </c>
      <c r="R4" s="345">
        <f>Q4+1</f>
        <v>2027</v>
      </c>
      <c r="S4" s="345">
        <f t="shared" ref="S4:U4" si="2">R4+1</f>
        <v>2028</v>
      </c>
      <c r="T4" s="345">
        <f t="shared" si="2"/>
        <v>2029</v>
      </c>
      <c r="U4" s="345">
        <f t="shared" si="2"/>
        <v>2030</v>
      </c>
      <c r="V4" s="347" t="s">
        <v>313</v>
      </c>
      <c r="W4" s="365"/>
      <c r="X4" s="365"/>
      <c r="Y4" s="365"/>
      <c r="Z4" s="365"/>
      <c r="AA4" s="365"/>
      <c r="AB4" s="365"/>
      <c r="AC4" s="366"/>
      <c r="AD4" s="367"/>
      <c r="AE4" s="344"/>
      <c r="AF4" s="345">
        <f>ano_1</f>
        <v>2026</v>
      </c>
      <c r="AG4" s="345">
        <f>AF4+1</f>
        <v>2027</v>
      </c>
      <c r="AH4" s="345">
        <f t="shared" ref="AH4:AJ4" si="3">AG4+1</f>
        <v>2028</v>
      </c>
      <c r="AI4" s="345">
        <f t="shared" si="3"/>
        <v>2029</v>
      </c>
      <c r="AJ4" s="345">
        <f t="shared" si="3"/>
        <v>2030</v>
      </c>
      <c r="AK4" s="345" t="s">
        <v>313</v>
      </c>
      <c r="AL4" s="346"/>
      <c r="AM4" s="345">
        <f>ano_1</f>
        <v>2026</v>
      </c>
      <c r="AN4" s="345">
        <f>AM4+1</f>
        <v>2027</v>
      </c>
      <c r="AO4" s="345">
        <f t="shared" ref="AO4:AQ4" si="4">AN4+1</f>
        <v>2028</v>
      </c>
      <c r="AP4" s="345">
        <f t="shared" si="4"/>
        <v>2029</v>
      </c>
      <c r="AQ4" s="345">
        <f t="shared" si="4"/>
        <v>2030</v>
      </c>
      <c r="AR4" s="347" t="s">
        <v>313</v>
      </c>
      <c r="AS4" s="365"/>
      <c r="AT4" s="345">
        <f>ano_1</f>
        <v>2026</v>
      </c>
      <c r="AU4" s="345">
        <f>AT4+1</f>
        <v>2027</v>
      </c>
      <c r="AV4" s="345">
        <f t="shared" ref="AV4:AX4" si="5">AU4+1</f>
        <v>2028</v>
      </c>
      <c r="AW4" s="345">
        <f t="shared" si="5"/>
        <v>2029</v>
      </c>
      <c r="AX4" s="345">
        <f t="shared" si="5"/>
        <v>2030</v>
      </c>
      <c r="AY4" s="347" t="s">
        <v>313</v>
      </c>
      <c r="AZ4" s="365"/>
      <c r="BA4" s="365"/>
      <c r="BB4" s="365"/>
      <c r="BC4" s="365"/>
      <c r="BD4" s="365"/>
      <c r="BE4" s="365"/>
      <c r="BF4" s="366"/>
      <c r="BG4" s="359"/>
    </row>
    <row r="5" spans="1:134" ht="18">
      <c r="A5" s="326"/>
      <c r="B5" s="344"/>
      <c r="C5" s="348">
        <f ca="1">Results!D22</f>
        <v>5487460.7252860991</v>
      </c>
      <c r="D5" s="348">
        <f ca="1">Results!E22</f>
        <v>5467685.6632549856</v>
      </c>
      <c r="E5" s="348">
        <f ca="1">Results!F22</f>
        <v>5446299.9031707607</v>
      </c>
      <c r="F5" s="348">
        <f ca="1">Results!G22</f>
        <v>5420643.1059906445</v>
      </c>
      <c r="G5" s="348">
        <f ca="1">Results!H22</f>
        <v>5388358.501041064</v>
      </c>
      <c r="H5" s="348">
        <f ca="1">SUM(C5:G5)</f>
        <v>27210447.898743555</v>
      </c>
      <c r="I5" s="349"/>
      <c r="J5" s="350">
        <f ca="1">Results!D23</f>
        <v>18482228.121962756</v>
      </c>
      <c r="K5" s="350">
        <f ca="1">Results!E23</f>
        <v>18094422.011623606</v>
      </c>
      <c r="L5" s="350">
        <f ca="1">Results!F23</f>
        <v>17695539.905051354</v>
      </c>
      <c r="M5" s="350">
        <f ca="1">Results!G23</f>
        <v>17257963.443685785</v>
      </c>
      <c r="N5" s="350">
        <f ca="1">Results!H23</f>
        <v>16758504.281983137</v>
      </c>
      <c r="O5" s="348">
        <f ca="1">SUM(J5:N5)</f>
        <v>88288657.764306635</v>
      </c>
      <c r="P5" s="368"/>
      <c r="Q5" s="350">
        <f ca="1">J5-C5</f>
        <v>12994767.396676656</v>
      </c>
      <c r="R5" s="350">
        <f t="shared" ref="R5:U5" ca="1" si="6">K5-D5</f>
        <v>12626736.34836862</v>
      </c>
      <c r="S5" s="350">
        <f t="shared" ca="1" si="6"/>
        <v>12249240.001880594</v>
      </c>
      <c r="T5" s="350">
        <f t="shared" ca="1" si="6"/>
        <v>11837320.33769514</v>
      </c>
      <c r="U5" s="350">
        <f t="shared" ca="1" si="6"/>
        <v>11370145.780942073</v>
      </c>
      <c r="V5" s="350">
        <f ca="1">O5-H5</f>
        <v>61078209.86556308</v>
      </c>
      <c r="W5" s="365"/>
      <c r="X5" s="365"/>
      <c r="Y5" s="365"/>
      <c r="Z5" s="365"/>
      <c r="AA5" s="365"/>
      <c r="AB5" s="365"/>
      <c r="AC5" s="366"/>
      <c r="AD5" s="367"/>
      <c r="AE5" s="344"/>
      <c r="AF5" s="348">
        <f ca="1">Results!D31</f>
        <v>457288.39377384161</v>
      </c>
      <c r="AG5" s="348">
        <f ca="1">Results!E31</f>
        <v>455640.47193791548</v>
      </c>
      <c r="AH5" s="348">
        <f ca="1">Results!F31</f>
        <v>453858.32526423008</v>
      </c>
      <c r="AI5" s="348">
        <f ca="1">Results!G31</f>
        <v>451720.25883255369</v>
      </c>
      <c r="AJ5" s="348">
        <f ca="1">Results!H31</f>
        <v>449029.87508675538</v>
      </c>
      <c r="AK5" s="348">
        <f ca="1">SUM(AF5:AJ5)</f>
        <v>2267537.3248952962</v>
      </c>
      <c r="AL5" s="349"/>
      <c r="AM5" s="350">
        <f ca="1">Results!D32</f>
        <v>13703564.407026112</v>
      </c>
      <c r="AN5" s="350">
        <f ca="1">Results!E32</f>
        <v>13583581.339438243</v>
      </c>
      <c r="AO5" s="350">
        <f ca="1">Results!F32</f>
        <v>13451964.563830804</v>
      </c>
      <c r="AP5" s="350">
        <f ca="1">Results!G32</f>
        <v>13282825.165959314</v>
      </c>
      <c r="AQ5" s="350">
        <f ca="1">Results!H32</f>
        <v>13054007.812517405</v>
      </c>
      <c r="AR5" s="348">
        <f ca="1">SUM(AM5:AQ5)</f>
        <v>67075943.288771883</v>
      </c>
      <c r="AS5" s="368"/>
      <c r="AT5" s="350">
        <f ca="1">AM5-AF5</f>
        <v>13246276.013252271</v>
      </c>
      <c r="AU5" s="350">
        <f t="shared" ref="AU5" ca="1" si="7">AN5-AG5</f>
        <v>13127940.867500328</v>
      </c>
      <c r="AV5" s="350">
        <f t="shared" ref="AV5" ca="1" si="8">AO5-AH5</f>
        <v>12998106.238566574</v>
      </c>
      <c r="AW5" s="350">
        <f t="shared" ref="AW5" ca="1" si="9">AP5-AI5</f>
        <v>12831104.90712676</v>
      </c>
      <c r="AX5" s="350">
        <f t="shared" ref="AX5" ca="1" si="10">AQ5-AJ5</f>
        <v>12604977.93743065</v>
      </c>
      <c r="AY5" s="350">
        <f t="shared" ref="AY5" ca="1" si="11">AR5-AK5</f>
        <v>64808405.96387659</v>
      </c>
      <c r="AZ5" s="365"/>
      <c r="BA5" s="365"/>
      <c r="BB5" s="365"/>
      <c r="BC5" s="365"/>
      <c r="BD5" s="365"/>
      <c r="BE5" s="365"/>
      <c r="BF5" s="366"/>
      <c r="BG5" s="359"/>
    </row>
    <row r="6" spans="1:134" ht="18">
      <c r="A6" s="326"/>
      <c r="B6" s="344"/>
      <c r="C6" s="369"/>
      <c r="D6" s="369"/>
      <c r="E6" s="369"/>
      <c r="F6" s="369"/>
      <c r="G6" s="369"/>
      <c r="H6" s="369"/>
      <c r="I6" s="369"/>
      <c r="J6" s="369"/>
      <c r="K6" s="369"/>
      <c r="L6" s="369"/>
      <c r="M6" s="369"/>
      <c r="N6" s="369"/>
      <c r="O6" s="369"/>
      <c r="P6" s="369"/>
      <c r="Q6" s="369"/>
      <c r="R6" s="369"/>
      <c r="S6" s="369"/>
      <c r="T6" s="369"/>
      <c r="U6" s="369"/>
      <c r="V6" s="369"/>
      <c r="W6" s="365"/>
      <c r="X6" s="365"/>
      <c r="Y6" s="365"/>
      <c r="Z6" s="365"/>
      <c r="AA6" s="365"/>
      <c r="AB6" s="365"/>
      <c r="AC6" s="366"/>
      <c r="AD6" s="367"/>
      <c r="AE6" s="344"/>
      <c r="AF6" s="369"/>
      <c r="AG6" s="369"/>
      <c r="AH6" s="369"/>
      <c r="AI6" s="369"/>
      <c r="AJ6" s="369"/>
      <c r="AK6" s="369"/>
      <c r="AL6" s="369"/>
      <c r="AM6" s="369"/>
      <c r="AN6" s="369"/>
      <c r="AO6" s="369"/>
      <c r="AP6" s="369"/>
      <c r="AQ6" s="369"/>
      <c r="AR6" s="369"/>
      <c r="AS6" s="369"/>
      <c r="AT6" s="369"/>
      <c r="AU6" s="369"/>
      <c r="AV6" s="369"/>
      <c r="AW6" s="369"/>
      <c r="AX6" s="369"/>
      <c r="AY6" s="369"/>
      <c r="AZ6" s="365"/>
      <c r="BA6" s="365"/>
      <c r="BB6" s="365"/>
      <c r="BC6" s="365"/>
      <c r="BD6" s="365"/>
      <c r="BE6" s="365"/>
      <c r="BF6" s="366"/>
      <c r="BG6" s="359"/>
    </row>
    <row r="7" spans="1:134" ht="18">
      <c r="A7" s="326"/>
      <c r="B7" s="351" t="s">
        <v>326</v>
      </c>
      <c r="C7" s="350">
        <f>AVERAGEIF(C16:C1015,"&gt;0")</f>
        <v>5518232.7343454855</v>
      </c>
      <c r="D7" s="350">
        <f t="shared" ref="D7:O7" si="12">AVERAGEIF(D16:D1015,"&gt;0")</f>
        <v>5498346.7797871316</v>
      </c>
      <c r="E7" s="350">
        <f t="shared" si="12"/>
        <v>5476841.0948713757</v>
      </c>
      <c r="F7" s="350">
        <f t="shared" si="12"/>
        <v>5451040.4221840221</v>
      </c>
      <c r="G7" s="350">
        <f t="shared" si="12"/>
        <v>5418574.774999124</v>
      </c>
      <c r="H7" s="350">
        <f t="shared" si="12"/>
        <v>27363035.806187142</v>
      </c>
      <c r="I7" s="369"/>
      <c r="J7" s="350">
        <f>AVERAGEIF(J16:J1015,"&gt;0")</f>
        <v>18530999.978333447</v>
      </c>
      <c r="K7" s="350">
        <f t="shared" si="12"/>
        <v>18141414.64357182</v>
      </c>
      <c r="L7" s="350">
        <f t="shared" si="12"/>
        <v>17740739.51939711</v>
      </c>
      <c r="M7" s="350">
        <f t="shared" si="12"/>
        <v>17301307.778182216</v>
      </c>
      <c r="N7" s="350">
        <f t="shared" si="12"/>
        <v>16799892.270100936</v>
      </c>
      <c r="O7" s="350">
        <f t="shared" si="12"/>
        <v>88514354.189585447</v>
      </c>
      <c r="P7" s="368"/>
      <c r="Q7" s="370">
        <f t="shared" ref="Q7:V7" si="13">AVERAGE(Q16:Q1015)</f>
        <v>13012767.24398795</v>
      </c>
      <c r="R7" s="370">
        <f t="shared" si="13"/>
        <v>12643067.863784686</v>
      </c>
      <c r="S7" s="370">
        <f t="shared" si="13"/>
        <v>12263898.424525749</v>
      </c>
      <c r="T7" s="370">
        <f t="shared" si="13"/>
        <v>11850267.35599819</v>
      </c>
      <c r="U7" s="370">
        <f t="shared" si="13"/>
        <v>11381317.495101839</v>
      </c>
      <c r="V7" s="370">
        <f t="shared" si="13"/>
        <v>61151318.383398429</v>
      </c>
      <c r="W7" s="365"/>
      <c r="X7" s="365"/>
      <c r="Y7" s="365"/>
      <c r="Z7" s="365"/>
      <c r="AA7" s="365"/>
      <c r="AB7" s="365"/>
      <c r="AC7" s="366"/>
      <c r="AD7" s="367"/>
      <c r="AE7" s="351" t="s">
        <v>326</v>
      </c>
      <c r="AF7" s="350">
        <f>AVERAGEIF(AF16:AF1015,"&gt;0")</f>
        <v>464721.40665758366</v>
      </c>
      <c r="AG7" s="350">
        <f t="shared" ref="AG7:AK7" si="14">AVERAGEIF(AG16:AG1015,"&gt;0")</f>
        <v>463046.69860883243</v>
      </c>
      <c r="AH7" s="350">
        <f t="shared" si="14"/>
        <v>461235.58395921218</v>
      </c>
      <c r="AI7" s="350">
        <f t="shared" si="14"/>
        <v>459062.76423934998</v>
      </c>
      <c r="AJ7" s="350">
        <f t="shared" si="14"/>
        <v>456328.64954101248</v>
      </c>
      <c r="AK7" s="350">
        <f t="shared" si="14"/>
        <v>2304395.1030059885</v>
      </c>
      <c r="AL7" s="369"/>
      <c r="AM7" s="350">
        <f>AVERAGEIF(AM16:AM1015,"&gt;0")</f>
        <v>13952680.443274453</v>
      </c>
      <c r="AN7" s="350">
        <f t="shared" ref="AN7:AR7" si="15">AVERAGEIF(AN16:AN1015,"&gt;0")</f>
        <v>13830557.041431783</v>
      </c>
      <c r="AO7" s="350">
        <f t="shared" si="15"/>
        <v>13696587.609569561</v>
      </c>
      <c r="AP7" s="350">
        <f t="shared" si="15"/>
        <v>13524411.282254066</v>
      </c>
      <c r="AQ7" s="350">
        <f t="shared" si="15"/>
        <v>13291468.75687032</v>
      </c>
      <c r="AR7" s="350">
        <f t="shared" si="15"/>
        <v>68295705.133400261</v>
      </c>
      <c r="AS7" s="368"/>
      <c r="AT7" s="370">
        <f t="shared" ref="AT7:AY7" si="16">AVERAGE(AT16:AT1015)</f>
        <v>13487959.036616853</v>
      </c>
      <c r="AU7" s="370">
        <f t="shared" si="16"/>
        <v>13367510.34282298</v>
      </c>
      <c r="AV7" s="370">
        <f t="shared" si="16"/>
        <v>13235352.025610387</v>
      </c>
      <c r="AW7" s="370">
        <f t="shared" si="16"/>
        <v>13065348.518014723</v>
      </c>
      <c r="AX7" s="370">
        <f t="shared" si="16"/>
        <v>12835140.1073293</v>
      </c>
      <c r="AY7" s="370">
        <f t="shared" si="16"/>
        <v>65991310.030394256</v>
      </c>
      <c r="AZ7" s="365"/>
      <c r="BA7" s="365"/>
      <c r="BB7" s="365"/>
      <c r="BC7" s="365"/>
      <c r="BD7" s="365"/>
      <c r="BE7" s="365"/>
      <c r="BF7" s="366"/>
      <c r="BG7" s="359"/>
    </row>
    <row r="8" spans="1:134" ht="18">
      <c r="A8" s="326"/>
      <c r="B8" s="344"/>
      <c r="C8" s="371"/>
      <c r="D8" s="371"/>
      <c r="E8" s="371"/>
      <c r="F8" s="371"/>
      <c r="G8" s="371"/>
      <c r="H8" s="371"/>
      <c r="I8" s="365"/>
      <c r="J8" s="371"/>
      <c r="K8" s="371"/>
      <c r="L8" s="371"/>
      <c r="M8" s="371"/>
      <c r="N8" s="371"/>
      <c r="O8" s="371"/>
      <c r="P8" s="365"/>
      <c r="Q8" s="372">
        <v>0</v>
      </c>
      <c r="R8" s="372">
        <v>0</v>
      </c>
      <c r="S8" s="372">
        <v>0</v>
      </c>
      <c r="T8" s="372">
        <v>0</v>
      </c>
      <c r="U8" s="372">
        <v>0</v>
      </c>
      <c r="V8" s="372">
        <v>0</v>
      </c>
      <c r="W8" s="365"/>
      <c r="X8" s="365"/>
      <c r="Y8" s="365"/>
      <c r="Z8" s="365"/>
      <c r="AA8" s="365"/>
      <c r="AB8" s="365"/>
      <c r="AC8" s="366"/>
      <c r="AD8" s="367"/>
      <c r="AE8" s="344"/>
      <c r="AF8" s="371"/>
      <c r="AG8" s="371"/>
      <c r="AH8" s="371"/>
      <c r="AI8" s="371"/>
      <c r="AJ8" s="371"/>
      <c r="AK8" s="371"/>
      <c r="AL8" s="365"/>
      <c r="AM8" s="371"/>
      <c r="AN8" s="371"/>
      <c r="AO8" s="371"/>
      <c r="AP8" s="371"/>
      <c r="AQ8" s="371"/>
      <c r="AR8" s="371"/>
      <c r="AS8" s="365"/>
      <c r="AT8" s="372">
        <v>0</v>
      </c>
      <c r="AU8" s="372">
        <v>0</v>
      </c>
      <c r="AV8" s="372">
        <v>0</v>
      </c>
      <c r="AW8" s="372">
        <v>0</v>
      </c>
      <c r="AX8" s="372">
        <v>0</v>
      </c>
      <c r="AY8" s="372">
        <v>0</v>
      </c>
      <c r="AZ8" s="365"/>
      <c r="BA8" s="365"/>
      <c r="BB8" s="365"/>
      <c r="BC8" s="365"/>
      <c r="BD8" s="365"/>
      <c r="BE8" s="365"/>
      <c r="BF8" s="366"/>
      <c r="BG8" s="359"/>
    </row>
    <row r="9" spans="1:134" ht="18">
      <c r="A9" s="326"/>
      <c r="B9" s="344"/>
      <c r="C9" s="371"/>
      <c r="D9" s="371"/>
      <c r="E9" s="371"/>
      <c r="F9" s="371"/>
      <c r="G9" s="371"/>
      <c r="H9" s="371"/>
      <c r="I9" s="365"/>
      <c r="J9" s="371"/>
      <c r="K9" s="371"/>
      <c r="L9" s="371"/>
      <c r="M9" s="371"/>
      <c r="N9" s="371"/>
      <c r="O9" s="371"/>
      <c r="P9" s="365"/>
      <c r="Q9" s="370">
        <f t="shared" ref="Q9:V9" si="17">MIN(Q16:Q1015)</f>
        <v>2155433.6338996021</v>
      </c>
      <c r="R9" s="370">
        <f t="shared" si="17"/>
        <v>2079373.0860326684</v>
      </c>
      <c r="S9" s="370">
        <f t="shared" si="17"/>
        <v>2001850.7572988956</v>
      </c>
      <c r="T9" s="370">
        <f t="shared" si="17"/>
        <v>1918740.0993805416</v>
      </c>
      <c r="U9" s="370">
        <f t="shared" si="17"/>
        <v>1826628.1328657013</v>
      </c>
      <c r="V9" s="370">
        <f t="shared" si="17"/>
        <v>9982025.7094774079</v>
      </c>
      <c r="W9" s="365"/>
      <c r="X9" s="365"/>
      <c r="Y9" s="365"/>
      <c r="Z9" s="365"/>
      <c r="AA9" s="365"/>
      <c r="AB9" s="365"/>
      <c r="AC9" s="366"/>
      <c r="AD9" s="367"/>
      <c r="AE9" s="344"/>
      <c r="AF9" s="371"/>
      <c r="AG9" s="371"/>
      <c r="AH9" s="371"/>
      <c r="AI9" s="371"/>
      <c r="AJ9" s="371"/>
      <c r="AK9" s="371"/>
      <c r="AL9" s="365"/>
      <c r="AM9" s="371"/>
      <c r="AN9" s="371"/>
      <c r="AO9" s="371"/>
      <c r="AP9" s="371"/>
      <c r="AQ9" s="371"/>
      <c r="AR9" s="371"/>
      <c r="AS9" s="365"/>
      <c r="AT9" s="370">
        <f t="shared" ref="AT9:AY9" si="18">MIN(AT16:AT1015)</f>
        <v>4196045.0749306707</v>
      </c>
      <c r="AU9" s="370">
        <f t="shared" si="18"/>
        <v>4157929.2643513829</v>
      </c>
      <c r="AV9" s="370">
        <f t="shared" si="18"/>
        <v>4116175.2880693153</v>
      </c>
      <c r="AW9" s="370">
        <f t="shared" si="18"/>
        <v>4062653.053236213</v>
      </c>
      <c r="AX9" s="370">
        <f t="shared" si="18"/>
        <v>3990408.3690570849</v>
      </c>
      <c r="AY9" s="370">
        <f t="shared" si="18"/>
        <v>20523211.049644664</v>
      </c>
      <c r="AZ9" s="365"/>
      <c r="BA9" s="365"/>
      <c r="BB9" s="365"/>
      <c r="BC9" s="365"/>
      <c r="BD9" s="365"/>
      <c r="BE9" s="365"/>
      <c r="BF9" s="366"/>
      <c r="BG9" s="359"/>
    </row>
    <row r="10" spans="1:134" ht="18">
      <c r="A10" s="326"/>
      <c r="B10" s="344"/>
      <c r="C10" s="371"/>
      <c r="D10" s="371"/>
      <c r="E10" s="371"/>
      <c r="F10" s="371"/>
      <c r="G10" s="371"/>
      <c r="H10" s="371"/>
      <c r="I10" s="365"/>
      <c r="J10" s="371"/>
      <c r="K10" s="371"/>
      <c r="L10" s="371"/>
      <c r="M10" s="371"/>
      <c r="N10" s="371"/>
      <c r="O10" s="371"/>
      <c r="P10" s="365"/>
      <c r="Q10" s="370">
        <f t="shared" ref="Q10:V10" si="19">MAX(Q16:Q1015)</f>
        <v>28203283.064635657</v>
      </c>
      <c r="R10" s="370">
        <f t="shared" si="19"/>
        <v>27528087.984987855</v>
      </c>
      <c r="S10" s="370">
        <f t="shared" si="19"/>
        <v>26831459.262035444</v>
      </c>
      <c r="T10" s="370">
        <f t="shared" si="19"/>
        <v>26059120.279485762</v>
      </c>
      <c r="U10" s="370">
        <f t="shared" si="19"/>
        <v>25165510.662404139</v>
      </c>
      <c r="V10" s="370">
        <f t="shared" si="19"/>
        <v>133787461.25354888</v>
      </c>
      <c r="W10" s="365"/>
      <c r="X10" s="365"/>
      <c r="Y10" s="365"/>
      <c r="Z10" s="365"/>
      <c r="AA10" s="365"/>
      <c r="AB10" s="365"/>
      <c r="AC10" s="366"/>
      <c r="AD10" s="367"/>
      <c r="AE10" s="344"/>
      <c r="AF10" s="371"/>
      <c r="AG10" s="371"/>
      <c r="AH10" s="371"/>
      <c r="AI10" s="371"/>
      <c r="AJ10" s="371"/>
      <c r="AK10" s="371"/>
      <c r="AL10" s="365"/>
      <c r="AM10" s="371"/>
      <c r="AN10" s="371"/>
      <c r="AO10" s="371"/>
      <c r="AP10" s="371"/>
      <c r="AQ10" s="371"/>
      <c r="AR10" s="371"/>
      <c r="AS10" s="365"/>
      <c r="AT10" s="370">
        <f t="shared" ref="AT10:AY10" si="20">MAX(AT16:AT1015)</f>
        <v>28243302.372348327</v>
      </c>
      <c r="AU10" s="370">
        <f t="shared" si="20"/>
        <v>28003283.909447286</v>
      </c>
      <c r="AV10" s="370">
        <f t="shared" si="20"/>
        <v>27738658.00852951</v>
      </c>
      <c r="AW10" s="370">
        <f t="shared" si="20"/>
        <v>27394686.989805028</v>
      </c>
      <c r="AX10" s="370">
        <f t="shared" si="20"/>
        <v>26924516.024690535</v>
      </c>
      <c r="AY10" s="370">
        <f t="shared" si="20"/>
        <v>138304447.30482069</v>
      </c>
      <c r="AZ10" s="365"/>
      <c r="BA10" s="365"/>
      <c r="BB10" s="365"/>
      <c r="BC10" s="365"/>
      <c r="BD10" s="365"/>
      <c r="BE10" s="365"/>
      <c r="BF10" s="366"/>
      <c r="BG10" s="359"/>
    </row>
    <row r="11" spans="1:134" ht="18">
      <c r="A11" s="326"/>
      <c r="B11" s="344"/>
      <c r="C11" s="371"/>
      <c r="D11" s="371"/>
      <c r="E11" s="371"/>
      <c r="F11" s="371"/>
      <c r="G11" s="371"/>
      <c r="H11" s="371"/>
      <c r="I11" s="365"/>
      <c r="J11" s="371"/>
      <c r="K11" s="371"/>
      <c r="L11" s="371"/>
      <c r="M11" s="371"/>
      <c r="N11" s="371"/>
      <c r="O11" s="371"/>
      <c r="P11" s="362" t="s">
        <v>323</v>
      </c>
      <c r="Q11" s="357">
        <f t="shared" ref="Q11:V11" si="21">SUM(X16:X1015)/1000</f>
        <v>0</v>
      </c>
      <c r="R11" s="357">
        <f t="shared" si="21"/>
        <v>0</v>
      </c>
      <c r="S11" s="357">
        <f t="shared" si="21"/>
        <v>0</v>
      </c>
      <c r="T11" s="357">
        <f t="shared" si="21"/>
        <v>0</v>
      </c>
      <c r="U11" s="357">
        <f t="shared" si="21"/>
        <v>0</v>
      </c>
      <c r="V11" s="357">
        <f t="shared" si="21"/>
        <v>0</v>
      </c>
      <c r="W11" s="365"/>
      <c r="X11" s="365"/>
      <c r="Y11" s="365"/>
      <c r="Z11" s="365"/>
      <c r="AA11" s="365"/>
      <c r="AB11" s="365"/>
      <c r="AC11" s="366"/>
      <c r="AD11" s="367"/>
      <c r="AE11" s="344"/>
      <c r="AF11" s="371"/>
      <c r="AG11" s="371"/>
      <c r="AH11" s="371"/>
      <c r="AI11" s="371"/>
      <c r="AJ11" s="371"/>
      <c r="AK11" s="371"/>
      <c r="AL11" s="365"/>
      <c r="AM11" s="371"/>
      <c r="AN11" s="371"/>
      <c r="AO11" s="371"/>
      <c r="AP11" s="371"/>
      <c r="AQ11" s="371"/>
      <c r="AR11" s="371"/>
      <c r="AS11" s="362" t="s">
        <v>323</v>
      </c>
      <c r="AT11" s="357">
        <f t="shared" ref="AT11:AY11" si="22">SUM(BA16:BA1015)/1000</f>
        <v>0</v>
      </c>
      <c r="AU11" s="357">
        <f t="shared" si="22"/>
        <v>0</v>
      </c>
      <c r="AV11" s="357">
        <f t="shared" si="22"/>
        <v>0</v>
      </c>
      <c r="AW11" s="357">
        <f t="shared" si="22"/>
        <v>0</v>
      </c>
      <c r="AX11" s="357">
        <f t="shared" si="22"/>
        <v>0</v>
      </c>
      <c r="AY11" s="357">
        <f t="shared" si="22"/>
        <v>0</v>
      </c>
      <c r="AZ11" s="365"/>
      <c r="BA11" s="365"/>
      <c r="BB11" s="365"/>
      <c r="BC11" s="365"/>
      <c r="BD11" s="365"/>
      <c r="BE11" s="365"/>
      <c r="BF11" s="366"/>
      <c r="BG11" s="359"/>
    </row>
    <row r="12" spans="1:134" ht="18">
      <c r="A12" s="326"/>
      <c r="B12" s="344"/>
      <c r="C12" s="371"/>
      <c r="D12" s="371"/>
      <c r="E12" s="371"/>
      <c r="F12" s="371"/>
      <c r="G12" s="371"/>
      <c r="H12" s="371"/>
      <c r="I12" s="365"/>
      <c r="J12" s="371"/>
      <c r="K12" s="371"/>
      <c r="L12" s="371"/>
      <c r="M12" s="371"/>
      <c r="N12" s="371"/>
      <c r="O12" s="371"/>
      <c r="P12" s="362" t="s">
        <v>328</v>
      </c>
      <c r="Q12" s="370">
        <f>_xlfn.STDEV.P(Q16:Q1015)*(-1.96)+Q7</f>
        <v>6452910.3545604581</v>
      </c>
      <c r="R12" s="370">
        <f t="shared" ref="R12:V12" si="23">_xlfn.STDEV.P(R16:R1015)*(-1.96)+R7</f>
        <v>6244405.0079528121</v>
      </c>
      <c r="S12" s="370">
        <f t="shared" si="23"/>
        <v>6030341.4642962413</v>
      </c>
      <c r="T12" s="370">
        <f t="shared" si="23"/>
        <v>5798275.3358281692</v>
      </c>
      <c r="U12" s="370">
        <f t="shared" si="23"/>
        <v>5537828.7375471322</v>
      </c>
      <c r="V12" s="370">
        <f t="shared" si="23"/>
        <v>30069415.869897787</v>
      </c>
      <c r="W12" s="365"/>
      <c r="X12" s="365"/>
      <c r="Y12" s="365"/>
      <c r="Z12" s="365"/>
      <c r="AA12" s="365"/>
      <c r="AB12" s="365"/>
      <c r="AC12" s="366"/>
      <c r="AD12" s="367"/>
      <c r="AE12" s="344"/>
      <c r="AF12" s="371"/>
      <c r="AG12" s="371"/>
      <c r="AH12" s="371"/>
      <c r="AI12" s="371"/>
      <c r="AJ12" s="371"/>
      <c r="AK12" s="371"/>
      <c r="AL12" s="365"/>
      <c r="AM12" s="371"/>
      <c r="AN12" s="371"/>
      <c r="AO12" s="371"/>
      <c r="AP12" s="371"/>
      <c r="AQ12" s="371"/>
      <c r="AR12" s="371"/>
      <c r="AS12" s="362" t="s">
        <v>328</v>
      </c>
      <c r="AT12" s="370">
        <f t="shared" ref="AT12:AY12" si="24">_xlfn.STDEV.P(AT16:AT1015)*(-1.96)+AT7</f>
        <v>7110883.5317353485</v>
      </c>
      <c r="AU12" s="370">
        <f t="shared" si="24"/>
        <v>7045379.1221509874</v>
      </c>
      <c r="AV12" s="370">
        <f t="shared" si="24"/>
        <v>6973709.505430216</v>
      </c>
      <c r="AW12" s="370">
        <f t="shared" si="24"/>
        <v>6882097.5989467772</v>
      </c>
      <c r="AX12" s="370">
        <f t="shared" si="24"/>
        <v>6758760.7034029411</v>
      </c>
      <c r="AY12" s="370">
        <f t="shared" si="24"/>
        <v>34770862.936410792</v>
      </c>
      <c r="AZ12" s="365"/>
      <c r="BA12" s="365"/>
      <c r="BB12" s="365"/>
      <c r="BC12" s="365"/>
      <c r="BD12" s="365"/>
      <c r="BE12" s="365"/>
      <c r="BF12" s="366"/>
      <c r="BG12" s="359"/>
    </row>
    <row r="13" spans="1:134" ht="18">
      <c r="A13" s="326"/>
      <c r="B13" s="344"/>
      <c r="C13" s="371"/>
      <c r="D13" s="371"/>
      <c r="E13" s="371"/>
      <c r="F13" s="371"/>
      <c r="G13" s="371"/>
      <c r="H13" s="371"/>
      <c r="I13" s="365"/>
      <c r="J13" s="371"/>
      <c r="K13" s="349"/>
      <c r="L13" s="349"/>
      <c r="M13" s="349"/>
      <c r="N13" s="349"/>
      <c r="O13" s="349"/>
      <c r="P13" s="362" t="s">
        <v>329</v>
      </c>
      <c r="Q13" s="370">
        <f t="shared" ref="Q13:V13" si="25">(_xlfn.STDEV.P(Q16:Q1015)*(1.96)+Q7)</f>
        <v>19572624.133415442</v>
      </c>
      <c r="R13" s="370">
        <f t="shared" si="25"/>
        <v>19041730.719616558</v>
      </c>
      <c r="S13" s="370">
        <f t="shared" si="25"/>
        <v>18497455.384755258</v>
      </c>
      <c r="T13" s="370">
        <f t="shared" si="25"/>
        <v>17902259.37616821</v>
      </c>
      <c r="U13" s="370">
        <f t="shared" si="25"/>
        <v>17224806.252656545</v>
      </c>
      <c r="V13" s="370">
        <f t="shared" si="25"/>
        <v>92233220.896899074</v>
      </c>
      <c r="W13" s="349"/>
      <c r="X13" s="365"/>
      <c r="Y13" s="365"/>
      <c r="Z13" s="365"/>
      <c r="AA13" s="365"/>
      <c r="AB13" s="365"/>
      <c r="AC13" s="366"/>
      <c r="AD13" s="367"/>
      <c r="AE13" s="344"/>
      <c r="AF13" s="371"/>
      <c r="AG13" s="371"/>
      <c r="AH13" s="371"/>
      <c r="AI13" s="371"/>
      <c r="AJ13" s="371"/>
      <c r="AK13" s="371"/>
      <c r="AL13" s="365"/>
      <c r="AM13" s="371"/>
      <c r="AN13" s="371"/>
      <c r="AO13" s="371"/>
      <c r="AP13" s="371"/>
      <c r="AQ13" s="371"/>
      <c r="AR13" s="371"/>
      <c r="AS13" s="362" t="s">
        <v>329</v>
      </c>
      <c r="AT13" s="370">
        <f t="shared" ref="AT13:AY13" si="26">(_xlfn.STDEV.P(AT16:AT1015)*(1.96)+AT7)</f>
        <v>19865034.541498356</v>
      </c>
      <c r="AU13" s="370">
        <f t="shared" si="26"/>
        <v>19689641.563494973</v>
      </c>
      <c r="AV13" s="370">
        <f t="shared" si="26"/>
        <v>19496994.545790561</v>
      </c>
      <c r="AW13" s="370">
        <f t="shared" si="26"/>
        <v>19248599.437082671</v>
      </c>
      <c r="AX13" s="370">
        <f t="shared" si="26"/>
        <v>18911519.511255659</v>
      </c>
      <c r="AY13" s="370">
        <f t="shared" si="26"/>
        <v>97211757.124377728</v>
      </c>
      <c r="AZ13" s="365"/>
      <c r="BA13" s="365"/>
      <c r="BB13" s="365"/>
      <c r="BC13" s="365"/>
      <c r="BD13" s="365"/>
      <c r="BE13" s="365"/>
      <c r="BF13" s="366"/>
      <c r="BG13" s="359"/>
    </row>
    <row r="14" spans="1:134" ht="18.600000000000001" thickBot="1">
      <c r="A14" s="326"/>
      <c r="B14" s="352"/>
      <c r="C14" s="373"/>
      <c r="D14" s="373"/>
      <c r="E14" s="373"/>
      <c r="F14" s="373"/>
      <c r="G14" s="373"/>
      <c r="H14" s="373"/>
      <c r="I14" s="374"/>
      <c r="J14" s="373"/>
      <c r="K14" s="373"/>
      <c r="L14" s="373"/>
      <c r="M14" s="373"/>
      <c r="N14" s="373"/>
      <c r="O14" s="373"/>
      <c r="P14" s="374"/>
      <c r="Q14" s="374"/>
      <c r="R14" s="374"/>
      <c r="S14" s="374"/>
      <c r="T14" s="374"/>
      <c r="U14" s="374"/>
      <c r="V14" s="374"/>
      <c r="W14" s="374"/>
      <c r="X14" s="374"/>
      <c r="Y14" s="374"/>
      <c r="Z14" s="374"/>
      <c r="AA14" s="374"/>
      <c r="AB14" s="374"/>
      <c r="AC14" s="375"/>
      <c r="AD14" s="376"/>
      <c r="AE14" s="352"/>
      <c r="AF14" s="373"/>
      <c r="AG14" s="373"/>
      <c r="AH14" s="373"/>
      <c r="AI14" s="373"/>
      <c r="AJ14" s="373"/>
      <c r="AK14" s="373"/>
      <c r="AL14" s="374"/>
      <c r="AM14" s="373"/>
      <c r="AN14" s="373"/>
      <c r="AO14" s="373"/>
      <c r="AP14" s="373"/>
      <c r="AQ14" s="373"/>
      <c r="AR14" s="373"/>
      <c r="AS14" s="374"/>
      <c r="AT14" s="374"/>
      <c r="AU14" s="374"/>
      <c r="AV14" s="374"/>
      <c r="AW14" s="374"/>
      <c r="AX14" s="374"/>
      <c r="AY14" s="374"/>
      <c r="AZ14" s="374"/>
      <c r="BA14" s="374"/>
      <c r="BB14" s="374"/>
      <c r="BC14" s="374"/>
      <c r="BD14" s="374"/>
      <c r="BE14" s="374"/>
      <c r="BF14" s="375"/>
      <c r="BG14" s="328"/>
    </row>
    <row r="15" spans="1:134" ht="18">
      <c r="A15" s="326"/>
      <c r="B15" s="332"/>
      <c r="C15" s="371"/>
      <c r="D15" s="371"/>
      <c r="E15" s="371"/>
      <c r="F15" s="371"/>
      <c r="G15" s="371"/>
      <c r="H15" s="371"/>
      <c r="I15" s="365"/>
      <c r="J15" s="371"/>
      <c r="K15" s="371"/>
      <c r="L15" s="371"/>
      <c r="M15" s="371"/>
      <c r="N15" s="371"/>
      <c r="O15" s="371"/>
      <c r="P15" s="365"/>
      <c r="Q15" s="365"/>
      <c r="R15" s="365"/>
      <c r="S15" s="365"/>
      <c r="T15" s="365"/>
      <c r="U15" s="365"/>
      <c r="V15" s="365"/>
      <c r="W15" s="365"/>
      <c r="X15" s="365"/>
      <c r="Y15" s="365"/>
      <c r="Z15" s="365"/>
      <c r="AA15" s="365"/>
      <c r="AB15" s="365"/>
      <c r="AC15" s="365"/>
      <c r="AD15" s="376"/>
      <c r="AE15" s="332"/>
      <c r="AF15" s="371"/>
      <c r="AG15" s="371"/>
      <c r="AH15" s="371"/>
      <c r="AI15" s="371"/>
      <c r="AJ15" s="371"/>
      <c r="AK15" s="371"/>
      <c r="AL15" s="365"/>
      <c r="AM15" s="371"/>
      <c r="AN15" s="371"/>
      <c r="AO15" s="371"/>
      <c r="AP15" s="371"/>
      <c r="AQ15" s="371"/>
      <c r="AR15" s="371"/>
      <c r="AS15" s="365"/>
      <c r="AT15" s="365"/>
      <c r="AU15" s="365"/>
      <c r="AV15" s="365"/>
      <c r="AW15" s="365"/>
      <c r="AX15" s="365"/>
      <c r="AY15" s="365"/>
      <c r="AZ15" s="365"/>
      <c r="BA15" s="365"/>
      <c r="BB15" s="365"/>
      <c r="BC15" s="365"/>
      <c r="BD15" s="365"/>
      <c r="BE15" s="365"/>
      <c r="BF15" s="365"/>
      <c r="BG15" s="328"/>
    </row>
    <row r="16" spans="1:134" ht="18">
      <c r="A16" s="326"/>
      <c r="B16" s="332">
        <v>1</v>
      </c>
      <c r="C16" s="348">
        <v>4306791.3742149808</v>
      </c>
      <c r="D16" s="348">
        <v>4291271.0687688356</v>
      </c>
      <c r="E16" s="348">
        <v>4274486.6193353562</v>
      </c>
      <c r="F16" s="348">
        <v>4254350.079263892</v>
      </c>
      <c r="G16" s="348">
        <v>4229011.755205173</v>
      </c>
      <c r="H16" s="348">
        <v>21355910.896788239</v>
      </c>
      <c r="I16" s="349"/>
      <c r="J16" s="350">
        <v>11973178.548332773</v>
      </c>
      <c r="K16" s="350">
        <v>11687064.235187687</v>
      </c>
      <c r="L16" s="350">
        <v>11394487.01683265</v>
      </c>
      <c r="M16" s="350">
        <v>11078681.809153028</v>
      </c>
      <c r="N16" s="350">
        <v>10725659.907621372</v>
      </c>
      <c r="O16" s="348">
        <v>56859071.517127514</v>
      </c>
      <c r="P16" s="369"/>
      <c r="Q16" s="350">
        <f>J16-C16</f>
        <v>7666387.1741177924</v>
      </c>
      <c r="R16" s="350">
        <f t="shared" ref="R16:V16" si="27">K16-D16</f>
        <v>7395793.1664188514</v>
      </c>
      <c r="S16" s="350">
        <f t="shared" si="27"/>
        <v>7120000.3974972935</v>
      </c>
      <c r="T16" s="350">
        <f t="shared" si="27"/>
        <v>6824331.7298891358</v>
      </c>
      <c r="U16" s="350">
        <f t="shared" si="27"/>
        <v>6496648.1524161994</v>
      </c>
      <c r="V16" s="350">
        <f t="shared" si="27"/>
        <v>35503160.620339274</v>
      </c>
      <c r="W16" s="365"/>
      <c r="X16" s="377">
        <f t="shared" ref="X16:X79" si="28">IF(Q16&lt;Q$8,1,0)</f>
        <v>0</v>
      </c>
      <c r="Y16" s="377">
        <f t="shared" ref="Y16:Y79" si="29">IF(R16&lt;R$8,1,0)</f>
        <v>0</v>
      </c>
      <c r="Z16" s="377">
        <f t="shared" ref="Z16:Z79" si="30">IF(S16&lt;S$8,1,0)</f>
        <v>0</v>
      </c>
      <c r="AA16" s="377">
        <f t="shared" ref="AA16:AA79" si="31">IF(T16&lt;T$8,1,0)</f>
        <v>0</v>
      </c>
      <c r="AB16" s="377">
        <f t="shared" ref="AB16:AB79" si="32">IF(U16&lt;U$8,1,0)</f>
        <v>0</v>
      </c>
      <c r="AC16" s="377">
        <f t="shared" ref="AC16:AC79" si="33">IF(V16&lt;V$8,1,0)</f>
        <v>0</v>
      </c>
      <c r="AD16" s="376"/>
      <c r="AE16" s="332">
        <v>1</v>
      </c>
      <c r="AF16" s="348">
        <v>479194.04020407837</v>
      </c>
      <c r="AG16" s="348">
        <v>477467.17739004322</v>
      </c>
      <c r="AH16" s="348">
        <v>475599.65991873393</v>
      </c>
      <c r="AI16" s="348">
        <v>473359.17294034269</v>
      </c>
      <c r="AJ16" s="348">
        <v>470539.9107976738</v>
      </c>
      <c r="AK16" s="348">
        <v>2376159.9612508719</v>
      </c>
      <c r="AL16" s="349"/>
      <c r="AM16" s="350">
        <v>12594522.925120141</v>
      </c>
      <c r="AN16" s="350">
        <v>12481516.781270009</v>
      </c>
      <c r="AO16" s="350">
        <v>12357874.27197038</v>
      </c>
      <c r="AP16" s="350">
        <v>12199889.975098934</v>
      </c>
      <c r="AQ16" s="350">
        <v>11987282.563206017</v>
      </c>
      <c r="AR16" s="348">
        <v>61621086.516665488</v>
      </c>
      <c r="AS16" s="369"/>
      <c r="AT16" s="350">
        <f>AM16-AF16</f>
        <v>12115328.884916063</v>
      </c>
      <c r="AU16" s="350">
        <f t="shared" ref="AU16:AU79" si="34">AN16-AG16</f>
        <v>12004049.603879966</v>
      </c>
      <c r="AV16" s="350">
        <f t="shared" ref="AV16:AV79" si="35">AO16-AH16</f>
        <v>11882274.612051645</v>
      </c>
      <c r="AW16" s="350">
        <f t="shared" ref="AW16:AW79" si="36">AP16-AI16</f>
        <v>11726530.80215859</v>
      </c>
      <c r="AX16" s="350">
        <f t="shared" ref="AX16:AX79" si="37">AQ16-AJ16</f>
        <v>11516742.652408343</v>
      </c>
      <c r="AY16" s="350">
        <f t="shared" ref="AY16:AY79" si="38">AR16-AK16</f>
        <v>59244926.555414617</v>
      </c>
      <c r="AZ16" s="365"/>
      <c r="BA16" s="377">
        <f>IF(AT16&lt;AT$8,1,0)</f>
        <v>0</v>
      </c>
      <c r="BB16" s="377">
        <f t="shared" ref="BB16:BB79" si="39">IF(AU16&lt;AU$8,1,0)</f>
        <v>0</v>
      </c>
      <c r="BC16" s="377">
        <f t="shared" ref="BC16:BC79" si="40">IF(AV16&lt;AV$8,1,0)</f>
        <v>0</v>
      </c>
      <c r="BD16" s="377">
        <f t="shared" ref="BD16:BD79" si="41">IF(AW16&lt;AW$8,1,0)</f>
        <v>0</v>
      </c>
      <c r="BE16" s="377">
        <f t="shared" ref="BE16:BE79" si="42">IF(AX16&lt;AX$8,1,0)</f>
        <v>0</v>
      </c>
      <c r="BF16" s="377">
        <f t="shared" ref="BF16:BF79" si="43">IF(AY16&lt;AY$8,1,0)</f>
        <v>0</v>
      </c>
      <c r="BG16" s="328"/>
    </row>
    <row r="17" spans="2:59">
      <c r="B17" s="332">
        <v>2</v>
      </c>
      <c r="C17" s="350">
        <v>6136903.7580740899</v>
      </c>
      <c r="D17" s="350">
        <v>6114788.3100426048</v>
      </c>
      <c r="E17" s="350">
        <v>6090871.5372399511</v>
      </c>
      <c r="F17" s="350">
        <v>6062178.2485009059</v>
      </c>
      <c r="G17" s="350">
        <v>6026072.7484596856</v>
      </c>
      <c r="H17" s="348">
        <v>30430814.602317236</v>
      </c>
      <c r="I17" s="369"/>
      <c r="J17" s="350">
        <v>24741257.211858258</v>
      </c>
      <c r="K17" s="350">
        <v>24278208.238159828</v>
      </c>
      <c r="L17" s="350">
        <v>23799187.046028174</v>
      </c>
      <c r="M17" s="350">
        <v>23265410.83556395</v>
      </c>
      <c r="N17" s="350">
        <v>22644177.339679085</v>
      </c>
      <c r="O17" s="348">
        <v>118728240.67128929</v>
      </c>
      <c r="P17" s="369"/>
      <c r="Q17" s="350">
        <f t="shared" ref="Q17:Q80" si="44">J17-C17</f>
        <v>18604353.453784168</v>
      </c>
      <c r="R17" s="350">
        <f t="shared" ref="R17:R80" si="45">K17-D17</f>
        <v>18163419.928117223</v>
      </c>
      <c r="S17" s="350">
        <f t="shared" ref="S17:S80" si="46">L17-E17</f>
        <v>17708315.508788224</v>
      </c>
      <c r="T17" s="350">
        <f t="shared" ref="T17:T80" si="47">M17-F17</f>
        <v>17203232.587063044</v>
      </c>
      <c r="U17" s="350">
        <f t="shared" ref="U17:U80" si="48">N17-G17</f>
        <v>16618104.591219399</v>
      </c>
      <c r="V17" s="350">
        <f t="shared" ref="V17:V80" si="49">O17-H17</f>
        <v>88297426.068972051</v>
      </c>
      <c r="W17" s="365"/>
      <c r="X17" s="377">
        <f t="shared" si="28"/>
        <v>0</v>
      </c>
      <c r="Y17" s="377">
        <f t="shared" si="29"/>
        <v>0</v>
      </c>
      <c r="Z17" s="377">
        <f t="shared" si="30"/>
        <v>0</v>
      </c>
      <c r="AA17" s="377">
        <f t="shared" si="31"/>
        <v>0</v>
      </c>
      <c r="AB17" s="377">
        <f t="shared" si="32"/>
        <v>0</v>
      </c>
      <c r="AC17" s="377">
        <f t="shared" si="33"/>
        <v>0</v>
      </c>
      <c r="AD17" s="376"/>
      <c r="AE17" s="332">
        <v>2</v>
      </c>
      <c r="AF17" s="350">
        <v>530092.85237115482</v>
      </c>
      <c r="AG17" s="350">
        <v>528182.56643697293</v>
      </c>
      <c r="AH17" s="350">
        <v>526116.68585382216</v>
      </c>
      <c r="AI17" s="350">
        <v>523638.21986002533</v>
      </c>
      <c r="AJ17" s="350">
        <v>520519.50262774719</v>
      </c>
      <c r="AK17" s="348">
        <v>2628549.8271497223</v>
      </c>
      <c r="AL17" s="369"/>
      <c r="AM17" s="350">
        <v>11709416.036538525</v>
      </c>
      <c r="AN17" s="350">
        <v>11600427.662270145</v>
      </c>
      <c r="AO17" s="350">
        <v>11481630.543560654</v>
      </c>
      <c r="AP17" s="350">
        <v>11331111.937967343</v>
      </c>
      <c r="AQ17" s="350">
        <v>11130132.047725651</v>
      </c>
      <c r="AR17" s="348">
        <v>57252718.228062317</v>
      </c>
      <c r="AS17" s="369"/>
      <c r="AT17" s="350">
        <f t="shared" ref="AT17:AT80" si="50">AM17-AF17</f>
        <v>11179323.18416737</v>
      </c>
      <c r="AU17" s="350">
        <f t="shared" si="34"/>
        <v>11072245.095833173</v>
      </c>
      <c r="AV17" s="350">
        <f t="shared" si="35"/>
        <v>10955513.857706832</v>
      </c>
      <c r="AW17" s="350">
        <f t="shared" si="36"/>
        <v>10807473.718107319</v>
      </c>
      <c r="AX17" s="350">
        <f t="shared" si="37"/>
        <v>10609612.545097904</v>
      </c>
      <c r="AY17" s="350">
        <f t="shared" si="38"/>
        <v>54624168.400912598</v>
      </c>
      <c r="AZ17" s="365"/>
      <c r="BA17" s="377">
        <f t="shared" ref="BA17:BA79" si="51">IF(AT17&lt;AT$8,1,0)</f>
        <v>0</v>
      </c>
      <c r="BB17" s="377">
        <f t="shared" si="39"/>
        <v>0</v>
      </c>
      <c r="BC17" s="377">
        <f t="shared" si="40"/>
        <v>0</v>
      </c>
      <c r="BD17" s="377">
        <f t="shared" si="41"/>
        <v>0</v>
      </c>
      <c r="BE17" s="377">
        <f t="shared" si="42"/>
        <v>0</v>
      </c>
      <c r="BF17" s="377">
        <f t="shared" si="43"/>
        <v>0</v>
      </c>
      <c r="BG17" s="328"/>
    </row>
    <row r="18" spans="2:59">
      <c r="B18" s="332">
        <v>3</v>
      </c>
      <c r="C18" s="350">
        <v>6411882.3271425385</v>
      </c>
      <c r="D18" s="350">
        <v>6388775.9438619874</v>
      </c>
      <c r="E18" s="350">
        <v>6363787.5231695715</v>
      </c>
      <c r="F18" s="350">
        <v>6333808.5633836305</v>
      </c>
      <c r="G18" s="350">
        <v>6296085.2705387063</v>
      </c>
      <c r="H18" s="348">
        <v>31794339.628096435</v>
      </c>
      <c r="I18" s="369"/>
      <c r="J18" s="350">
        <v>25836234.618556079</v>
      </c>
      <c r="K18" s="350">
        <v>25352535.751474276</v>
      </c>
      <c r="L18" s="350">
        <v>24852160.980337221</v>
      </c>
      <c r="M18" s="350">
        <v>24294616.149070565</v>
      </c>
      <c r="N18" s="350">
        <v>23645756.321635321</v>
      </c>
      <c r="O18" s="348">
        <v>123981303.82107346</v>
      </c>
      <c r="P18" s="369"/>
      <c r="Q18" s="350">
        <f t="shared" si="44"/>
        <v>19424352.291413538</v>
      </c>
      <c r="R18" s="350">
        <f t="shared" si="45"/>
        <v>18963759.807612289</v>
      </c>
      <c r="S18" s="350">
        <f t="shared" si="46"/>
        <v>18488373.457167648</v>
      </c>
      <c r="T18" s="350">
        <f t="shared" si="47"/>
        <v>17960807.585686933</v>
      </c>
      <c r="U18" s="350">
        <f t="shared" si="48"/>
        <v>17349671.051096614</v>
      </c>
      <c r="V18" s="350">
        <f t="shared" si="49"/>
        <v>92186964.192977026</v>
      </c>
      <c r="W18" s="365"/>
      <c r="X18" s="377">
        <f t="shared" si="28"/>
        <v>0</v>
      </c>
      <c r="Y18" s="377">
        <f t="shared" si="29"/>
        <v>0</v>
      </c>
      <c r="Z18" s="377">
        <f t="shared" si="30"/>
        <v>0</v>
      </c>
      <c r="AA18" s="377">
        <f t="shared" si="31"/>
        <v>0</v>
      </c>
      <c r="AB18" s="377">
        <f t="shared" si="32"/>
        <v>0</v>
      </c>
      <c r="AC18" s="377">
        <f t="shared" si="33"/>
        <v>0</v>
      </c>
      <c r="AD18" s="376"/>
      <c r="AE18" s="332">
        <v>3</v>
      </c>
      <c r="AF18" s="350">
        <v>372155.32344053796</v>
      </c>
      <c r="AG18" s="350">
        <v>370814.19409589702</v>
      </c>
      <c r="AH18" s="350">
        <v>369363.8284605692</v>
      </c>
      <c r="AI18" s="350">
        <v>367623.80440736428</v>
      </c>
      <c r="AJ18" s="350">
        <v>365434.2875800645</v>
      </c>
      <c r="AK18" s="348">
        <v>1845391.437984433</v>
      </c>
      <c r="AL18" s="369"/>
      <c r="AM18" s="350">
        <v>14935284.992300883</v>
      </c>
      <c r="AN18" s="350">
        <v>14810374.327767143</v>
      </c>
      <c r="AO18" s="350">
        <v>14672664.68247986</v>
      </c>
      <c r="AP18" s="350">
        <v>14493751.006738499</v>
      </c>
      <c r="AQ18" s="350">
        <v>14249313.111800179</v>
      </c>
      <c r="AR18" s="348">
        <v>73161388.121086568</v>
      </c>
      <c r="AS18" s="369"/>
      <c r="AT18" s="350">
        <f t="shared" si="50"/>
        <v>14563129.668860344</v>
      </c>
      <c r="AU18" s="350">
        <f t="shared" si="34"/>
        <v>14439560.133671246</v>
      </c>
      <c r="AV18" s="350">
        <f t="shared" si="35"/>
        <v>14303300.854019292</v>
      </c>
      <c r="AW18" s="350">
        <f t="shared" si="36"/>
        <v>14126127.202331135</v>
      </c>
      <c r="AX18" s="350">
        <f t="shared" si="37"/>
        <v>13883878.824220113</v>
      </c>
      <c r="AY18" s="350">
        <f t="shared" si="38"/>
        <v>71315996.683102131</v>
      </c>
      <c r="AZ18" s="365"/>
      <c r="BA18" s="377">
        <f t="shared" si="51"/>
        <v>0</v>
      </c>
      <c r="BB18" s="377">
        <f t="shared" si="39"/>
        <v>0</v>
      </c>
      <c r="BC18" s="377">
        <f t="shared" si="40"/>
        <v>0</v>
      </c>
      <c r="BD18" s="377">
        <f t="shared" si="41"/>
        <v>0</v>
      </c>
      <c r="BE18" s="377">
        <f t="shared" si="42"/>
        <v>0</v>
      </c>
      <c r="BF18" s="377">
        <f t="shared" si="43"/>
        <v>0</v>
      </c>
      <c r="BG18" s="328"/>
    </row>
    <row r="19" spans="2:59">
      <c r="B19" s="332">
        <v>4</v>
      </c>
      <c r="C19" s="350">
        <v>3356736.2914382713</v>
      </c>
      <c r="D19" s="350">
        <v>3344639.6821487676</v>
      </c>
      <c r="E19" s="350">
        <v>3331557.7922567963</v>
      </c>
      <c r="F19" s="350">
        <v>3315863.2649466116</v>
      </c>
      <c r="G19" s="350">
        <v>3296114.4393031527</v>
      </c>
      <c r="H19" s="348">
        <v>16644911.470093599</v>
      </c>
      <c r="I19" s="369"/>
      <c r="J19" s="350">
        <v>14786118.660308197</v>
      </c>
      <c r="K19" s="350">
        <v>14523809.523293981</v>
      </c>
      <c r="L19" s="350">
        <v>14251660.393564818</v>
      </c>
      <c r="M19" s="350">
        <v>13946027.697449902</v>
      </c>
      <c r="N19" s="350">
        <v>13586940.416969825</v>
      </c>
      <c r="O19" s="348">
        <v>71094556.691586718</v>
      </c>
      <c r="P19" s="369"/>
      <c r="Q19" s="350">
        <f t="shared" si="44"/>
        <v>11429382.368869927</v>
      </c>
      <c r="R19" s="350">
        <f t="shared" si="45"/>
        <v>11179169.841145214</v>
      </c>
      <c r="S19" s="350">
        <f t="shared" si="46"/>
        <v>10920102.601308022</v>
      </c>
      <c r="T19" s="350">
        <f t="shared" si="47"/>
        <v>10630164.43250329</v>
      </c>
      <c r="U19" s="350">
        <f t="shared" si="48"/>
        <v>10290825.977666672</v>
      </c>
      <c r="V19" s="350">
        <f t="shared" si="49"/>
        <v>54449645.221493118</v>
      </c>
      <c r="W19" s="365"/>
      <c r="X19" s="377">
        <f t="shared" si="28"/>
        <v>0</v>
      </c>
      <c r="Y19" s="377">
        <f t="shared" si="29"/>
        <v>0</v>
      </c>
      <c r="Z19" s="377">
        <f t="shared" si="30"/>
        <v>0</v>
      </c>
      <c r="AA19" s="377">
        <f t="shared" si="31"/>
        <v>0</v>
      </c>
      <c r="AB19" s="377">
        <f t="shared" si="32"/>
        <v>0</v>
      </c>
      <c r="AC19" s="377">
        <f t="shared" si="33"/>
        <v>0</v>
      </c>
      <c r="AD19" s="376"/>
      <c r="AE19" s="332">
        <v>4</v>
      </c>
      <c r="AF19" s="350">
        <v>573055.70930133876</v>
      </c>
      <c r="AG19" s="350">
        <v>570990.59890401084</v>
      </c>
      <c r="AH19" s="350">
        <v>568757.28325447149</v>
      </c>
      <c r="AI19" s="350">
        <v>566077.94305642636</v>
      </c>
      <c r="AJ19" s="350">
        <v>562706.46066865395</v>
      </c>
      <c r="AK19" s="348">
        <v>2841587.9951849012</v>
      </c>
      <c r="AL19" s="369"/>
      <c r="AM19" s="350">
        <v>19193730.288271096</v>
      </c>
      <c r="AN19" s="350">
        <v>19028806.422363754</v>
      </c>
      <c r="AO19" s="350">
        <v>18847524.051882923</v>
      </c>
      <c r="AP19" s="350">
        <v>18613521.13072928</v>
      </c>
      <c r="AQ19" s="350">
        <v>18295673.391550157</v>
      </c>
      <c r="AR19" s="348">
        <v>93979255.284797207</v>
      </c>
      <c r="AS19" s="369"/>
      <c r="AT19" s="350">
        <f t="shared" si="50"/>
        <v>18620674.578969758</v>
      </c>
      <c r="AU19" s="350">
        <f t="shared" si="34"/>
        <v>18457815.823459744</v>
      </c>
      <c r="AV19" s="350">
        <f t="shared" si="35"/>
        <v>18278766.768628452</v>
      </c>
      <c r="AW19" s="350">
        <f t="shared" si="36"/>
        <v>18047443.187672853</v>
      </c>
      <c r="AX19" s="350">
        <f t="shared" si="37"/>
        <v>17732966.930881504</v>
      </c>
      <c r="AY19" s="350">
        <f t="shared" si="38"/>
        <v>91137667.289612308</v>
      </c>
      <c r="AZ19" s="365"/>
      <c r="BA19" s="377">
        <f t="shared" si="51"/>
        <v>0</v>
      </c>
      <c r="BB19" s="377">
        <f t="shared" si="39"/>
        <v>0</v>
      </c>
      <c r="BC19" s="377">
        <f t="shared" si="40"/>
        <v>0</v>
      </c>
      <c r="BD19" s="377">
        <f t="shared" si="41"/>
        <v>0</v>
      </c>
      <c r="BE19" s="377">
        <f t="shared" si="42"/>
        <v>0</v>
      </c>
      <c r="BF19" s="377">
        <f t="shared" si="43"/>
        <v>0</v>
      </c>
      <c r="BG19" s="328"/>
    </row>
    <row r="20" spans="2:59">
      <c r="B20" s="332">
        <v>5</v>
      </c>
      <c r="C20" s="350">
        <v>4593331.960440319</v>
      </c>
      <c r="D20" s="350">
        <v>4576779.0539149661</v>
      </c>
      <c r="E20" s="350">
        <v>4558877.8970391583</v>
      </c>
      <c r="F20" s="350">
        <v>4537401.6273417892</v>
      </c>
      <c r="G20" s="350">
        <v>4510377.4871849846</v>
      </c>
      <c r="H20" s="348">
        <v>22776768.025921218</v>
      </c>
      <c r="I20" s="369"/>
      <c r="J20" s="350">
        <v>17536416.754605021</v>
      </c>
      <c r="K20" s="350">
        <v>17196911.733316131</v>
      </c>
      <c r="L20" s="350">
        <v>16846316.458103679</v>
      </c>
      <c r="M20" s="350">
        <v>16457506.903407797</v>
      </c>
      <c r="N20" s="350">
        <v>16007638.602330707</v>
      </c>
      <c r="O20" s="348">
        <v>84044790.451763332</v>
      </c>
      <c r="P20" s="369"/>
      <c r="Q20" s="350">
        <f t="shared" si="44"/>
        <v>12943084.794164702</v>
      </c>
      <c r="R20" s="350">
        <f t="shared" si="45"/>
        <v>12620132.679401165</v>
      </c>
      <c r="S20" s="350">
        <f t="shared" si="46"/>
        <v>12287438.561064521</v>
      </c>
      <c r="T20" s="350">
        <f t="shared" si="47"/>
        <v>11920105.276066009</v>
      </c>
      <c r="U20" s="350">
        <f t="shared" si="48"/>
        <v>11497261.115145722</v>
      </c>
      <c r="V20" s="350">
        <f t="shared" si="49"/>
        <v>61268022.425842114</v>
      </c>
      <c r="W20" s="365"/>
      <c r="X20" s="377">
        <f t="shared" si="28"/>
        <v>0</v>
      </c>
      <c r="Y20" s="377">
        <f t="shared" si="29"/>
        <v>0</v>
      </c>
      <c r="Z20" s="377">
        <f t="shared" si="30"/>
        <v>0</v>
      </c>
      <c r="AA20" s="377">
        <f t="shared" si="31"/>
        <v>0</v>
      </c>
      <c r="AB20" s="377">
        <f t="shared" si="32"/>
        <v>0</v>
      </c>
      <c r="AC20" s="377">
        <f t="shared" si="33"/>
        <v>0</v>
      </c>
      <c r="AD20" s="376"/>
      <c r="AE20" s="332">
        <v>5</v>
      </c>
      <c r="AF20" s="350">
        <v>499832.45639057271</v>
      </c>
      <c r="AG20" s="350">
        <v>498031.21929292189</v>
      </c>
      <c r="AH20" s="350">
        <v>496083.2696801945</v>
      </c>
      <c r="AI20" s="350">
        <v>493746.28713040432</v>
      </c>
      <c r="AJ20" s="350">
        <v>490805.60213904042</v>
      </c>
      <c r="AK20" s="348">
        <v>2478498.8346331338</v>
      </c>
      <c r="AL20" s="369"/>
      <c r="AM20" s="350">
        <v>16062672.181073403</v>
      </c>
      <c r="AN20" s="350">
        <v>15923712.278386246</v>
      </c>
      <c r="AO20" s="350">
        <v>15771081.614654355</v>
      </c>
      <c r="AP20" s="350">
        <v>15574380.212398272</v>
      </c>
      <c r="AQ20" s="350">
        <v>15307588.919562843</v>
      </c>
      <c r="AR20" s="348">
        <v>78639435.206075117</v>
      </c>
      <c r="AS20" s="369"/>
      <c r="AT20" s="350">
        <f t="shared" si="50"/>
        <v>15562839.72468283</v>
      </c>
      <c r="AU20" s="350">
        <f t="shared" si="34"/>
        <v>15425681.059093324</v>
      </c>
      <c r="AV20" s="350">
        <f t="shared" si="35"/>
        <v>15274998.34497416</v>
      </c>
      <c r="AW20" s="350">
        <f t="shared" si="36"/>
        <v>15080633.925267868</v>
      </c>
      <c r="AX20" s="350">
        <f t="shared" si="37"/>
        <v>14816783.317423802</v>
      </c>
      <c r="AY20" s="350">
        <f t="shared" si="38"/>
        <v>76160936.37144199</v>
      </c>
      <c r="AZ20" s="365"/>
      <c r="BA20" s="377">
        <f t="shared" si="51"/>
        <v>0</v>
      </c>
      <c r="BB20" s="377">
        <f t="shared" si="39"/>
        <v>0</v>
      </c>
      <c r="BC20" s="377">
        <f t="shared" si="40"/>
        <v>0</v>
      </c>
      <c r="BD20" s="377">
        <f t="shared" si="41"/>
        <v>0</v>
      </c>
      <c r="BE20" s="377">
        <f t="shared" si="42"/>
        <v>0</v>
      </c>
      <c r="BF20" s="377">
        <f t="shared" si="43"/>
        <v>0</v>
      </c>
      <c r="BG20" s="328"/>
    </row>
    <row r="21" spans="2:59">
      <c r="B21" s="332">
        <v>6</v>
      </c>
      <c r="C21" s="350">
        <v>5117757.6050891615</v>
      </c>
      <c r="D21" s="350">
        <v>5099314.8354426296</v>
      </c>
      <c r="E21" s="350">
        <v>5079369.8842546744</v>
      </c>
      <c r="F21" s="350">
        <v>5055441.64577349</v>
      </c>
      <c r="G21" s="350">
        <v>5025332.1305023097</v>
      </c>
      <c r="H21" s="348">
        <v>25377216.101062264</v>
      </c>
      <c r="I21" s="369"/>
      <c r="J21" s="350">
        <v>20075192.416957691</v>
      </c>
      <c r="K21" s="350">
        <v>19693058.09754958</v>
      </c>
      <c r="L21" s="350">
        <v>19298094.802825172</v>
      </c>
      <c r="M21" s="350">
        <v>18859041.09951615</v>
      </c>
      <c r="N21" s="350">
        <v>18349552.146056898</v>
      </c>
      <c r="O21" s="348">
        <v>96274938.56290549</v>
      </c>
      <c r="P21" s="369"/>
      <c r="Q21" s="350">
        <f t="shared" si="44"/>
        <v>14957434.81186853</v>
      </c>
      <c r="R21" s="350">
        <f t="shared" si="45"/>
        <v>14593743.262106951</v>
      </c>
      <c r="S21" s="350">
        <f t="shared" si="46"/>
        <v>14218724.918570496</v>
      </c>
      <c r="T21" s="350">
        <f t="shared" si="47"/>
        <v>13803599.453742661</v>
      </c>
      <c r="U21" s="350">
        <f t="shared" si="48"/>
        <v>13324220.015554588</v>
      </c>
      <c r="V21" s="350">
        <f t="shared" si="49"/>
        <v>70897722.461843222</v>
      </c>
      <c r="W21" s="365"/>
      <c r="X21" s="377">
        <f t="shared" si="28"/>
        <v>0</v>
      </c>
      <c r="Y21" s="377">
        <f t="shared" si="29"/>
        <v>0</v>
      </c>
      <c r="Z21" s="377">
        <f t="shared" si="30"/>
        <v>0</v>
      </c>
      <c r="AA21" s="377">
        <f t="shared" si="31"/>
        <v>0</v>
      </c>
      <c r="AB21" s="377">
        <f t="shared" si="32"/>
        <v>0</v>
      </c>
      <c r="AC21" s="377">
        <f t="shared" si="33"/>
        <v>0</v>
      </c>
      <c r="AD21" s="376"/>
      <c r="AE21" s="332">
        <v>6</v>
      </c>
      <c r="AF21" s="350">
        <v>566834.74547396507</v>
      </c>
      <c r="AG21" s="350">
        <v>564792.0534504056</v>
      </c>
      <c r="AH21" s="350">
        <v>562582.98217300221</v>
      </c>
      <c r="AI21" s="350">
        <v>559932.72828922397</v>
      </c>
      <c r="AJ21" s="350">
        <v>556597.84595557989</v>
      </c>
      <c r="AK21" s="348">
        <v>2810740.3553421772</v>
      </c>
      <c r="AL21" s="369"/>
      <c r="AM21" s="350">
        <v>15635740.715198968</v>
      </c>
      <c r="AN21" s="350">
        <v>15496749.203241711</v>
      </c>
      <c r="AO21" s="350">
        <v>15344526.352318343</v>
      </c>
      <c r="AP21" s="350">
        <v>15149600.494877959</v>
      </c>
      <c r="AQ21" s="350">
        <v>14886754.368976278</v>
      </c>
      <c r="AR21" s="348">
        <v>76513371.134613246</v>
      </c>
      <c r="AS21" s="369"/>
      <c r="AT21" s="350">
        <f t="shared" si="50"/>
        <v>15068905.969725002</v>
      </c>
      <c r="AU21" s="350">
        <f t="shared" si="34"/>
        <v>14931957.149791306</v>
      </c>
      <c r="AV21" s="350">
        <f t="shared" si="35"/>
        <v>14781943.370145341</v>
      </c>
      <c r="AW21" s="350">
        <f t="shared" si="36"/>
        <v>14589667.766588734</v>
      </c>
      <c r="AX21" s="350">
        <f t="shared" si="37"/>
        <v>14330156.523020698</v>
      </c>
      <c r="AY21" s="350">
        <f t="shared" si="38"/>
        <v>73702630.779271066</v>
      </c>
      <c r="AZ21" s="365"/>
      <c r="BA21" s="377">
        <f t="shared" si="51"/>
        <v>0</v>
      </c>
      <c r="BB21" s="377">
        <f t="shared" si="39"/>
        <v>0</v>
      </c>
      <c r="BC21" s="377">
        <f t="shared" si="40"/>
        <v>0</v>
      </c>
      <c r="BD21" s="377">
        <f t="shared" si="41"/>
        <v>0</v>
      </c>
      <c r="BE21" s="377">
        <f t="shared" si="42"/>
        <v>0</v>
      </c>
      <c r="BF21" s="377">
        <f t="shared" si="43"/>
        <v>0</v>
      </c>
      <c r="BG21" s="328"/>
    </row>
    <row r="22" spans="2:59">
      <c r="B22" s="332">
        <v>7</v>
      </c>
      <c r="C22" s="350">
        <v>4251719.1208207086</v>
      </c>
      <c r="D22" s="350">
        <v>4236397.2782486668</v>
      </c>
      <c r="E22" s="350">
        <v>4219827.4566835845</v>
      </c>
      <c r="F22" s="350">
        <v>4199948.4086847417</v>
      </c>
      <c r="G22" s="350">
        <v>4174934.0934952497</v>
      </c>
      <c r="H22" s="348">
        <v>21082826.357932951</v>
      </c>
      <c r="I22" s="369"/>
      <c r="J22" s="350">
        <v>13881983.160128705</v>
      </c>
      <c r="K22" s="350">
        <v>13584666.548118282</v>
      </c>
      <c r="L22" s="350">
        <v>13279154.018242804</v>
      </c>
      <c r="M22" s="350">
        <v>12944896.3849447</v>
      </c>
      <c r="N22" s="350">
        <v>12564655.667788828</v>
      </c>
      <c r="O22" s="348">
        <v>66255355.779223315</v>
      </c>
      <c r="P22" s="369"/>
      <c r="Q22" s="350">
        <f t="shared" si="44"/>
        <v>9630264.0393079966</v>
      </c>
      <c r="R22" s="350">
        <f t="shared" si="45"/>
        <v>9348269.2698696144</v>
      </c>
      <c r="S22" s="350">
        <f t="shared" si="46"/>
        <v>9059326.5615592189</v>
      </c>
      <c r="T22" s="350">
        <f t="shared" si="47"/>
        <v>8744947.976259958</v>
      </c>
      <c r="U22" s="350">
        <f t="shared" si="48"/>
        <v>8389721.574293578</v>
      </c>
      <c r="V22" s="350">
        <f t="shared" si="49"/>
        <v>45172529.421290368</v>
      </c>
      <c r="W22" s="365"/>
      <c r="X22" s="377">
        <f t="shared" si="28"/>
        <v>0</v>
      </c>
      <c r="Y22" s="377">
        <f t="shared" si="29"/>
        <v>0</v>
      </c>
      <c r="Z22" s="377">
        <f t="shared" si="30"/>
        <v>0</v>
      </c>
      <c r="AA22" s="377">
        <f t="shared" si="31"/>
        <v>0</v>
      </c>
      <c r="AB22" s="377">
        <f t="shared" si="32"/>
        <v>0</v>
      </c>
      <c r="AC22" s="377">
        <f t="shared" si="33"/>
        <v>0</v>
      </c>
      <c r="AD22" s="376"/>
      <c r="AE22" s="332">
        <v>7</v>
      </c>
      <c r="AF22" s="350">
        <v>502209.6251078354</v>
      </c>
      <c r="AG22" s="350">
        <v>500399.82145067811</v>
      </c>
      <c r="AH22" s="350">
        <v>498442.60752383317</v>
      </c>
      <c r="AI22" s="350">
        <v>496094.51044608641</v>
      </c>
      <c r="AJ22" s="350">
        <v>493139.83975955716</v>
      </c>
      <c r="AK22" s="348">
        <v>2490286.4042879902</v>
      </c>
      <c r="AL22" s="369"/>
      <c r="AM22" s="350">
        <v>17352394.980816133</v>
      </c>
      <c r="AN22" s="350">
        <v>17204029.285238702</v>
      </c>
      <c r="AO22" s="350">
        <v>17040859.38937185</v>
      </c>
      <c r="AP22" s="350">
        <v>16829987.830323245</v>
      </c>
      <c r="AQ22" s="350">
        <v>16543254.414819397</v>
      </c>
      <c r="AR22" s="348">
        <v>84970525.90056932</v>
      </c>
      <c r="AS22" s="369"/>
      <c r="AT22" s="350">
        <f t="shared" si="50"/>
        <v>16850185.355708297</v>
      </c>
      <c r="AU22" s="350">
        <f t="shared" si="34"/>
        <v>16703629.463788023</v>
      </c>
      <c r="AV22" s="350">
        <f t="shared" si="35"/>
        <v>16542416.781848017</v>
      </c>
      <c r="AW22" s="350">
        <f t="shared" si="36"/>
        <v>16333893.319877159</v>
      </c>
      <c r="AX22" s="350">
        <f t="shared" si="37"/>
        <v>16050114.57505984</v>
      </c>
      <c r="AY22" s="350">
        <f t="shared" si="38"/>
        <v>82480239.496281326</v>
      </c>
      <c r="AZ22" s="365"/>
      <c r="BA22" s="377">
        <f t="shared" si="51"/>
        <v>0</v>
      </c>
      <c r="BB22" s="377">
        <f t="shared" si="39"/>
        <v>0</v>
      </c>
      <c r="BC22" s="377">
        <f t="shared" si="40"/>
        <v>0</v>
      </c>
      <c r="BD22" s="377">
        <f t="shared" si="41"/>
        <v>0</v>
      </c>
      <c r="BE22" s="377">
        <f t="shared" si="42"/>
        <v>0</v>
      </c>
      <c r="BF22" s="377">
        <f t="shared" si="43"/>
        <v>0</v>
      </c>
      <c r="BG22" s="328"/>
    </row>
    <row r="23" spans="2:59">
      <c r="B23" s="332">
        <v>8</v>
      </c>
      <c r="C23" s="350">
        <v>5598448.1288835034</v>
      </c>
      <c r="D23" s="350">
        <v>5578273.1035723435</v>
      </c>
      <c r="E23" s="350">
        <v>5556454.8028095551</v>
      </c>
      <c r="F23" s="350">
        <v>5530279.0804933505</v>
      </c>
      <c r="G23" s="350">
        <v>5497341.4987556171</v>
      </c>
      <c r="H23" s="348">
        <v>27760796.614514366</v>
      </c>
      <c r="I23" s="369"/>
      <c r="J23" s="350">
        <v>18477034.643667754</v>
      </c>
      <c r="K23" s="350">
        <v>18084116.557714608</v>
      </c>
      <c r="L23" s="350">
        <v>17680232.199875407</v>
      </c>
      <c r="M23" s="350">
        <v>17237939.59063831</v>
      </c>
      <c r="N23" s="350">
        <v>16734211.528936058</v>
      </c>
      <c r="O23" s="348">
        <v>88213534.520832136</v>
      </c>
      <c r="P23" s="369"/>
      <c r="Q23" s="350">
        <f t="shared" si="44"/>
        <v>12878586.51478425</v>
      </c>
      <c r="R23" s="350">
        <f t="shared" si="45"/>
        <v>12505843.454142265</v>
      </c>
      <c r="S23" s="350">
        <f t="shared" si="46"/>
        <v>12123777.397065852</v>
      </c>
      <c r="T23" s="350">
        <f t="shared" si="47"/>
        <v>11707660.51014496</v>
      </c>
      <c r="U23" s="350">
        <f t="shared" si="48"/>
        <v>11236870.030180441</v>
      </c>
      <c r="V23" s="350">
        <f t="shared" si="49"/>
        <v>60452737.90631777</v>
      </c>
      <c r="W23" s="365"/>
      <c r="X23" s="377">
        <f t="shared" si="28"/>
        <v>0</v>
      </c>
      <c r="Y23" s="377">
        <f t="shared" si="29"/>
        <v>0</v>
      </c>
      <c r="Z23" s="377">
        <f t="shared" si="30"/>
        <v>0</v>
      </c>
      <c r="AA23" s="377">
        <f t="shared" si="31"/>
        <v>0</v>
      </c>
      <c r="AB23" s="377">
        <f t="shared" si="32"/>
        <v>0</v>
      </c>
      <c r="AC23" s="377">
        <f t="shared" si="33"/>
        <v>0</v>
      </c>
      <c r="AD23" s="376"/>
      <c r="AE23" s="332">
        <v>8</v>
      </c>
      <c r="AF23" s="350">
        <v>424196.25066067977</v>
      </c>
      <c r="AG23" s="350">
        <v>422667.58237672714</v>
      </c>
      <c r="AH23" s="350">
        <v>421014.40257291467</v>
      </c>
      <c r="AI23" s="350">
        <v>419031.05950904248</v>
      </c>
      <c r="AJ23" s="350">
        <v>416535.36813934083</v>
      </c>
      <c r="AK23" s="348">
        <v>2103444.6632587048</v>
      </c>
      <c r="AL23" s="369"/>
      <c r="AM23" s="350">
        <v>16033879.433266409</v>
      </c>
      <c r="AN23" s="350">
        <v>15898636.291851249</v>
      </c>
      <c r="AO23" s="350">
        <v>15749676.084554056</v>
      </c>
      <c r="AP23" s="350">
        <v>15556541.332976794</v>
      </c>
      <c r="AQ23" s="350">
        <v>15293156.823173942</v>
      </c>
      <c r="AR23" s="348">
        <v>78531889.965822458</v>
      </c>
      <c r="AS23" s="369"/>
      <c r="AT23" s="350">
        <f t="shared" si="50"/>
        <v>15609683.182605729</v>
      </c>
      <c r="AU23" s="350">
        <f t="shared" si="34"/>
        <v>15475968.709474521</v>
      </c>
      <c r="AV23" s="350">
        <f t="shared" si="35"/>
        <v>15328661.681981141</v>
      </c>
      <c r="AW23" s="350">
        <f t="shared" si="36"/>
        <v>15137510.273467751</v>
      </c>
      <c r="AX23" s="350">
        <f t="shared" si="37"/>
        <v>14876621.455034601</v>
      </c>
      <c r="AY23" s="350">
        <f t="shared" si="38"/>
        <v>76428445.302563757</v>
      </c>
      <c r="AZ23" s="365"/>
      <c r="BA23" s="377">
        <f t="shared" si="51"/>
        <v>0</v>
      </c>
      <c r="BB23" s="377">
        <f t="shared" si="39"/>
        <v>0</v>
      </c>
      <c r="BC23" s="377">
        <f t="shared" si="40"/>
        <v>0</v>
      </c>
      <c r="BD23" s="377">
        <f t="shared" si="41"/>
        <v>0</v>
      </c>
      <c r="BE23" s="377">
        <f t="shared" si="42"/>
        <v>0</v>
      </c>
      <c r="BF23" s="377">
        <f t="shared" si="43"/>
        <v>0</v>
      </c>
      <c r="BG23" s="328"/>
    </row>
    <row r="24" spans="2:59">
      <c r="B24" s="332">
        <v>9</v>
      </c>
      <c r="C24" s="350">
        <v>4856500.477844038</v>
      </c>
      <c r="D24" s="350">
        <v>4838999.1957371878</v>
      </c>
      <c r="E24" s="350">
        <v>4820072.4171655402</v>
      </c>
      <c r="F24" s="350">
        <v>4797365.6946935207</v>
      </c>
      <c r="G24" s="350">
        <v>4768793.2442990858</v>
      </c>
      <c r="H24" s="348">
        <v>24081731.029739372</v>
      </c>
      <c r="I24" s="369"/>
      <c r="J24" s="350">
        <v>16138699.693337152</v>
      </c>
      <c r="K24" s="350">
        <v>15797058.476670701</v>
      </c>
      <c r="L24" s="350">
        <v>15445807.123801369</v>
      </c>
      <c r="M24" s="350">
        <v>15060926.422328996</v>
      </c>
      <c r="N24" s="350">
        <v>14622257.390047541</v>
      </c>
      <c r="O24" s="348">
        <v>77064749.106185749</v>
      </c>
      <c r="P24" s="369"/>
      <c r="Q24" s="350">
        <f t="shared" si="44"/>
        <v>11282199.215493113</v>
      </c>
      <c r="R24" s="350">
        <f t="shared" si="45"/>
        <v>10958059.280933514</v>
      </c>
      <c r="S24" s="350">
        <f t="shared" si="46"/>
        <v>10625734.706635829</v>
      </c>
      <c r="T24" s="350">
        <f t="shared" si="47"/>
        <v>10263560.727635475</v>
      </c>
      <c r="U24" s="350">
        <f t="shared" si="48"/>
        <v>9853464.1457484551</v>
      </c>
      <c r="V24" s="350">
        <f t="shared" si="49"/>
        <v>52983018.076446377</v>
      </c>
      <c r="W24" s="365"/>
      <c r="X24" s="377">
        <f t="shared" si="28"/>
        <v>0</v>
      </c>
      <c r="Y24" s="377">
        <f t="shared" si="29"/>
        <v>0</v>
      </c>
      <c r="Z24" s="377">
        <f t="shared" si="30"/>
        <v>0</v>
      </c>
      <c r="AA24" s="377">
        <f t="shared" si="31"/>
        <v>0</v>
      </c>
      <c r="AB24" s="377">
        <f t="shared" si="32"/>
        <v>0</v>
      </c>
      <c r="AC24" s="377">
        <f t="shared" si="33"/>
        <v>0</v>
      </c>
      <c r="AD24" s="376"/>
      <c r="AE24" s="332">
        <v>9</v>
      </c>
      <c r="AF24" s="350">
        <v>554020.70188964962</v>
      </c>
      <c r="AG24" s="350">
        <v>552024.18760100892</v>
      </c>
      <c r="AH24" s="350">
        <v>549865.05527998647</v>
      </c>
      <c r="AI24" s="350">
        <v>547274.71386460855</v>
      </c>
      <c r="AJ24" s="350">
        <v>544015.22092428058</v>
      </c>
      <c r="AK24" s="348">
        <v>2747199.8795595341</v>
      </c>
      <c r="AL24" s="369"/>
      <c r="AM24" s="350">
        <v>16533225.32584808</v>
      </c>
      <c r="AN24" s="350">
        <v>16388359.840523094</v>
      </c>
      <c r="AO24" s="350">
        <v>16229460.577849913</v>
      </c>
      <c r="AP24" s="350">
        <v>16025296.255235732</v>
      </c>
      <c r="AQ24" s="350">
        <v>15749139.834659707</v>
      </c>
      <c r="AR24" s="348">
        <v>80925481.834116533</v>
      </c>
      <c r="AS24" s="369"/>
      <c r="AT24" s="350">
        <f t="shared" si="50"/>
        <v>15979204.623958431</v>
      </c>
      <c r="AU24" s="350">
        <f t="shared" si="34"/>
        <v>15836335.652922085</v>
      </c>
      <c r="AV24" s="350">
        <f t="shared" si="35"/>
        <v>15679595.522569926</v>
      </c>
      <c r="AW24" s="350">
        <f t="shared" si="36"/>
        <v>15478021.541371124</v>
      </c>
      <c r="AX24" s="350">
        <f t="shared" si="37"/>
        <v>15205124.613735426</v>
      </c>
      <c r="AY24" s="350">
        <f t="shared" si="38"/>
        <v>78178281.954557002</v>
      </c>
      <c r="AZ24" s="365"/>
      <c r="BA24" s="377">
        <f t="shared" si="51"/>
        <v>0</v>
      </c>
      <c r="BB24" s="377">
        <f t="shared" si="39"/>
        <v>0</v>
      </c>
      <c r="BC24" s="377">
        <f t="shared" si="40"/>
        <v>0</v>
      </c>
      <c r="BD24" s="377">
        <f t="shared" si="41"/>
        <v>0</v>
      </c>
      <c r="BE24" s="377">
        <f t="shared" si="42"/>
        <v>0</v>
      </c>
      <c r="BF24" s="377">
        <f t="shared" si="43"/>
        <v>0</v>
      </c>
      <c r="BG24" s="328"/>
    </row>
    <row r="25" spans="2:59">
      <c r="B25" s="332">
        <v>10</v>
      </c>
      <c r="C25" s="350">
        <v>7170329.2712049205</v>
      </c>
      <c r="D25" s="350">
        <v>7144489.6865190193</v>
      </c>
      <c r="E25" s="350">
        <v>7116545.4425060675</v>
      </c>
      <c r="F25" s="350">
        <v>7083020.3399065649</v>
      </c>
      <c r="G25" s="350">
        <v>7040834.8447443768</v>
      </c>
      <c r="H25" s="348">
        <v>35555219.584880948</v>
      </c>
      <c r="I25" s="369"/>
      <c r="J25" s="350">
        <v>26227609.21226725</v>
      </c>
      <c r="K25" s="350">
        <v>25705900.420431614</v>
      </c>
      <c r="L25" s="350">
        <v>25167889.655723728</v>
      </c>
      <c r="M25" s="350">
        <v>24573460.28931902</v>
      </c>
      <c r="N25" s="350">
        <v>23888858.876615942</v>
      </c>
      <c r="O25" s="348">
        <v>125563718.45435755</v>
      </c>
      <c r="P25" s="369"/>
      <c r="Q25" s="350">
        <f t="shared" si="44"/>
        <v>19057279.941062331</v>
      </c>
      <c r="R25" s="350">
        <f t="shared" si="45"/>
        <v>18561410.733912595</v>
      </c>
      <c r="S25" s="350">
        <f t="shared" si="46"/>
        <v>18051344.213217661</v>
      </c>
      <c r="T25" s="350">
        <f t="shared" si="47"/>
        <v>17490439.949412454</v>
      </c>
      <c r="U25" s="350">
        <f t="shared" si="48"/>
        <v>16848024.031871565</v>
      </c>
      <c r="V25" s="350">
        <f t="shared" si="49"/>
        <v>90008498.869476601</v>
      </c>
      <c r="W25" s="365"/>
      <c r="X25" s="377">
        <f t="shared" si="28"/>
        <v>0</v>
      </c>
      <c r="Y25" s="377">
        <f t="shared" si="29"/>
        <v>0</v>
      </c>
      <c r="Z25" s="377">
        <f t="shared" si="30"/>
        <v>0</v>
      </c>
      <c r="AA25" s="377">
        <f t="shared" si="31"/>
        <v>0</v>
      </c>
      <c r="AB25" s="377">
        <f t="shared" si="32"/>
        <v>0</v>
      </c>
      <c r="AC25" s="377">
        <f t="shared" si="33"/>
        <v>0</v>
      </c>
      <c r="AD25" s="376"/>
      <c r="AE25" s="332">
        <v>10</v>
      </c>
      <c r="AF25" s="350">
        <v>263290.53450400522</v>
      </c>
      <c r="AG25" s="350">
        <v>262341.71921170986</v>
      </c>
      <c r="AH25" s="350">
        <v>261315.62199020197</v>
      </c>
      <c r="AI25" s="350">
        <v>260084.59872071663</v>
      </c>
      <c r="AJ25" s="350">
        <v>258535.57061482844</v>
      </c>
      <c r="AK25" s="348">
        <v>1305568.0450414622</v>
      </c>
      <c r="AL25" s="369"/>
      <c r="AM25" s="350">
        <v>9247378.3067586981</v>
      </c>
      <c r="AN25" s="350">
        <v>9168513.3785765283</v>
      </c>
      <c r="AO25" s="350">
        <v>9081754.9304029122</v>
      </c>
      <c r="AP25" s="350">
        <v>8969564.8489772473</v>
      </c>
      <c r="AQ25" s="350">
        <v>8816930.1305857934</v>
      </c>
      <c r="AR25" s="348">
        <v>45284141.595301181</v>
      </c>
      <c r="AS25" s="369"/>
      <c r="AT25" s="350">
        <f t="shared" si="50"/>
        <v>8984087.7722546924</v>
      </c>
      <c r="AU25" s="350">
        <f t="shared" si="34"/>
        <v>8906171.6593648177</v>
      </c>
      <c r="AV25" s="350">
        <f t="shared" si="35"/>
        <v>8820439.3084127102</v>
      </c>
      <c r="AW25" s="350">
        <f t="shared" si="36"/>
        <v>8709480.2502565309</v>
      </c>
      <c r="AX25" s="350">
        <f t="shared" si="37"/>
        <v>8558394.5599709656</v>
      </c>
      <c r="AY25" s="350">
        <f t="shared" si="38"/>
        <v>43978573.550259717</v>
      </c>
      <c r="AZ25" s="365"/>
      <c r="BA25" s="377">
        <f t="shared" si="51"/>
        <v>0</v>
      </c>
      <c r="BB25" s="377">
        <f t="shared" si="39"/>
        <v>0</v>
      </c>
      <c r="BC25" s="377">
        <f t="shared" si="40"/>
        <v>0</v>
      </c>
      <c r="BD25" s="377">
        <f t="shared" si="41"/>
        <v>0</v>
      </c>
      <c r="BE25" s="377">
        <f t="shared" si="42"/>
        <v>0</v>
      </c>
      <c r="BF25" s="377">
        <f t="shared" si="43"/>
        <v>0</v>
      </c>
      <c r="BG25" s="328"/>
    </row>
    <row r="26" spans="2:59">
      <c r="B26" s="332">
        <v>11</v>
      </c>
      <c r="C26" s="350">
        <v>4041446.3535848879</v>
      </c>
      <c r="D26" s="350">
        <v>4026882.267145182</v>
      </c>
      <c r="E26" s="350">
        <v>4011131.9216870782</v>
      </c>
      <c r="F26" s="350">
        <v>3992236.0107003357</v>
      </c>
      <c r="G26" s="350">
        <v>3968458.8019908192</v>
      </c>
      <c r="H26" s="348">
        <v>20040155.355108302</v>
      </c>
      <c r="I26" s="369"/>
      <c r="J26" s="350">
        <v>13680099.499212269</v>
      </c>
      <c r="K26" s="350">
        <v>13393993.818357412</v>
      </c>
      <c r="L26" s="350">
        <v>13099670.776802219</v>
      </c>
      <c r="M26" s="350">
        <v>12776657.603657871</v>
      </c>
      <c r="N26" s="350">
        <v>12407763.033046512</v>
      </c>
      <c r="O26" s="348">
        <v>65358184.731076285</v>
      </c>
      <c r="P26" s="369"/>
      <c r="Q26" s="350">
        <f t="shared" si="44"/>
        <v>9638653.1456273813</v>
      </c>
      <c r="R26" s="350">
        <f t="shared" si="45"/>
        <v>9367111.5512122288</v>
      </c>
      <c r="S26" s="350">
        <f t="shared" si="46"/>
        <v>9088538.8551151417</v>
      </c>
      <c r="T26" s="350">
        <f t="shared" si="47"/>
        <v>8784421.5929575358</v>
      </c>
      <c r="U26" s="350">
        <f t="shared" si="48"/>
        <v>8439304.2310556918</v>
      </c>
      <c r="V26" s="350">
        <f t="shared" si="49"/>
        <v>45318029.375967979</v>
      </c>
      <c r="W26" s="365"/>
      <c r="X26" s="377">
        <f t="shared" si="28"/>
        <v>0</v>
      </c>
      <c r="Y26" s="377">
        <f t="shared" si="29"/>
        <v>0</v>
      </c>
      <c r="Z26" s="377">
        <f t="shared" si="30"/>
        <v>0</v>
      </c>
      <c r="AA26" s="377">
        <f t="shared" si="31"/>
        <v>0</v>
      </c>
      <c r="AB26" s="377">
        <f t="shared" si="32"/>
        <v>0</v>
      </c>
      <c r="AC26" s="377">
        <f t="shared" si="33"/>
        <v>0</v>
      </c>
      <c r="AD26" s="376"/>
      <c r="AE26" s="332">
        <v>11</v>
      </c>
      <c r="AF26" s="350">
        <v>577997.41218162049</v>
      </c>
      <c r="AG26" s="350">
        <v>575914.49345984356</v>
      </c>
      <c r="AH26" s="350">
        <v>573661.91898049286</v>
      </c>
      <c r="AI26" s="350">
        <v>570959.47369343275</v>
      </c>
      <c r="AJ26" s="350">
        <v>567558.91758044297</v>
      </c>
      <c r="AK26" s="348">
        <v>2866092.2158958325</v>
      </c>
      <c r="AL26" s="369"/>
      <c r="AM26" s="350">
        <v>24115058.58736185</v>
      </c>
      <c r="AN26" s="350">
        <v>23914435.642749514</v>
      </c>
      <c r="AO26" s="350">
        <v>23693125.300567657</v>
      </c>
      <c r="AP26" s="350">
        <v>23405229.414846484</v>
      </c>
      <c r="AQ26" s="350">
        <v>23011448.252569906</v>
      </c>
      <c r="AR26" s="348">
        <v>118139297.19809541</v>
      </c>
      <c r="AS26" s="369"/>
      <c r="AT26" s="350">
        <f t="shared" si="50"/>
        <v>23537061.17518023</v>
      </c>
      <c r="AU26" s="350">
        <f t="shared" si="34"/>
        <v>23338521.149289671</v>
      </c>
      <c r="AV26" s="350">
        <f t="shared" si="35"/>
        <v>23119463.381587163</v>
      </c>
      <c r="AW26" s="350">
        <f t="shared" si="36"/>
        <v>22834269.941153049</v>
      </c>
      <c r="AX26" s="350">
        <f t="shared" si="37"/>
        <v>22443889.334989462</v>
      </c>
      <c r="AY26" s="350">
        <f t="shared" si="38"/>
        <v>115273204.98219958</v>
      </c>
      <c r="AZ26" s="365"/>
      <c r="BA26" s="377">
        <f t="shared" si="51"/>
        <v>0</v>
      </c>
      <c r="BB26" s="377">
        <f t="shared" si="39"/>
        <v>0</v>
      </c>
      <c r="BC26" s="377">
        <f t="shared" si="40"/>
        <v>0</v>
      </c>
      <c r="BD26" s="377">
        <f t="shared" si="41"/>
        <v>0</v>
      </c>
      <c r="BE26" s="377">
        <f t="shared" si="42"/>
        <v>0</v>
      </c>
      <c r="BF26" s="377">
        <f t="shared" si="43"/>
        <v>0</v>
      </c>
      <c r="BG26" s="328"/>
    </row>
    <row r="27" spans="2:59">
      <c r="B27" s="332">
        <v>12</v>
      </c>
      <c r="C27" s="350">
        <v>6212324.8056988269</v>
      </c>
      <c r="D27" s="350">
        <v>6189937.5642149774</v>
      </c>
      <c r="E27" s="350">
        <v>6165726.8601186797</v>
      </c>
      <c r="F27" s="350">
        <v>6136680.9378722813</v>
      </c>
      <c r="G27" s="350">
        <v>6100131.7100579888</v>
      </c>
      <c r="H27" s="348">
        <v>30804801.877962753</v>
      </c>
      <c r="I27" s="369"/>
      <c r="J27" s="350">
        <v>18394195.100635886</v>
      </c>
      <c r="K27" s="350">
        <v>17973392.451712307</v>
      </c>
      <c r="L27" s="350">
        <v>17542278.072871089</v>
      </c>
      <c r="M27" s="350">
        <v>17074490.484515913</v>
      </c>
      <c r="N27" s="350">
        <v>16547983.754265761</v>
      </c>
      <c r="O27" s="348">
        <v>87532339.864000946</v>
      </c>
      <c r="P27" s="369"/>
      <c r="Q27" s="350">
        <f t="shared" si="44"/>
        <v>12181870.294937059</v>
      </c>
      <c r="R27" s="350">
        <f t="shared" si="45"/>
        <v>11783454.887497328</v>
      </c>
      <c r="S27" s="350">
        <f t="shared" si="46"/>
        <v>11376551.212752409</v>
      </c>
      <c r="T27" s="350">
        <f t="shared" si="47"/>
        <v>10937809.546643632</v>
      </c>
      <c r="U27" s="350">
        <f t="shared" si="48"/>
        <v>10447852.044207772</v>
      </c>
      <c r="V27" s="350">
        <f t="shared" si="49"/>
        <v>56727537.986038193</v>
      </c>
      <c r="W27" s="365"/>
      <c r="X27" s="377">
        <f t="shared" si="28"/>
        <v>0</v>
      </c>
      <c r="Y27" s="377">
        <f t="shared" si="29"/>
        <v>0</v>
      </c>
      <c r="Z27" s="377">
        <f t="shared" si="30"/>
        <v>0</v>
      </c>
      <c r="AA27" s="377">
        <f t="shared" si="31"/>
        <v>0</v>
      </c>
      <c r="AB27" s="377">
        <f t="shared" si="32"/>
        <v>0</v>
      </c>
      <c r="AC27" s="377">
        <f t="shared" si="33"/>
        <v>0</v>
      </c>
      <c r="AD27" s="376"/>
      <c r="AE27" s="332">
        <v>12</v>
      </c>
      <c r="AF27" s="350">
        <v>346010.10235241544</v>
      </c>
      <c r="AG27" s="350">
        <v>344763.19206367637</v>
      </c>
      <c r="AH27" s="350">
        <v>343414.71971807408</v>
      </c>
      <c r="AI27" s="350">
        <v>341796.93847776012</v>
      </c>
      <c r="AJ27" s="350">
        <v>339761.24291249865</v>
      </c>
      <c r="AK27" s="348">
        <v>1715746.1955244248</v>
      </c>
      <c r="AL27" s="369"/>
      <c r="AM27" s="350">
        <v>11267318.885910098</v>
      </c>
      <c r="AN27" s="350">
        <v>11170057.628357913</v>
      </c>
      <c r="AO27" s="350">
        <v>11063202.521173742</v>
      </c>
      <c r="AP27" s="350">
        <v>10925422.305876596</v>
      </c>
      <c r="AQ27" s="350">
        <v>10738459.269089323</v>
      </c>
      <c r="AR27" s="348">
        <v>55164460.610407665</v>
      </c>
      <c r="AS27" s="369"/>
      <c r="AT27" s="350">
        <f t="shared" si="50"/>
        <v>10921308.783557681</v>
      </c>
      <c r="AU27" s="350">
        <f t="shared" si="34"/>
        <v>10825294.436294237</v>
      </c>
      <c r="AV27" s="350">
        <f t="shared" si="35"/>
        <v>10719787.801455667</v>
      </c>
      <c r="AW27" s="350">
        <f t="shared" si="36"/>
        <v>10583625.367398836</v>
      </c>
      <c r="AX27" s="350">
        <f t="shared" si="37"/>
        <v>10398698.026176823</v>
      </c>
      <c r="AY27" s="350">
        <f t="shared" si="38"/>
        <v>53448714.414883241</v>
      </c>
      <c r="AZ27" s="365"/>
      <c r="BA27" s="377">
        <f t="shared" si="51"/>
        <v>0</v>
      </c>
      <c r="BB27" s="377">
        <f t="shared" si="39"/>
        <v>0</v>
      </c>
      <c r="BC27" s="377">
        <f t="shared" si="40"/>
        <v>0</v>
      </c>
      <c r="BD27" s="377">
        <f t="shared" si="41"/>
        <v>0</v>
      </c>
      <c r="BE27" s="377">
        <f t="shared" si="42"/>
        <v>0</v>
      </c>
      <c r="BF27" s="377">
        <f t="shared" si="43"/>
        <v>0</v>
      </c>
      <c r="BG27" s="328"/>
    </row>
    <row r="28" spans="2:59">
      <c r="B28" s="332">
        <v>13</v>
      </c>
      <c r="C28" s="350">
        <v>6917110.9831832219</v>
      </c>
      <c r="D28" s="350">
        <v>6892183.9166188566</v>
      </c>
      <c r="E28" s="350">
        <v>6865226.5162167605</v>
      </c>
      <c r="F28" s="350">
        <v>6832885.3437779099</v>
      </c>
      <c r="G28" s="350">
        <v>6792189.6182567365</v>
      </c>
      <c r="H28" s="348">
        <v>34299596.378053486</v>
      </c>
      <c r="I28" s="369"/>
      <c r="J28" s="350">
        <v>21015719.441838972</v>
      </c>
      <c r="K28" s="350">
        <v>20543323.030307271</v>
      </c>
      <c r="L28" s="350">
        <v>20058974.17771253</v>
      </c>
      <c r="M28" s="350">
        <v>19532283.788568359</v>
      </c>
      <c r="N28" s="350">
        <v>18937815.813511826</v>
      </c>
      <c r="O28" s="348">
        <v>100088116.25193897</v>
      </c>
      <c r="P28" s="369"/>
      <c r="Q28" s="350">
        <f t="shared" si="44"/>
        <v>14098608.45865575</v>
      </c>
      <c r="R28" s="350">
        <f t="shared" si="45"/>
        <v>13651139.113688413</v>
      </c>
      <c r="S28" s="350">
        <f t="shared" si="46"/>
        <v>13193747.661495769</v>
      </c>
      <c r="T28" s="350">
        <f t="shared" si="47"/>
        <v>12699398.444790449</v>
      </c>
      <c r="U28" s="350">
        <f t="shared" si="48"/>
        <v>12145626.19525509</v>
      </c>
      <c r="V28" s="350">
        <f t="shared" si="49"/>
        <v>65788519.873885483</v>
      </c>
      <c r="W28" s="365"/>
      <c r="X28" s="377">
        <f t="shared" si="28"/>
        <v>0</v>
      </c>
      <c r="Y28" s="377">
        <f t="shared" si="29"/>
        <v>0</v>
      </c>
      <c r="Z28" s="377">
        <f t="shared" si="30"/>
        <v>0</v>
      </c>
      <c r="AA28" s="377">
        <f t="shared" si="31"/>
        <v>0</v>
      </c>
      <c r="AB28" s="377">
        <f t="shared" si="32"/>
        <v>0</v>
      </c>
      <c r="AC28" s="377">
        <f t="shared" si="33"/>
        <v>0</v>
      </c>
      <c r="AD28" s="376"/>
      <c r="AE28" s="332">
        <v>13</v>
      </c>
      <c r="AF28" s="350">
        <v>473025.1237766163</v>
      </c>
      <c r="AG28" s="350">
        <v>471320.49177408474</v>
      </c>
      <c r="AH28" s="350">
        <v>469477.01583551755</v>
      </c>
      <c r="AI28" s="350">
        <v>467265.37182211934</v>
      </c>
      <c r="AJ28" s="350">
        <v>464482.40352095524</v>
      </c>
      <c r="AK28" s="348">
        <v>2345570.4067292931</v>
      </c>
      <c r="AL28" s="369"/>
      <c r="AM28" s="350">
        <v>13384736.537529124</v>
      </c>
      <c r="AN28" s="350">
        <v>13266321.251952654</v>
      </c>
      <c r="AO28" s="350">
        <v>13136567.917877326</v>
      </c>
      <c r="AP28" s="350">
        <v>12970229.476786226</v>
      </c>
      <c r="AQ28" s="350">
        <v>12745702.306315362</v>
      </c>
      <c r="AR28" s="348">
        <v>65503557.490460694</v>
      </c>
      <c r="AS28" s="369"/>
      <c r="AT28" s="350">
        <f t="shared" si="50"/>
        <v>12911711.413752507</v>
      </c>
      <c r="AU28" s="350">
        <f t="shared" si="34"/>
        <v>12795000.76017857</v>
      </c>
      <c r="AV28" s="350">
        <f t="shared" si="35"/>
        <v>12667090.902041808</v>
      </c>
      <c r="AW28" s="350">
        <f t="shared" si="36"/>
        <v>12502964.104964107</v>
      </c>
      <c r="AX28" s="350">
        <f t="shared" si="37"/>
        <v>12281219.902794408</v>
      </c>
      <c r="AY28" s="350">
        <f t="shared" si="38"/>
        <v>63157987.083731398</v>
      </c>
      <c r="AZ28" s="365"/>
      <c r="BA28" s="377">
        <f t="shared" si="51"/>
        <v>0</v>
      </c>
      <c r="BB28" s="377">
        <f t="shared" si="39"/>
        <v>0</v>
      </c>
      <c r="BC28" s="377">
        <f t="shared" si="40"/>
        <v>0</v>
      </c>
      <c r="BD28" s="377">
        <f t="shared" si="41"/>
        <v>0</v>
      </c>
      <c r="BE28" s="377">
        <f t="shared" si="42"/>
        <v>0</v>
      </c>
      <c r="BF28" s="377">
        <f t="shared" si="43"/>
        <v>0</v>
      </c>
      <c r="BG28" s="328"/>
    </row>
    <row r="29" spans="2:59">
      <c r="B29" s="332">
        <v>14</v>
      </c>
      <c r="C29" s="350">
        <v>6546136.0669634063</v>
      </c>
      <c r="D29" s="350">
        <v>6522545.8759317314</v>
      </c>
      <c r="E29" s="350">
        <v>6497034.2408758868</v>
      </c>
      <c r="F29" s="350">
        <v>6466427.573458733</v>
      </c>
      <c r="G29" s="350">
        <v>6427914.4200261682</v>
      </c>
      <c r="H29" s="348">
        <v>32460058.177255921</v>
      </c>
      <c r="I29" s="369"/>
      <c r="J29" s="350">
        <v>18671107.060999487</v>
      </c>
      <c r="K29" s="350">
        <v>18232820.99340855</v>
      </c>
      <c r="L29" s="350">
        <v>17784295.613269433</v>
      </c>
      <c r="M29" s="350">
        <v>17299132.645272411</v>
      </c>
      <c r="N29" s="350">
        <v>16755284.455993619</v>
      </c>
      <c r="O29" s="348">
        <v>88742640.768943503</v>
      </c>
      <c r="P29" s="369"/>
      <c r="Q29" s="350">
        <f t="shared" si="44"/>
        <v>12124970.99403608</v>
      </c>
      <c r="R29" s="350">
        <f t="shared" si="45"/>
        <v>11710275.117476817</v>
      </c>
      <c r="S29" s="350">
        <f t="shared" si="46"/>
        <v>11287261.372393547</v>
      </c>
      <c r="T29" s="350">
        <f t="shared" si="47"/>
        <v>10832705.071813678</v>
      </c>
      <c r="U29" s="350">
        <f t="shared" si="48"/>
        <v>10327370.035967451</v>
      </c>
      <c r="V29" s="350">
        <f t="shared" si="49"/>
        <v>56282582.591687582</v>
      </c>
      <c r="W29" s="365"/>
      <c r="X29" s="377">
        <f t="shared" si="28"/>
        <v>0</v>
      </c>
      <c r="Y29" s="377">
        <f t="shared" si="29"/>
        <v>0</v>
      </c>
      <c r="Z29" s="377">
        <f t="shared" si="30"/>
        <v>0</v>
      </c>
      <c r="AA29" s="377">
        <f t="shared" si="31"/>
        <v>0</v>
      </c>
      <c r="AB29" s="377">
        <f t="shared" si="32"/>
        <v>0</v>
      </c>
      <c r="AC29" s="377">
        <f t="shared" si="33"/>
        <v>0</v>
      </c>
      <c r="AD29" s="376"/>
      <c r="AE29" s="332">
        <v>14</v>
      </c>
      <c r="AF29" s="350">
        <v>722338.09837890672</v>
      </c>
      <c r="AG29" s="350">
        <v>719735.02176150924</v>
      </c>
      <c r="AH29" s="350">
        <v>716919.92201957502</v>
      </c>
      <c r="AI29" s="350">
        <v>713542.60726264562</v>
      </c>
      <c r="AJ29" s="350">
        <v>709292.84561264713</v>
      </c>
      <c r="AK29" s="348">
        <v>3581828.4950352842</v>
      </c>
      <c r="AL29" s="369"/>
      <c r="AM29" s="350">
        <v>18875546.237985369</v>
      </c>
      <c r="AN29" s="350">
        <v>18705989.48695007</v>
      </c>
      <c r="AO29" s="350">
        <v>18520495.847087462</v>
      </c>
      <c r="AP29" s="350">
        <v>18283543.989465985</v>
      </c>
      <c r="AQ29" s="350">
        <v>17964743.794690084</v>
      </c>
      <c r="AR29" s="348">
        <v>92350319.356178969</v>
      </c>
      <c r="AS29" s="369"/>
      <c r="AT29" s="350">
        <f t="shared" si="50"/>
        <v>18153208.139606461</v>
      </c>
      <c r="AU29" s="350">
        <f t="shared" si="34"/>
        <v>17986254.465188559</v>
      </c>
      <c r="AV29" s="350">
        <f t="shared" si="35"/>
        <v>17803575.925067887</v>
      </c>
      <c r="AW29" s="350">
        <f t="shared" si="36"/>
        <v>17570001.382203341</v>
      </c>
      <c r="AX29" s="350">
        <f t="shared" si="37"/>
        <v>17255450.949077435</v>
      </c>
      <c r="AY29" s="350">
        <f t="shared" si="38"/>
        <v>88768490.861143678</v>
      </c>
      <c r="AZ29" s="365"/>
      <c r="BA29" s="377">
        <f t="shared" si="51"/>
        <v>0</v>
      </c>
      <c r="BB29" s="377">
        <f t="shared" si="39"/>
        <v>0</v>
      </c>
      <c r="BC29" s="377">
        <f t="shared" si="40"/>
        <v>0</v>
      </c>
      <c r="BD29" s="377">
        <f t="shared" si="41"/>
        <v>0</v>
      </c>
      <c r="BE29" s="377">
        <f t="shared" si="42"/>
        <v>0</v>
      </c>
      <c r="BF29" s="377">
        <f t="shared" si="43"/>
        <v>0</v>
      </c>
      <c r="BG29" s="328"/>
    </row>
    <row r="30" spans="2:59">
      <c r="B30" s="332">
        <v>15</v>
      </c>
      <c r="C30" s="350">
        <v>6634050.6124756075</v>
      </c>
      <c r="D30" s="350">
        <v>6610143.6054013269</v>
      </c>
      <c r="E30" s="350">
        <v>6584289.3493277924</v>
      </c>
      <c r="F30" s="350">
        <v>6553271.634656487</v>
      </c>
      <c r="G30" s="350">
        <v>6514241.2499373108</v>
      </c>
      <c r="H30" s="348">
        <v>32895996.451798521</v>
      </c>
      <c r="I30" s="369"/>
      <c r="J30" s="350">
        <v>16524022.745885685</v>
      </c>
      <c r="K30" s="350">
        <v>16097132.584155835</v>
      </c>
      <c r="L30" s="350">
        <v>15661977.059807407</v>
      </c>
      <c r="M30" s="350">
        <v>15196453.286266584</v>
      </c>
      <c r="N30" s="350">
        <v>14682204.201720044</v>
      </c>
      <c r="O30" s="348">
        <v>78161789.877835557</v>
      </c>
      <c r="P30" s="369"/>
      <c r="Q30" s="350">
        <f t="shared" si="44"/>
        <v>9889972.1334100775</v>
      </c>
      <c r="R30" s="350">
        <f t="shared" si="45"/>
        <v>9486988.9787545092</v>
      </c>
      <c r="S30" s="350">
        <f t="shared" si="46"/>
        <v>9077687.7104796134</v>
      </c>
      <c r="T30" s="350">
        <f t="shared" si="47"/>
        <v>8643181.6516100969</v>
      </c>
      <c r="U30" s="350">
        <f t="shared" si="48"/>
        <v>8167962.9517827332</v>
      </c>
      <c r="V30" s="350">
        <f t="shared" si="49"/>
        <v>45265793.426037036</v>
      </c>
      <c r="W30" s="365"/>
      <c r="X30" s="377">
        <f t="shared" si="28"/>
        <v>0</v>
      </c>
      <c r="Y30" s="377">
        <f t="shared" si="29"/>
        <v>0</v>
      </c>
      <c r="Z30" s="377">
        <f t="shared" si="30"/>
        <v>0</v>
      </c>
      <c r="AA30" s="377">
        <f t="shared" si="31"/>
        <v>0</v>
      </c>
      <c r="AB30" s="377">
        <f t="shared" si="32"/>
        <v>0</v>
      </c>
      <c r="AC30" s="377">
        <f t="shared" si="33"/>
        <v>0</v>
      </c>
      <c r="AD30" s="376"/>
      <c r="AE30" s="332">
        <v>15</v>
      </c>
      <c r="AF30" s="350">
        <v>381688.4471324085</v>
      </c>
      <c r="AG30" s="350">
        <v>380312.96344396542</v>
      </c>
      <c r="AH30" s="350">
        <v>378825.44527008949</v>
      </c>
      <c r="AI30" s="350">
        <v>377040.84879380953</v>
      </c>
      <c r="AJ30" s="350">
        <v>374795.24534507666</v>
      </c>
      <c r="AK30" s="348">
        <v>1892662.9499853496</v>
      </c>
      <c r="AL30" s="369"/>
      <c r="AM30" s="350">
        <v>9177958.9724571444</v>
      </c>
      <c r="AN30" s="350">
        <v>9094101.1474149693</v>
      </c>
      <c r="AO30" s="350">
        <v>9002523.1029275917</v>
      </c>
      <c r="AP30" s="350">
        <v>8885998.7566005997</v>
      </c>
      <c r="AQ30" s="350">
        <v>8729793.2147426996</v>
      </c>
      <c r="AR30" s="348">
        <v>44890375.194143005</v>
      </c>
      <c r="AS30" s="369"/>
      <c r="AT30" s="350">
        <f t="shared" si="50"/>
        <v>8796270.5253247358</v>
      </c>
      <c r="AU30" s="350">
        <f t="shared" si="34"/>
        <v>8713788.1839710046</v>
      </c>
      <c r="AV30" s="350">
        <f t="shared" si="35"/>
        <v>8623697.6576575022</v>
      </c>
      <c r="AW30" s="350">
        <f t="shared" si="36"/>
        <v>8508957.9078067895</v>
      </c>
      <c r="AX30" s="350">
        <f t="shared" si="37"/>
        <v>8354997.9693976231</v>
      </c>
      <c r="AY30" s="350">
        <f t="shared" si="38"/>
        <v>42997712.244157657</v>
      </c>
      <c r="AZ30" s="365"/>
      <c r="BA30" s="377">
        <f t="shared" si="51"/>
        <v>0</v>
      </c>
      <c r="BB30" s="377">
        <f t="shared" si="39"/>
        <v>0</v>
      </c>
      <c r="BC30" s="377">
        <f t="shared" si="40"/>
        <v>0</v>
      </c>
      <c r="BD30" s="377">
        <f t="shared" si="41"/>
        <v>0</v>
      </c>
      <c r="BE30" s="377">
        <f t="shared" si="42"/>
        <v>0</v>
      </c>
      <c r="BF30" s="377">
        <f t="shared" si="43"/>
        <v>0</v>
      </c>
      <c r="BG30" s="328"/>
    </row>
    <row r="31" spans="2:59">
      <c r="B31" s="332">
        <v>16</v>
      </c>
      <c r="C31" s="350">
        <v>4956727.0662545804</v>
      </c>
      <c r="D31" s="350">
        <v>4938864.5994209126</v>
      </c>
      <c r="E31" s="350">
        <v>4919547.2172748428</v>
      </c>
      <c r="F31" s="350">
        <v>4896371.882200446</v>
      </c>
      <c r="G31" s="350">
        <v>4867209.7645675074</v>
      </c>
      <c r="H31" s="348">
        <v>24578720.529718287</v>
      </c>
      <c r="I31" s="369"/>
      <c r="J31" s="350">
        <v>18792148.359152198</v>
      </c>
      <c r="K31" s="350">
        <v>18426732.628766097</v>
      </c>
      <c r="L31" s="350">
        <v>18049465.170633405</v>
      </c>
      <c r="M31" s="350">
        <v>17631331.353093084</v>
      </c>
      <c r="N31" s="350">
        <v>17147898.263263416</v>
      </c>
      <c r="O31" s="348">
        <v>90047575.7749082</v>
      </c>
      <c r="P31" s="369"/>
      <c r="Q31" s="350">
        <f t="shared" si="44"/>
        <v>13835421.292897617</v>
      </c>
      <c r="R31" s="350">
        <f t="shared" si="45"/>
        <v>13487868.029345185</v>
      </c>
      <c r="S31" s="350">
        <f t="shared" si="46"/>
        <v>13129917.953358563</v>
      </c>
      <c r="T31" s="350">
        <f t="shared" si="47"/>
        <v>12734959.470892638</v>
      </c>
      <c r="U31" s="350">
        <f t="shared" si="48"/>
        <v>12280688.498695908</v>
      </c>
      <c r="V31" s="350">
        <f t="shared" si="49"/>
        <v>65468855.245189913</v>
      </c>
      <c r="W31" s="365"/>
      <c r="X31" s="377">
        <f t="shared" si="28"/>
        <v>0</v>
      </c>
      <c r="Y31" s="377">
        <f t="shared" si="29"/>
        <v>0</v>
      </c>
      <c r="Z31" s="377">
        <f t="shared" si="30"/>
        <v>0</v>
      </c>
      <c r="AA31" s="377">
        <f t="shared" si="31"/>
        <v>0</v>
      </c>
      <c r="AB31" s="377">
        <f t="shared" si="32"/>
        <v>0</v>
      </c>
      <c r="AC31" s="377">
        <f t="shared" si="33"/>
        <v>0</v>
      </c>
      <c r="AD31" s="376"/>
      <c r="AE31" s="332">
        <v>16</v>
      </c>
      <c r="AF31" s="350">
        <v>588208.77101949172</v>
      </c>
      <c r="AG31" s="350">
        <v>586089.05381029949</v>
      </c>
      <c r="AH31" s="350">
        <v>583796.68357091083</v>
      </c>
      <c r="AI31" s="350">
        <v>581046.49475077563</v>
      </c>
      <c r="AJ31" s="350">
        <v>577585.86172742909</v>
      </c>
      <c r="AK31" s="348">
        <v>2916726.8648789064</v>
      </c>
      <c r="AL31" s="369"/>
      <c r="AM31" s="350">
        <v>16146247.084492056</v>
      </c>
      <c r="AN31" s="350">
        <v>16002584.491477747</v>
      </c>
      <c r="AO31" s="350">
        <v>15845261.272894172</v>
      </c>
      <c r="AP31" s="350">
        <v>15643847.808170471</v>
      </c>
      <c r="AQ31" s="350">
        <v>15372307.432117188</v>
      </c>
      <c r="AR31" s="348">
        <v>79010248.089151636</v>
      </c>
      <c r="AS31" s="369"/>
      <c r="AT31" s="350">
        <f t="shared" si="50"/>
        <v>15558038.313472563</v>
      </c>
      <c r="AU31" s="350">
        <f t="shared" si="34"/>
        <v>15416495.437667446</v>
      </c>
      <c r="AV31" s="350">
        <f t="shared" si="35"/>
        <v>15261464.589323262</v>
      </c>
      <c r="AW31" s="350">
        <f t="shared" si="36"/>
        <v>15062801.313419696</v>
      </c>
      <c r="AX31" s="350">
        <f t="shared" si="37"/>
        <v>14794721.570389759</v>
      </c>
      <c r="AY31" s="350">
        <f t="shared" si="38"/>
        <v>76093521.224272728</v>
      </c>
      <c r="AZ31" s="365"/>
      <c r="BA31" s="377">
        <f t="shared" si="51"/>
        <v>0</v>
      </c>
      <c r="BB31" s="377">
        <f t="shared" si="39"/>
        <v>0</v>
      </c>
      <c r="BC31" s="377">
        <f t="shared" si="40"/>
        <v>0</v>
      </c>
      <c r="BD31" s="377">
        <f t="shared" si="41"/>
        <v>0</v>
      </c>
      <c r="BE31" s="377">
        <f t="shared" si="42"/>
        <v>0</v>
      </c>
      <c r="BF31" s="377">
        <f t="shared" si="43"/>
        <v>0</v>
      </c>
      <c r="BG31" s="328"/>
    </row>
    <row r="32" spans="2:59">
      <c r="B32" s="332">
        <v>17</v>
      </c>
      <c r="C32" s="350">
        <v>4717258.7407846488</v>
      </c>
      <c r="D32" s="350">
        <v>4700259.241583501</v>
      </c>
      <c r="E32" s="350">
        <v>4681875.1166237053</v>
      </c>
      <c r="F32" s="350">
        <v>4659819.423322659</v>
      </c>
      <c r="G32" s="350">
        <v>4632066.1796065969</v>
      </c>
      <c r="H32" s="348">
        <v>23391278.701921109</v>
      </c>
      <c r="I32" s="369"/>
      <c r="J32" s="350">
        <v>15361341.528372698</v>
      </c>
      <c r="K32" s="350">
        <v>15031763.318507208</v>
      </c>
      <c r="L32" s="350">
        <v>14693127.571138343</v>
      </c>
      <c r="M32" s="350">
        <v>14322713.891901238</v>
      </c>
      <c r="N32" s="350">
        <v>13901464.40855878</v>
      </c>
      <c r="O32" s="348">
        <v>73310410.718478277</v>
      </c>
      <c r="P32" s="369"/>
      <c r="Q32" s="350">
        <f t="shared" si="44"/>
        <v>10644082.787588049</v>
      </c>
      <c r="R32" s="350">
        <f t="shared" si="45"/>
        <v>10331504.076923706</v>
      </c>
      <c r="S32" s="350">
        <f t="shared" si="46"/>
        <v>10011252.454514638</v>
      </c>
      <c r="T32" s="350">
        <f t="shared" si="47"/>
        <v>9662894.4685785789</v>
      </c>
      <c r="U32" s="350">
        <f t="shared" si="48"/>
        <v>9269398.2289521843</v>
      </c>
      <c r="V32" s="350">
        <f t="shared" si="49"/>
        <v>49919132.016557172</v>
      </c>
      <c r="W32" s="365"/>
      <c r="X32" s="377">
        <f t="shared" si="28"/>
        <v>0</v>
      </c>
      <c r="Y32" s="377">
        <f t="shared" si="29"/>
        <v>0</v>
      </c>
      <c r="Z32" s="377">
        <f t="shared" si="30"/>
        <v>0</v>
      </c>
      <c r="AA32" s="377">
        <f t="shared" si="31"/>
        <v>0</v>
      </c>
      <c r="AB32" s="377">
        <f t="shared" si="32"/>
        <v>0</v>
      </c>
      <c r="AC32" s="377">
        <f t="shared" si="33"/>
        <v>0</v>
      </c>
      <c r="AD32" s="376"/>
      <c r="AE32" s="332">
        <v>17</v>
      </c>
      <c r="AF32" s="350">
        <v>420024.94055474672</v>
      </c>
      <c r="AG32" s="350">
        <v>418511.30434486718</v>
      </c>
      <c r="AH32" s="350">
        <v>416874.3809921944</v>
      </c>
      <c r="AI32" s="350">
        <v>414910.5410214141</v>
      </c>
      <c r="AJ32" s="350">
        <v>412439.39089321462</v>
      </c>
      <c r="AK32" s="348">
        <v>2082760.5578064371</v>
      </c>
      <c r="AL32" s="369"/>
      <c r="AM32" s="350">
        <v>11309601.432805704</v>
      </c>
      <c r="AN32" s="350">
        <v>11208601.413579948</v>
      </c>
      <c r="AO32" s="350">
        <v>11098040.434737168</v>
      </c>
      <c r="AP32" s="350">
        <v>10956616.149599388</v>
      </c>
      <c r="AQ32" s="350">
        <v>10766102.250437513</v>
      </c>
      <c r="AR32" s="348">
        <v>55338961.68115972</v>
      </c>
      <c r="AS32" s="369"/>
      <c r="AT32" s="350">
        <f t="shared" si="50"/>
        <v>10889576.492250957</v>
      </c>
      <c r="AU32" s="350">
        <f t="shared" si="34"/>
        <v>10790090.109235082</v>
      </c>
      <c r="AV32" s="350">
        <f t="shared" si="35"/>
        <v>10681166.053744974</v>
      </c>
      <c r="AW32" s="350">
        <f t="shared" si="36"/>
        <v>10541705.608577974</v>
      </c>
      <c r="AX32" s="350">
        <f t="shared" si="37"/>
        <v>10353662.859544298</v>
      </c>
      <c r="AY32" s="350">
        <f t="shared" si="38"/>
        <v>53256201.12335328</v>
      </c>
      <c r="AZ32" s="365"/>
      <c r="BA32" s="377">
        <f t="shared" si="51"/>
        <v>0</v>
      </c>
      <c r="BB32" s="377">
        <f t="shared" si="39"/>
        <v>0</v>
      </c>
      <c r="BC32" s="377">
        <f t="shared" si="40"/>
        <v>0</v>
      </c>
      <c r="BD32" s="377">
        <f t="shared" si="41"/>
        <v>0</v>
      </c>
      <c r="BE32" s="377">
        <f t="shared" si="42"/>
        <v>0</v>
      </c>
      <c r="BF32" s="377">
        <f t="shared" si="43"/>
        <v>0</v>
      </c>
      <c r="BG32" s="328"/>
    </row>
    <row r="33" spans="2:59">
      <c r="B33" s="332">
        <v>18</v>
      </c>
      <c r="C33" s="350">
        <v>4842637.3863274064</v>
      </c>
      <c r="D33" s="350">
        <v>4825186.0623903545</v>
      </c>
      <c r="E33" s="350">
        <v>4806313.3111300711</v>
      </c>
      <c r="F33" s="350">
        <v>4783671.4059834285</v>
      </c>
      <c r="G33" s="350">
        <v>4755180.5168894595</v>
      </c>
      <c r="H33" s="348">
        <v>24012988.682720721</v>
      </c>
      <c r="I33" s="369"/>
      <c r="J33" s="350">
        <v>16602724.05057637</v>
      </c>
      <c r="K33" s="350">
        <v>16258381.638106968</v>
      </c>
      <c r="L33" s="350">
        <v>15904007.349332903</v>
      </c>
      <c r="M33" s="350">
        <v>15514661.35671531</v>
      </c>
      <c r="N33" s="350">
        <v>15069394.136381142</v>
      </c>
      <c r="O33" s="348">
        <v>79349168.531112701</v>
      </c>
      <c r="P33" s="369"/>
      <c r="Q33" s="350">
        <f t="shared" si="44"/>
        <v>11760086.664248964</v>
      </c>
      <c r="R33" s="350">
        <f t="shared" si="45"/>
        <v>11433195.575716615</v>
      </c>
      <c r="S33" s="350">
        <f t="shared" si="46"/>
        <v>11097694.038202832</v>
      </c>
      <c r="T33" s="350">
        <f t="shared" si="47"/>
        <v>10730989.950731881</v>
      </c>
      <c r="U33" s="350">
        <f t="shared" si="48"/>
        <v>10314213.619491681</v>
      </c>
      <c r="V33" s="350">
        <f t="shared" si="49"/>
        <v>55336179.84839198</v>
      </c>
      <c r="W33" s="365"/>
      <c r="X33" s="377">
        <f t="shared" si="28"/>
        <v>0</v>
      </c>
      <c r="Y33" s="377">
        <f t="shared" si="29"/>
        <v>0</v>
      </c>
      <c r="Z33" s="377">
        <f t="shared" si="30"/>
        <v>0</v>
      </c>
      <c r="AA33" s="377">
        <f t="shared" si="31"/>
        <v>0</v>
      </c>
      <c r="AB33" s="377">
        <f t="shared" si="32"/>
        <v>0</v>
      </c>
      <c r="AC33" s="377">
        <f t="shared" si="33"/>
        <v>0</v>
      </c>
      <c r="AD33" s="376"/>
      <c r="AE33" s="332">
        <v>18</v>
      </c>
      <c r="AF33" s="350">
        <v>544428.41892813228</v>
      </c>
      <c r="AG33" s="350">
        <v>542466.47217447369</v>
      </c>
      <c r="AH33" s="350">
        <v>540344.72294780845</v>
      </c>
      <c r="AI33" s="350">
        <v>537799.23055655288</v>
      </c>
      <c r="AJ33" s="350">
        <v>534596.17229183915</v>
      </c>
      <c r="AK33" s="348">
        <v>2699635.0168988062</v>
      </c>
      <c r="AL33" s="369"/>
      <c r="AM33" s="350">
        <v>16792653.920391172</v>
      </c>
      <c r="AN33" s="350">
        <v>16646363.68549975</v>
      </c>
      <c r="AO33" s="350">
        <v>16485802.14030933</v>
      </c>
      <c r="AP33" s="350">
        <v>16279220.541431852</v>
      </c>
      <c r="AQ33" s="350">
        <v>15999447.341003707</v>
      </c>
      <c r="AR33" s="348">
        <v>82203487.628635809</v>
      </c>
      <c r="AS33" s="369"/>
      <c r="AT33" s="350">
        <f t="shared" si="50"/>
        <v>16248225.501463041</v>
      </c>
      <c r="AU33" s="350">
        <f t="shared" si="34"/>
        <v>16103897.213325277</v>
      </c>
      <c r="AV33" s="350">
        <f t="shared" si="35"/>
        <v>15945457.417361522</v>
      </c>
      <c r="AW33" s="350">
        <f t="shared" si="36"/>
        <v>15741421.310875298</v>
      </c>
      <c r="AX33" s="350">
        <f t="shared" si="37"/>
        <v>15464851.168711867</v>
      </c>
      <c r="AY33" s="350">
        <f t="shared" si="38"/>
        <v>79503852.611736998</v>
      </c>
      <c r="AZ33" s="365"/>
      <c r="BA33" s="377">
        <f t="shared" si="51"/>
        <v>0</v>
      </c>
      <c r="BB33" s="377">
        <f t="shared" si="39"/>
        <v>0</v>
      </c>
      <c r="BC33" s="377">
        <f t="shared" si="40"/>
        <v>0</v>
      </c>
      <c r="BD33" s="377">
        <f t="shared" si="41"/>
        <v>0</v>
      </c>
      <c r="BE33" s="377">
        <f t="shared" si="42"/>
        <v>0</v>
      </c>
      <c r="BF33" s="377">
        <f t="shared" si="43"/>
        <v>0</v>
      </c>
      <c r="BG33" s="328"/>
    </row>
    <row r="34" spans="2:59">
      <c r="B34" s="332">
        <v>19</v>
      </c>
      <c r="C34" s="350">
        <v>4259342.4095366886</v>
      </c>
      <c r="D34" s="350">
        <v>4243993.0950582791</v>
      </c>
      <c r="E34" s="350">
        <v>4227393.5639733132</v>
      </c>
      <c r="F34" s="350">
        <v>4207478.8730455777</v>
      </c>
      <c r="G34" s="350">
        <v>4182419.7074458627</v>
      </c>
      <c r="H34" s="348">
        <v>21120627.64905972</v>
      </c>
      <c r="I34" s="369"/>
      <c r="J34" s="350">
        <v>14927678.786469251</v>
      </c>
      <c r="K34" s="350">
        <v>14622471.773454653</v>
      </c>
      <c r="L34" s="350">
        <v>14308155.256629486</v>
      </c>
      <c r="M34" s="350">
        <v>13962163.646722311</v>
      </c>
      <c r="N34" s="350">
        <v>13565530.853206277</v>
      </c>
      <c r="O34" s="348">
        <v>71386000.316481978</v>
      </c>
      <c r="P34" s="369"/>
      <c r="Q34" s="350">
        <f t="shared" si="44"/>
        <v>10668336.376932561</v>
      </c>
      <c r="R34" s="350">
        <f t="shared" si="45"/>
        <v>10378478.678396374</v>
      </c>
      <c r="S34" s="350">
        <f t="shared" si="46"/>
        <v>10080761.692656172</v>
      </c>
      <c r="T34" s="350">
        <f t="shared" si="47"/>
        <v>9754684.7736767344</v>
      </c>
      <c r="U34" s="350">
        <f t="shared" si="48"/>
        <v>9383111.1457604133</v>
      </c>
      <c r="V34" s="350">
        <f t="shared" si="49"/>
        <v>50265372.667422257</v>
      </c>
      <c r="W34" s="365"/>
      <c r="X34" s="377">
        <f t="shared" si="28"/>
        <v>0</v>
      </c>
      <c r="Y34" s="377">
        <f t="shared" si="29"/>
        <v>0</v>
      </c>
      <c r="Z34" s="377">
        <f t="shared" si="30"/>
        <v>0</v>
      </c>
      <c r="AA34" s="377">
        <f t="shared" si="31"/>
        <v>0</v>
      </c>
      <c r="AB34" s="377">
        <f t="shared" si="32"/>
        <v>0</v>
      </c>
      <c r="AC34" s="377">
        <f t="shared" si="33"/>
        <v>0</v>
      </c>
      <c r="AD34" s="376"/>
      <c r="AE34" s="332">
        <v>19</v>
      </c>
      <c r="AF34" s="350">
        <v>464285.30022217572</v>
      </c>
      <c r="AG34" s="350">
        <v>462612.16376222437</v>
      </c>
      <c r="AH34" s="350">
        <v>460802.74870884087</v>
      </c>
      <c r="AI34" s="350">
        <v>458631.96801848989</v>
      </c>
      <c r="AJ34" s="350">
        <v>455900.41908320546</v>
      </c>
      <c r="AK34" s="348">
        <v>2302232.5997949364</v>
      </c>
      <c r="AL34" s="369"/>
      <c r="AM34" s="350">
        <v>11406979.655588524</v>
      </c>
      <c r="AN34" s="350">
        <v>11303224.27838226</v>
      </c>
      <c r="AO34" s="350">
        <v>11189864.126128215</v>
      </c>
      <c r="AP34" s="350">
        <v>11045474.336437441</v>
      </c>
      <c r="AQ34" s="350">
        <v>10851727.518382875</v>
      </c>
      <c r="AR34" s="348">
        <v>55797269.914919324</v>
      </c>
      <c r="AS34" s="369"/>
      <c r="AT34" s="350">
        <f t="shared" si="50"/>
        <v>10942694.355366349</v>
      </c>
      <c r="AU34" s="350">
        <f t="shared" si="34"/>
        <v>10840612.114620036</v>
      </c>
      <c r="AV34" s="350">
        <f t="shared" si="35"/>
        <v>10729061.377419375</v>
      </c>
      <c r="AW34" s="350">
        <f t="shared" si="36"/>
        <v>10586842.368418951</v>
      </c>
      <c r="AX34" s="350">
        <f t="shared" si="37"/>
        <v>10395827.099299669</v>
      </c>
      <c r="AY34" s="350">
        <f t="shared" si="38"/>
        <v>53495037.315124385</v>
      </c>
      <c r="AZ34" s="365"/>
      <c r="BA34" s="377">
        <f t="shared" si="51"/>
        <v>0</v>
      </c>
      <c r="BB34" s="377">
        <f t="shared" si="39"/>
        <v>0</v>
      </c>
      <c r="BC34" s="377">
        <f t="shared" si="40"/>
        <v>0</v>
      </c>
      <c r="BD34" s="377">
        <f t="shared" si="41"/>
        <v>0</v>
      </c>
      <c r="BE34" s="377">
        <f t="shared" si="42"/>
        <v>0</v>
      </c>
      <c r="BF34" s="377">
        <f t="shared" si="43"/>
        <v>0</v>
      </c>
      <c r="BG34" s="328"/>
    </row>
    <row r="35" spans="2:59">
      <c r="B35" s="332">
        <v>20</v>
      </c>
      <c r="C35" s="350">
        <v>3854348.316980903</v>
      </c>
      <c r="D35" s="350">
        <v>3840458.4723198563</v>
      </c>
      <c r="E35" s="350">
        <v>3825437.2862896472</v>
      </c>
      <c r="F35" s="350">
        <v>3807416.1581247365</v>
      </c>
      <c r="G35" s="350">
        <v>3784739.7110426798</v>
      </c>
      <c r="H35" s="348">
        <v>19112399.944757823</v>
      </c>
      <c r="I35" s="369"/>
      <c r="J35" s="350">
        <v>14391734.753501173</v>
      </c>
      <c r="K35" s="350">
        <v>14109180.718750745</v>
      </c>
      <c r="L35" s="350">
        <v>13817605.419055166</v>
      </c>
      <c r="M35" s="350">
        <v>13494875.71617862</v>
      </c>
      <c r="N35" s="350">
        <v>13122360.076714629</v>
      </c>
      <c r="O35" s="348">
        <v>68935756.684200332</v>
      </c>
      <c r="P35" s="369"/>
      <c r="Q35" s="350">
        <f t="shared" si="44"/>
        <v>10537386.436520271</v>
      </c>
      <c r="R35" s="350">
        <f t="shared" si="45"/>
        <v>10268722.246430889</v>
      </c>
      <c r="S35" s="350">
        <f t="shared" si="46"/>
        <v>9992168.1327655185</v>
      </c>
      <c r="T35" s="350">
        <f t="shared" si="47"/>
        <v>9687459.5580538847</v>
      </c>
      <c r="U35" s="350">
        <f t="shared" si="48"/>
        <v>9337620.3656719495</v>
      </c>
      <c r="V35" s="350">
        <f t="shared" si="49"/>
        <v>49823356.739442512</v>
      </c>
      <c r="W35" s="365"/>
      <c r="X35" s="377">
        <f t="shared" si="28"/>
        <v>0</v>
      </c>
      <c r="Y35" s="377">
        <f t="shared" si="29"/>
        <v>0</v>
      </c>
      <c r="Z35" s="377">
        <f t="shared" si="30"/>
        <v>0</v>
      </c>
      <c r="AA35" s="377">
        <f t="shared" si="31"/>
        <v>0</v>
      </c>
      <c r="AB35" s="377">
        <f t="shared" si="32"/>
        <v>0</v>
      </c>
      <c r="AC35" s="377">
        <f t="shared" si="33"/>
        <v>0</v>
      </c>
      <c r="AD35" s="376"/>
      <c r="AE35" s="332">
        <v>20</v>
      </c>
      <c r="AF35" s="350">
        <v>430003.06788836623</v>
      </c>
      <c r="AG35" s="350">
        <v>428453.47368318524</v>
      </c>
      <c r="AH35" s="350">
        <v>426777.66352148942</v>
      </c>
      <c r="AI35" s="350">
        <v>424767.17049895122</v>
      </c>
      <c r="AJ35" s="350">
        <v>422237.31564096326</v>
      </c>
      <c r="AK35" s="348">
        <v>2132238.6912329551</v>
      </c>
      <c r="AL35" s="369"/>
      <c r="AM35" s="350">
        <v>14503384.108081387</v>
      </c>
      <c r="AN35" s="350">
        <v>14378902.387848288</v>
      </c>
      <c r="AO35" s="350">
        <v>14242056.811709315</v>
      </c>
      <c r="AP35" s="350">
        <v>14065366.559133016</v>
      </c>
      <c r="AQ35" s="350">
        <v>13825309.014277782</v>
      </c>
      <c r="AR35" s="348">
        <v>71015018.881049782</v>
      </c>
      <c r="AS35" s="369"/>
      <c r="AT35" s="350">
        <f t="shared" si="50"/>
        <v>14073381.040193021</v>
      </c>
      <c r="AU35" s="350">
        <f t="shared" si="34"/>
        <v>13950448.914165102</v>
      </c>
      <c r="AV35" s="350">
        <f t="shared" si="35"/>
        <v>13815279.148187825</v>
      </c>
      <c r="AW35" s="350">
        <f t="shared" si="36"/>
        <v>13640599.388634065</v>
      </c>
      <c r="AX35" s="350">
        <f t="shared" si="37"/>
        <v>13403071.698636819</v>
      </c>
      <c r="AY35" s="350">
        <f t="shared" si="38"/>
        <v>68882780.189816833</v>
      </c>
      <c r="AZ35" s="365"/>
      <c r="BA35" s="377">
        <f t="shared" si="51"/>
        <v>0</v>
      </c>
      <c r="BB35" s="377">
        <f t="shared" si="39"/>
        <v>0</v>
      </c>
      <c r="BC35" s="377">
        <f t="shared" si="40"/>
        <v>0</v>
      </c>
      <c r="BD35" s="377">
        <f t="shared" si="41"/>
        <v>0</v>
      </c>
      <c r="BE35" s="377">
        <f t="shared" si="42"/>
        <v>0</v>
      </c>
      <c r="BF35" s="377">
        <f t="shared" si="43"/>
        <v>0</v>
      </c>
      <c r="BG35" s="328"/>
    </row>
    <row r="36" spans="2:59">
      <c r="B36" s="332">
        <v>21</v>
      </c>
      <c r="C36" s="350">
        <v>5665118.8061245363</v>
      </c>
      <c r="D36" s="350">
        <v>5644703.52091101</v>
      </c>
      <c r="E36" s="350">
        <v>5622625.3908429192</v>
      </c>
      <c r="F36" s="350">
        <v>5596137.9476544438</v>
      </c>
      <c r="G36" s="350">
        <v>5562808.1195601141</v>
      </c>
      <c r="H36" s="348">
        <v>28091393.785093024</v>
      </c>
      <c r="I36" s="369"/>
      <c r="J36" s="350">
        <v>19981756.268797029</v>
      </c>
      <c r="K36" s="350">
        <v>19574899.833186664</v>
      </c>
      <c r="L36" s="350">
        <v>19155815.277526774</v>
      </c>
      <c r="M36" s="350">
        <v>18694242.54819816</v>
      </c>
      <c r="N36" s="350">
        <v>18164744.290273484</v>
      </c>
      <c r="O36" s="348">
        <v>95571458.217982113</v>
      </c>
      <c r="P36" s="369"/>
      <c r="Q36" s="350">
        <f t="shared" si="44"/>
        <v>14316637.462672492</v>
      </c>
      <c r="R36" s="350">
        <f t="shared" si="45"/>
        <v>13930196.312275654</v>
      </c>
      <c r="S36" s="350">
        <f t="shared" si="46"/>
        <v>13533189.886683855</v>
      </c>
      <c r="T36" s="350">
        <f t="shared" si="47"/>
        <v>13098104.600543715</v>
      </c>
      <c r="U36" s="350">
        <f t="shared" si="48"/>
        <v>12601936.170713369</v>
      </c>
      <c r="V36" s="350">
        <f t="shared" si="49"/>
        <v>67480064.432889089</v>
      </c>
      <c r="W36" s="365"/>
      <c r="X36" s="377">
        <f t="shared" si="28"/>
        <v>0</v>
      </c>
      <c r="Y36" s="377">
        <f t="shared" si="29"/>
        <v>0</v>
      </c>
      <c r="Z36" s="377">
        <f t="shared" si="30"/>
        <v>0</v>
      </c>
      <c r="AA36" s="377">
        <f t="shared" si="31"/>
        <v>0</v>
      </c>
      <c r="AB36" s="377">
        <f t="shared" si="32"/>
        <v>0</v>
      </c>
      <c r="AC36" s="377">
        <f t="shared" si="33"/>
        <v>0</v>
      </c>
      <c r="AD36" s="376"/>
      <c r="AE36" s="332">
        <v>21</v>
      </c>
      <c r="AF36" s="350">
        <v>643288.38114822109</v>
      </c>
      <c r="AG36" s="350">
        <v>640970.17455359653</v>
      </c>
      <c r="AH36" s="350">
        <v>638463.1477751066</v>
      </c>
      <c r="AI36" s="350">
        <v>635455.43248570268</v>
      </c>
      <c r="AJ36" s="350">
        <v>631670.74731095042</v>
      </c>
      <c r="AK36" s="348">
        <v>3189847.8832735773</v>
      </c>
      <c r="AL36" s="369"/>
      <c r="AM36" s="350">
        <v>19001762.586655531</v>
      </c>
      <c r="AN36" s="350">
        <v>18834963.764356244</v>
      </c>
      <c r="AO36" s="350">
        <v>18652042.017995942</v>
      </c>
      <c r="AP36" s="350">
        <v>18417112.807104599</v>
      </c>
      <c r="AQ36" s="350">
        <v>18099467.53995157</v>
      </c>
      <c r="AR36" s="348">
        <v>93005348.716063887</v>
      </c>
      <c r="AS36" s="369"/>
      <c r="AT36" s="350">
        <f t="shared" si="50"/>
        <v>18358474.205507308</v>
      </c>
      <c r="AU36" s="350">
        <f t="shared" si="34"/>
        <v>18193993.589802649</v>
      </c>
      <c r="AV36" s="350">
        <f t="shared" si="35"/>
        <v>18013578.870220836</v>
      </c>
      <c r="AW36" s="350">
        <f t="shared" si="36"/>
        <v>17781657.374618895</v>
      </c>
      <c r="AX36" s="350">
        <f t="shared" si="37"/>
        <v>17467796.792640619</v>
      </c>
      <c r="AY36" s="350">
        <f t="shared" si="38"/>
        <v>89815500.832790315</v>
      </c>
      <c r="AZ36" s="365"/>
      <c r="BA36" s="377">
        <f t="shared" si="51"/>
        <v>0</v>
      </c>
      <c r="BB36" s="377">
        <f t="shared" si="39"/>
        <v>0</v>
      </c>
      <c r="BC36" s="377">
        <f t="shared" si="40"/>
        <v>0</v>
      </c>
      <c r="BD36" s="377">
        <f t="shared" si="41"/>
        <v>0</v>
      </c>
      <c r="BE36" s="377">
        <f t="shared" si="42"/>
        <v>0</v>
      </c>
      <c r="BF36" s="377">
        <f t="shared" si="43"/>
        <v>0</v>
      </c>
      <c r="BG36" s="328"/>
    </row>
    <row r="37" spans="2:59">
      <c r="B37" s="332">
        <v>22</v>
      </c>
      <c r="C37" s="350">
        <v>7839009.532808654</v>
      </c>
      <c r="D37" s="350">
        <v>7810760.2372721108</v>
      </c>
      <c r="E37" s="350">
        <v>7780210.0091139218</v>
      </c>
      <c r="F37" s="350">
        <v>7743558.4706802154</v>
      </c>
      <c r="G37" s="350">
        <v>7697438.9012413807</v>
      </c>
      <c r="H37" s="348">
        <v>38870977.151116282</v>
      </c>
      <c r="I37" s="369"/>
      <c r="J37" s="350">
        <v>29727626.621586747</v>
      </c>
      <c r="K37" s="350">
        <v>29149667.629845306</v>
      </c>
      <c r="L37" s="350">
        <v>28552958.17202184</v>
      </c>
      <c r="M37" s="350">
        <v>27891596.315573592</v>
      </c>
      <c r="N37" s="350">
        <v>27126928.292623468</v>
      </c>
      <c r="O37" s="348">
        <v>142448777.03165096</v>
      </c>
      <c r="P37" s="369"/>
      <c r="Q37" s="350">
        <f t="shared" si="44"/>
        <v>21888617.088778093</v>
      </c>
      <c r="R37" s="350">
        <f t="shared" si="45"/>
        <v>21338907.392573196</v>
      </c>
      <c r="S37" s="350">
        <f t="shared" si="46"/>
        <v>20772748.162907917</v>
      </c>
      <c r="T37" s="350">
        <f t="shared" si="47"/>
        <v>20148037.844893377</v>
      </c>
      <c r="U37" s="350">
        <f t="shared" si="48"/>
        <v>19429489.391382087</v>
      </c>
      <c r="V37" s="350">
        <f t="shared" si="49"/>
        <v>103577799.88053468</v>
      </c>
      <c r="W37" s="365"/>
      <c r="X37" s="377">
        <f t="shared" si="28"/>
        <v>0</v>
      </c>
      <c r="Y37" s="377">
        <f t="shared" si="29"/>
        <v>0</v>
      </c>
      <c r="Z37" s="377">
        <f t="shared" si="30"/>
        <v>0</v>
      </c>
      <c r="AA37" s="377">
        <f t="shared" si="31"/>
        <v>0</v>
      </c>
      <c r="AB37" s="377">
        <f t="shared" si="32"/>
        <v>0</v>
      </c>
      <c r="AC37" s="377">
        <f t="shared" si="33"/>
        <v>0</v>
      </c>
      <c r="AD37" s="376"/>
      <c r="AE37" s="332">
        <v>22</v>
      </c>
      <c r="AF37" s="350">
        <v>454655.87676973781</v>
      </c>
      <c r="AG37" s="350">
        <v>453017.44168727758</v>
      </c>
      <c r="AH37" s="350">
        <v>451245.55447236291</v>
      </c>
      <c r="AI37" s="350">
        <v>449119.79645768087</v>
      </c>
      <c r="AJ37" s="350">
        <v>446444.90070819919</v>
      </c>
      <c r="AK37" s="348">
        <v>2254483.5700952583</v>
      </c>
      <c r="AL37" s="369"/>
      <c r="AM37" s="350">
        <v>11881738.820242042</v>
      </c>
      <c r="AN37" s="350">
        <v>11775008.450962946</v>
      </c>
      <c r="AO37" s="350">
        <v>11658246.124823602</v>
      </c>
      <c r="AP37" s="350">
        <v>11509091.891107151</v>
      </c>
      <c r="AQ37" s="350">
        <v>11308415.786964776</v>
      </c>
      <c r="AR37" s="348">
        <v>58132501.074100509</v>
      </c>
      <c r="AS37" s="369"/>
      <c r="AT37" s="350">
        <f t="shared" si="50"/>
        <v>11427082.943472303</v>
      </c>
      <c r="AU37" s="350">
        <f t="shared" si="34"/>
        <v>11321991.009275667</v>
      </c>
      <c r="AV37" s="350">
        <f t="shared" si="35"/>
        <v>11207000.570351239</v>
      </c>
      <c r="AW37" s="350">
        <f t="shared" si="36"/>
        <v>11059972.094649471</v>
      </c>
      <c r="AX37" s="350">
        <f t="shared" si="37"/>
        <v>10861970.886256577</v>
      </c>
      <c r="AY37" s="350">
        <f t="shared" si="38"/>
        <v>55878017.504005253</v>
      </c>
      <c r="AZ37" s="365"/>
      <c r="BA37" s="377">
        <f t="shared" si="51"/>
        <v>0</v>
      </c>
      <c r="BB37" s="377">
        <f t="shared" si="39"/>
        <v>0</v>
      </c>
      <c r="BC37" s="377">
        <f t="shared" si="40"/>
        <v>0</v>
      </c>
      <c r="BD37" s="377">
        <f t="shared" si="41"/>
        <v>0</v>
      </c>
      <c r="BE37" s="377">
        <f t="shared" si="42"/>
        <v>0</v>
      </c>
      <c r="BF37" s="377">
        <f t="shared" si="43"/>
        <v>0</v>
      </c>
      <c r="BG37" s="328"/>
    </row>
    <row r="38" spans="2:59">
      <c r="B38" s="332">
        <v>23</v>
      </c>
      <c r="C38" s="350">
        <v>3533550.399949884</v>
      </c>
      <c r="D38" s="350">
        <v>3520816.6088856328</v>
      </c>
      <c r="E38" s="350">
        <v>3507045.6381430756</v>
      </c>
      <c r="F38" s="350">
        <v>3490524.4108439945</v>
      </c>
      <c r="G38" s="350">
        <v>3469735.3274331307</v>
      </c>
      <c r="H38" s="348">
        <v>17521672.385255717</v>
      </c>
      <c r="I38" s="369"/>
      <c r="J38" s="350">
        <v>11405037.719324522</v>
      </c>
      <c r="K38" s="350">
        <v>11158893.737976689</v>
      </c>
      <c r="L38" s="350">
        <v>10906054.559222374</v>
      </c>
      <c r="M38" s="350">
        <v>10629698.191167831</v>
      </c>
      <c r="N38" s="350">
        <v>10315718.002655344</v>
      </c>
      <c r="O38" s="348">
        <v>54415402.210346758</v>
      </c>
      <c r="P38" s="369"/>
      <c r="Q38" s="350">
        <f t="shared" si="44"/>
        <v>7871487.3193746377</v>
      </c>
      <c r="R38" s="350">
        <f t="shared" si="45"/>
        <v>7638077.1290910561</v>
      </c>
      <c r="S38" s="350">
        <f t="shared" si="46"/>
        <v>7399008.9210792985</v>
      </c>
      <c r="T38" s="350">
        <f t="shared" si="47"/>
        <v>7139173.780323837</v>
      </c>
      <c r="U38" s="350">
        <f t="shared" si="48"/>
        <v>6845982.6752222134</v>
      </c>
      <c r="V38" s="350">
        <f t="shared" si="49"/>
        <v>36893729.825091042</v>
      </c>
      <c r="W38" s="365"/>
      <c r="X38" s="377">
        <f t="shared" si="28"/>
        <v>0</v>
      </c>
      <c r="Y38" s="377">
        <f t="shared" si="29"/>
        <v>0</v>
      </c>
      <c r="Z38" s="377">
        <f t="shared" si="30"/>
        <v>0</v>
      </c>
      <c r="AA38" s="377">
        <f t="shared" si="31"/>
        <v>0</v>
      </c>
      <c r="AB38" s="377">
        <f t="shared" si="32"/>
        <v>0</v>
      </c>
      <c r="AC38" s="377">
        <f t="shared" si="33"/>
        <v>0</v>
      </c>
      <c r="AD38" s="376"/>
      <c r="AE38" s="332">
        <v>23</v>
      </c>
      <c r="AF38" s="350">
        <v>364726.68225879502</v>
      </c>
      <c r="AG38" s="350">
        <v>363412.32337275607</v>
      </c>
      <c r="AH38" s="350">
        <v>361990.90867594379</v>
      </c>
      <c r="AI38" s="350">
        <v>360285.61747089314</v>
      </c>
      <c r="AJ38" s="350">
        <v>358139.80587591685</v>
      </c>
      <c r="AK38" s="348">
        <v>1808555.3376543047</v>
      </c>
      <c r="AL38" s="369"/>
      <c r="AM38" s="350">
        <v>10877945.574898897</v>
      </c>
      <c r="AN38" s="350">
        <v>10782622.291932894</v>
      </c>
      <c r="AO38" s="350">
        <v>10678065.762220552</v>
      </c>
      <c r="AP38" s="350">
        <v>10543727.850780051</v>
      </c>
      <c r="AQ38" s="350">
        <v>10362023.939490369</v>
      </c>
      <c r="AR38" s="348">
        <v>53244385.419322766</v>
      </c>
      <c r="AS38" s="369"/>
      <c r="AT38" s="350">
        <f t="shared" si="50"/>
        <v>10513218.892640103</v>
      </c>
      <c r="AU38" s="350">
        <f t="shared" si="34"/>
        <v>10419209.968560139</v>
      </c>
      <c r="AV38" s="350">
        <f t="shared" si="35"/>
        <v>10316074.853544608</v>
      </c>
      <c r="AW38" s="350">
        <f t="shared" si="36"/>
        <v>10183442.233309157</v>
      </c>
      <c r="AX38" s="350">
        <f t="shared" si="37"/>
        <v>10003884.133614453</v>
      </c>
      <c r="AY38" s="350">
        <f t="shared" si="38"/>
        <v>51435830.081668459</v>
      </c>
      <c r="AZ38" s="365"/>
      <c r="BA38" s="377">
        <f t="shared" si="51"/>
        <v>0</v>
      </c>
      <c r="BB38" s="377">
        <f t="shared" si="39"/>
        <v>0</v>
      </c>
      <c r="BC38" s="377">
        <f t="shared" si="40"/>
        <v>0</v>
      </c>
      <c r="BD38" s="377">
        <f t="shared" si="41"/>
        <v>0</v>
      </c>
      <c r="BE38" s="377">
        <f t="shared" si="42"/>
        <v>0</v>
      </c>
      <c r="BF38" s="377">
        <f t="shared" si="43"/>
        <v>0</v>
      </c>
      <c r="BG38" s="328"/>
    </row>
    <row r="39" spans="2:59">
      <c r="B39" s="332">
        <v>24</v>
      </c>
      <c r="C39" s="350">
        <v>5741930.4087629821</v>
      </c>
      <c r="D39" s="350">
        <v>5721238.3189793779</v>
      </c>
      <c r="E39" s="350">
        <v>5698860.8383395113</v>
      </c>
      <c r="F39" s="350">
        <v>5672014.2600594815</v>
      </c>
      <c r="G39" s="350">
        <v>5638232.5230821799</v>
      </c>
      <c r="H39" s="348">
        <v>28472276.349223532</v>
      </c>
      <c r="I39" s="369"/>
      <c r="J39" s="350">
        <v>20646353.441890195</v>
      </c>
      <c r="K39" s="350">
        <v>20231143.237319749</v>
      </c>
      <c r="L39" s="350">
        <v>19803192.460722268</v>
      </c>
      <c r="M39" s="350">
        <v>19331067.360334679</v>
      </c>
      <c r="N39" s="350">
        <v>18788331.162618145</v>
      </c>
      <c r="O39" s="348">
        <v>98800087.66288504</v>
      </c>
      <c r="P39" s="369"/>
      <c r="Q39" s="350">
        <f t="shared" si="44"/>
        <v>14904423.033127213</v>
      </c>
      <c r="R39" s="350">
        <f t="shared" si="45"/>
        <v>14509904.91834037</v>
      </c>
      <c r="S39" s="350">
        <f t="shared" si="46"/>
        <v>14104331.622382756</v>
      </c>
      <c r="T39" s="350">
        <f t="shared" si="47"/>
        <v>13659053.100275198</v>
      </c>
      <c r="U39" s="350">
        <f t="shared" si="48"/>
        <v>13150098.639535965</v>
      </c>
      <c r="V39" s="350">
        <f t="shared" si="49"/>
        <v>70327811.313661516</v>
      </c>
      <c r="W39" s="365"/>
      <c r="X39" s="377">
        <f t="shared" si="28"/>
        <v>0</v>
      </c>
      <c r="Y39" s="377">
        <f t="shared" si="29"/>
        <v>0</v>
      </c>
      <c r="Z39" s="377">
        <f t="shared" si="30"/>
        <v>0</v>
      </c>
      <c r="AA39" s="377">
        <f t="shared" si="31"/>
        <v>0</v>
      </c>
      <c r="AB39" s="377">
        <f t="shared" si="32"/>
        <v>0</v>
      </c>
      <c r="AC39" s="377">
        <f t="shared" si="33"/>
        <v>0</v>
      </c>
      <c r="AD39" s="376"/>
      <c r="AE39" s="332">
        <v>24</v>
      </c>
      <c r="AF39" s="350">
        <v>446919.78533031465</v>
      </c>
      <c r="AG39" s="350">
        <v>445309.2286593368</v>
      </c>
      <c r="AH39" s="350">
        <v>443567.49057965889</v>
      </c>
      <c r="AI39" s="350">
        <v>441477.90290659101</v>
      </c>
      <c r="AJ39" s="350">
        <v>438848.52122426697</v>
      </c>
      <c r="AK39" s="348">
        <v>2216122.9287001682</v>
      </c>
      <c r="AL39" s="369"/>
      <c r="AM39" s="350">
        <v>12010583.13304029</v>
      </c>
      <c r="AN39" s="350">
        <v>11903283.06212624</v>
      </c>
      <c r="AO39" s="350">
        <v>11785830.248606371</v>
      </c>
      <c r="AP39" s="350">
        <v>11635603.29311767</v>
      </c>
      <c r="AQ39" s="350">
        <v>11433247.384499086</v>
      </c>
      <c r="AR39" s="348">
        <v>58768547.121389657</v>
      </c>
      <c r="AS39" s="369"/>
      <c r="AT39" s="350">
        <f t="shared" si="50"/>
        <v>11563663.347709976</v>
      </c>
      <c r="AU39" s="350">
        <f t="shared" si="34"/>
        <v>11457973.833466902</v>
      </c>
      <c r="AV39" s="350">
        <f t="shared" si="35"/>
        <v>11342262.758026712</v>
      </c>
      <c r="AW39" s="350">
        <f t="shared" si="36"/>
        <v>11194125.390211079</v>
      </c>
      <c r="AX39" s="350">
        <f t="shared" si="37"/>
        <v>10994398.863274818</v>
      </c>
      <c r="AY39" s="350">
        <f t="shared" si="38"/>
        <v>56552424.192689486</v>
      </c>
      <c r="AZ39" s="365"/>
      <c r="BA39" s="377">
        <f t="shared" si="51"/>
        <v>0</v>
      </c>
      <c r="BB39" s="377">
        <f t="shared" si="39"/>
        <v>0</v>
      </c>
      <c r="BC39" s="377">
        <f t="shared" si="40"/>
        <v>0</v>
      </c>
      <c r="BD39" s="377">
        <f t="shared" si="41"/>
        <v>0</v>
      </c>
      <c r="BE39" s="377">
        <f t="shared" si="42"/>
        <v>0</v>
      </c>
      <c r="BF39" s="377">
        <f t="shared" si="43"/>
        <v>0</v>
      </c>
      <c r="BG39" s="328"/>
    </row>
    <row r="40" spans="2:59">
      <c r="B40" s="332">
        <v>25</v>
      </c>
      <c r="C40" s="350">
        <v>6841090.2606296455</v>
      </c>
      <c r="D40" s="350">
        <v>6816437.1485552359</v>
      </c>
      <c r="E40" s="350">
        <v>6789776.0165029913</v>
      </c>
      <c r="F40" s="350">
        <v>6757790.2813707013</v>
      </c>
      <c r="G40" s="350">
        <v>6717541.8117149435</v>
      </c>
      <c r="H40" s="348">
        <v>33922635.518773511</v>
      </c>
      <c r="I40" s="369"/>
      <c r="J40" s="350">
        <v>26686369.790896099</v>
      </c>
      <c r="K40" s="350">
        <v>26176630.022734515</v>
      </c>
      <c r="L40" s="350">
        <v>25649872.384865761</v>
      </c>
      <c r="M40" s="350">
        <v>25064597.269529846</v>
      </c>
      <c r="N40" s="350">
        <v>24385836.078486141</v>
      </c>
      <c r="O40" s="348">
        <v>127963305.54651237</v>
      </c>
      <c r="P40" s="369"/>
      <c r="Q40" s="350">
        <f t="shared" si="44"/>
        <v>19845279.530266453</v>
      </c>
      <c r="R40" s="350">
        <f t="shared" si="45"/>
        <v>19360192.874179281</v>
      </c>
      <c r="S40" s="350">
        <f t="shared" si="46"/>
        <v>18860096.368362769</v>
      </c>
      <c r="T40" s="350">
        <f t="shared" si="47"/>
        <v>18306806.988159142</v>
      </c>
      <c r="U40" s="350">
        <f t="shared" si="48"/>
        <v>17668294.266771197</v>
      </c>
      <c r="V40" s="350">
        <f t="shared" si="49"/>
        <v>94040670.027738854</v>
      </c>
      <c r="W40" s="365"/>
      <c r="X40" s="377">
        <f t="shared" si="28"/>
        <v>0</v>
      </c>
      <c r="Y40" s="377">
        <f t="shared" si="29"/>
        <v>0</v>
      </c>
      <c r="Z40" s="377">
        <f t="shared" si="30"/>
        <v>0</v>
      </c>
      <c r="AA40" s="377">
        <f t="shared" si="31"/>
        <v>0</v>
      </c>
      <c r="AB40" s="377">
        <f t="shared" si="32"/>
        <v>0</v>
      </c>
      <c r="AC40" s="377">
        <f t="shared" si="33"/>
        <v>0</v>
      </c>
      <c r="AD40" s="376"/>
      <c r="AE40" s="332">
        <v>25</v>
      </c>
      <c r="AF40" s="350">
        <v>636031.81243572629</v>
      </c>
      <c r="AG40" s="350">
        <v>633739.75620528799</v>
      </c>
      <c r="AH40" s="350">
        <v>631261.00976360368</v>
      </c>
      <c r="AI40" s="350">
        <v>628287.22279205057</v>
      </c>
      <c r="AJ40" s="350">
        <v>624545.23048853688</v>
      </c>
      <c r="AK40" s="348">
        <v>3153865.0316852052</v>
      </c>
      <c r="AL40" s="369"/>
      <c r="AM40" s="350">
        <v>22098304.897635721</v>
      </c>
      <c r="AN40" s="350">
        <v>21909524.847422902</v>
      </c>
      <c r="AO40" s="350">
        <v>21701888.275414534</v>
      </c>
      <c r="AP40" s="350">
        <v>21433494.911953144</v>
      </c>
      <c r="AQ40" s="350">
        <v>21068477.847627439</v>
      </c>
      <c r="AR40" s="348">
        <v>108211690.78005373</v>
      </c>
      <c r="AS40" s="369"/>
      <c r="AT40" s="350">
        <f t="shared" si="50"/>
        <v>21462273.085199993</v>
      </c>
      <c r="AU40" s="350">
        <f t="shared" si="34"/>
        <v>21275785.091217615</v>
      </c>
      <c r="AV40" s="350">
        <f t="shared" si="35"/>
        <v>21070627.265650932</v>
      </c>
      <c r="AW40" s="350">
        <f t="shared" si="36"/>
        <v>20805207.689161092</v>
      </c>
      <c r="AX40" s="350">
        <f t="shared" si="37"/>
        <v>20443932.6171389</v>
      </c>
      <c r="AY40" s="350">
        <f t="shared" si="38"/>
        <v>105057825.74836853</v>
      </c>
      <c r="AZ40" s="365"/>
      <c r="BA40" s="377">
        <f t="shared" si="51"/>
        <v>0</v>
      </c>
      <c r="BB40" s="377">
        <f t="shared" si="39"/>
        <v>0</v>
      </c>
      <c r="BC40" s="377">
        <f t="shared" si="40"/>
        <v>0</v>
      </c>
      <c r="BD40" s="377">
        <f t="shared" si="41"/>
        <v>0</v>
      </c>
      <c r="BE40" s="377">
        <f t="shared" si="42"/>
        <v>0</v>
      </c>
      <c r="BF40" s="377">
        <f t="shared" si="43"/>
        <v>0</v>
      </c>
      <c r="BG40" s="328"/>
    </row>
    <row r="41" spans="2:59">
      <c r="B41" s="332">
        <v>26</v>
      </c>
      <c r="C41" s="350">
        <v>3992435.2040101499</v>
      </c>
      <c r="D41" s="350">
        <v>3978047.7381553706</v>
      </c>
      <c r="E41" s="350">
        <v>3962488.399200771</v>
      </c>
      <c r="F41" s="350">
        <v>3943821.6414029375</v>
      </c>
      <c r="G41" s="350">
        <v>3920332.7820195211</v>
      </c>
      <c r="H41" s="348">
        <v>19797125.764788751</v>
      </c>
      <c r="I41" s="369"/>
      <c r="J41" s="350">
        <v>14307332.785061933</v>
      </c>
      <c r="K41" s="350">
        <v>14018980.342819259</v>
      </c>
      <c r="L41" s="350">
        <v>13721811.783066798</v>
      </c>
      <c r="M41" s="350">
        <v>13394064.555671755</v>
      </c>
      <c r="N41" s="350">
        <v>13017437.202512786</v>
      </c>
      <c r="O41" s="348">
        <v>68459626.669132531</v>
      </c>
      <c r="P41" s="369"/>
      <c r="Q41" s="350">
        <f t="shared" si="44"/>
        <v>10314897.581051784</v>
      </c>
      <c r="R41" s="350">
        <f t="shared" si="45"/>
        <v>10040932.604663888</v>
      </c>
      <c r="S41" s="350">
        <f t="shared" si="46"/>
        <v>9759323.383866027</v>
      </c>
      <c r="T41" s="350">
        <f t="shared" si="47"/>
        <v>9450242.9142688178</v>
      </c>
      <c r="U41" s="350">
        <f t="shared" si="48"/>
        <v>9097104.4204932638</v>
      </c>
      <c r="V41" s="350">
        <f t="shared" si="49"/>
        <v>48662500.904343784</v>
      </c>
      <c r="W41" s="365"/>
      <c r="X41" s="377">
        <f t="shared" si="28"/>
        <v>0</v>
      </c>
      <c r="Y41" s="377">
        <f t="shared" si="29"/>
        <v>0</v>
      </c>
      <c r="Z41" s="377">
        <f t="shared" si="30"/>
        <v>0</v>
      </c>
      <c r="AA41" s="377">
        <f t="shared" si="31"/>
        <v>0</v>
      </c>
      <c r="AB41" s="377">
        <f t="shared" si="32"/>
        <v>0</v>
      </c>
      <c r="AC41" s="377">
        <f t="shared" si="33"/>
        <v>0</v>
      </c>
      <c r="AD41" s="376"/>
      <c r="AE41" s="332">
        <v>26</v>
      </c>
      <c r="AF41" s="350">
        <v>458069.14857756346</v>
      </c>
      <c r="AG41" s="350">
        <v>456418.41314980533</v>
      </c>
      <c r="AH41" s="350">
        <v>454633.22371449438</v>
      </c>
      <c r="AI41" s="350">
        <v>452491.50683889689</v>
      </c>
      <c r="AJ41" s="350">
        <v>449796.52964602667</v>
      </c>
      <c r="AK41" s="348">
        <v>2271408.8219267866</v>
      </c>
      <c r="AL41" s="369"/>
      <c r="AM41" s="350">
        <v>13211204.944551166</v>
      </c>
      <c r="AN41" s="350">
        <v>13094734.266426763</v>
      </c>
      <c r="AO41" s="350">
        <v>12967064.177031361</v>
      </c>
      <c r="AP41" s="350">
        <v>12803261.721993078</v>
      </c>
      <c r="AQ41" s="350">
        <v>12581991.243270742</v>
      </c>
      <c r="AR41" s="348">
        <v>64658256.353273109</v>
      </c>
      <c r="AS41" s="369"/>
      <c r="AT41" s="350">
        <f t="shared" si="50"/>
        <v>12753135.795973603</v>
      </c>
      <c r="AU41" s="350">
        <f t="shared" si="34"/>
        <v>12638315.853276957</v>
      </c>
      <c r="AV41" s="350">
        <f t="shared" si="35"/>
        <v>12512430.953316865</v>
      </c>
      <c r="AW41" s="350">
        <f t="shared" si="36"/>
        <v>12350770.21515418</v>
      </c>
      <c r="AX41" s="350">
        <f t="shared" si="37"/>
        <v>12132194.713624716</v>
      </c>
      <c r="AY41" s="350">
        <f t="shared" si="38"/>
        <v>62386847.531346321</v>
      </c>
      <c r="AZ41" s="365"/>
      <c r="BA41" s="377">
        <f t="shared" si="51"/>
        <v>0</v>
      </c>
      <c r="BB41" s="377">
        <f t="shared" si="39"/>
        <v>0</v>
      </c>
      <c r="BC41" s="377">
        <f t="shared" si="40"/>
        <v>0</v>
      </c>
      <c r="BD41" s="377">
        <f t="shared" si="41"/>
        <v>0</v>
      </c>
      <c r="BE41" s="377">
        <f t="shared" si="42"/>
        <v>0</v>
      </c>
      <c r="BF41" s="377">
        <f t="shared" si="43"/>
        <v>0</v>
      </c>
      <c r="BG41" s="328"/>
    </row>
    <row r="42" spans="2:59">
      <c r="B42" s="332">
        <v>27</v>
      </c>
      <c r="C42" s="350">
        <v>9754129.7899311949</v>
      </c>
      <c r="D42" s="350">
        <v>9718979.0104884207</v>
      </c>
      <c r="E42" s="350">
        <v>9680965.1658413634</v>
      </c>
      <c r="F42" s="350">
        <v>9635359.4217244852</v>
      </c>
      <c r="G42" s="350">
        <v>9577972.5459617563</v>
      </c>
      <c r="H42" s="348">
        <v>48367405.93394722</v>
      </c>
      <c r="I42" s="369"/>
      <c r="J42" s="350">
        <v>26240434.025689814</v>
      </c>
      <c r="K42" s="350">
        <v>25598753.969582766</v>
      </c>
      <c r="L42" s="350">
        <v>24943208.578685634</v>
      </c>
      <c r="M42" s="350">
        <v>24237528.020026274</v>
      </c>
      <c r="N42" s="350">
        <v>23451487.971999582</v>
      </c>
      <c r="O42" s="348">
        <v>124471412.56598407</v>
      </c>
      <c r="P42" s="369"/>
      <c r="Q42" s="350">
        <f t="shared" si="44"/>
        <v>16486304.235758619</v>
      </c>
      <c r="R42" s="350">
        <f t="shared" si="45"/>
        <v>15879774.959094346</v>
      </c>
      <c r="S42" s="350">
        <f t="shared" si="46"/>
        <v>15262243.41284427</v>
      </c>
      <c r="T42" s="350">
        <f t="shared" si="47"/>
        <v>14602168.598301789</v>
      </c>
      <c r="U42" s="350">
        <f t="shared" si="48"/>
        <v>13873515.426037826</v>
      </c>
      <c r="V42" s="350">
        <f t="shared" si="49"/>
        <v>76104006.63203685</v>
      </c>
      <c r="W42" s="365"/>
      <c r="X42" s="377">
        <f t="shared" si="28"/>
        <v>0</v>
      </c>
      <c r="Y42" s="377">
        <f t="shared" si="29"/>
        <v>0</v>
      </c>
      <c r="Z42" s="377">
        <f t="shared" si="30"/>
        <v>0</v>
      </c>
      <c r="AA42" s="377">
        <f t="shared" si="31"/>
        <v>0</v>
      </c>
      <c r="AB42" s="377">
        <f t="shared" si="32"/>
        <v>0</v>
      </c>
      <c r="AC42" s="377">
        <f t="shared" si="33"/>
        <v>0</v>
      </c>
      <c r="AD42" s="376"/>
      <c r="AE42" s="332">
        <v>27</v>
      </c>
      <c r="AF42" s="350">
        <v>150892.18361280733</v>
      </c>
      <c r="AG42" s="350">
        <v>150348.41620556123</v>
      </c>
      <c r="AH42" s="350">
        <v>149760.35841364693</v>
      </c>
      <c r="AI42" s="350">
        <v>149054.85720920473</v>
      </c>
      <c r="AJ42" s="350">
        <v>148167.10697611945</v>
      </c>
      <c r="AK42" s="348">
        <v>748222.92241733964</v>
      </c>
      <c r="AL42" s="369"/>
      <c r="AM42" s="350">
        <v>5425680.1203671731</v>
      </c>
      <c r="AN42" s="350">
        <v>5379574.4298075829</v>
      </c>
      <c r="AO42" s="350">
        <v>5328834.0047557801</v>
      </c>
      <c r="AP42" s="350">
        <v>5263163.3974453239</v>
      </c>
      <c r="AQ42" s="350">
        <v>5173749.1542841597</v>
      </c>
      <c r="AR42" s="348">
        <v>26571001.10666002</v>
      </c>
      <c r="AS42" s="369"/>
      <c r="AT42" s="350">
        <f t="shared" si="50"/>
        <v>5274787.9367543655</v>
      </c>
      <c r="AU42" s="350">
        <f t="shared" si="34"/>
        <v>5229226.0136020221</v>
      </c>
      <c r="AV42" s="350">
        <f t="shared" si="35"/>
        <v>5179073.6463421332</v>
      </c>
      <c r="AW42" s="350">
        <f t="shared" si="36"/>
        <v>5114108.5402361192</v>
      </c>
      <c r="AX42" s="350">
        <f t="shared" si="37"/>
        <v>5025582.0473080399</v>
      </c>
      <c r="AY42" s="350">
        <f t="shared" si="38"/>
        <v>25822778.184242681</v>
      </c>
      <c r="AZ42" s="365"/>
      <c r="BA42" s="377">
        <f t="shared" si="51"/>
        <v>0</v>
      </c>
      <c r="BB42" s="377">
        <f t="shared" si="39"/>
        <v>0</v>
      </c>
      <c r="BC42" s="377">
        <f t="shared" si="40"/>
        <v>0</v>
      </c>
      <c r="BD42" s="377">
        <f t="shared" si="41"/>
        <v>0</v>
      </c>
      <c r="BE42" s="377">
        <f t="shared" si="42"/>
        <v>0</v>
      </c>
      <c r="BF42" s="377">
        <f t="shared" si="43"/>
        <v>0</v>
      </c>
      <c r="BG42" s="328"/>
    </row>
    <row r="43" spans="2:59">
      <c r="B43" s="332">
        <v>28</v>
      </c>
      <c r="C43" s="350">
        <v>5050801.0332186539</v>
      </c>
      <c r="D43" s="350">
        <v>5032599.5537477452</v>
      </c>
      <c r="E43" s="350">
        <v>5012915.5460551083</v>
      </c>
      <c r="F43" s="350">
        <v>4989300.3651556298</v>
      </c>
      <c r="G43" s="350">
        <v>4959584.7782567553</v>
      </c>
      <c r="H43" s="348">
        <v>25045201.276433893</v>
      </c>
      <c r="I43" s="369"/>
      <c r="J43" s="350">
        <v>14155795.91435251</v>
      </c>
      <c r="K43" s="350">
        <v>13819431.375574265</v>
      </c>
      <c r="L43" s="350">
        <v>13475386.869737905</v>
      </c>
      <c r="M43" s="350">
        <v>13103779.605001124</v>
      </c>
      <c r="N43" s="350">
        <v>12688014.389235154</v>
      </c>
      <c r="O43" s="348">
        <v>67242408.153900951</v>
      </c>
      <c r="P43" s="369"/>
      <c r="Q43" s="350">
        <f t="shared" si="44"/>
        <v>9104994.8811338563</v>
      </c>
      <c r="R43" s="350">
        <f t="shared" si="45"/>
        <v>8786831.8218265194</v>
      </c>
      <c r="S43" s="350">
        <f t="shared" si="46"/>
        <v>8462471.3236827962</v>
      </c>
      <c r="T43" s="350">
        <f t="shared" si="47"/>
        <v>8114479.2398454938</v>
      </c>
      <c r="U43" s="350">
        <f t="shared" si="48"/>
        <v>7728429.6109783985</v>
      </c>
      <c r="V43" s="350">
        <f t="shared" si="49"/>
        <v>42197206.877467059</v>
      </c>
      <c r="W43" s="365"/>
      <c r="X43" s="377">
        <f t="shared" si="28"/>
        <v>0</v>
      </c>
      <c r="Y43" s="377">
        <f t="shared" si="29"/>
        <v>0</v>
      </c>
      <c r="Z43" s="377">
        <f t="shared" si="30"/>
        <v>0</v>
      </c>
      <c r="AA43" s="377">
        <f t="shared" si="31"/>
        <v>0</v>
      </c>
      <c r="AB43" s="377">
        <f t="shared" si="32"/>
        <v>0</v>
      </c>
      <c r="AC43" s="377">
        <f t="shared" si="33"/>
        <v>0</v>
      </c>
      <c r="AD43" s="376"/>
      <c r="AE43" s="332">
        <v>28</v>
      </c>
      <c r="AF43" s="350">
        <v>419505.57288557041</v>
      </c>
      <c r="AG43" s="350">
        <v>417993.80831147823</v>
      </c>
      <c r="AH43" s="350">
        <v>416358.90904114983</v>
      </c>
      <c r="AI43" s="350">
        <v>414397.49739042803</v>
      </c>
      <c r="AJ43" s="350">
        <v>411929.40287954645</v>
      </c>
      <c r="AK43" s="348">
        <v>2080185.1905081728</v>
      </c>
      <c r="AL43" s="369"/>
      <c r="AM43" s="350">
        <v>11930567.497296399</v>
      </c>
      <c r="AN43" s="350">
        <v>11825116.04667907</v>
      </c>
      <c r="AO43" s="350">
        <v>11709556.340202337</v>
      </c>
      <c r="AP43" s="350">
        <v>11561381.067370275</v>
      </c>
      <c r="AQ43" s="350">
        <v>11361330.781572841</v>
      </c>
      <c r="AR43" s="348">
        <v>58387951.733120918</v>
      </c>
      <c r="AS43" s="369"/>
      <c r="AT43" s="350">
        <f t="shared" si="50"/>
        <v>11511061.924410827</v>
      </c>
      <c r="AU43" s="350">
        <f t="shared" si="34"/>
        <v>11407122.238367591</v>
      </c>
      <c r="AV43" s="350">
        <f t="shared" si="35"/>
        <v>11293197.431161188</v>
      </c>
      <c r="AW43" s="350">
        <f t="shared" si="36"/>
        <v>11146983.569979846</v>
      </c>
      <c r="AX43" s="350">
        <f t="shared" si="37"/>
        <v>10949401.378693294</v>
      </c>
      <c r="AY43" s="350">
        <f t="shared" si="38"/>
        <v>56307766.542612746</v>
      </c>
      <c r="AZ43" s="365"/>
      <c r="BA43" s="377">
        <f t="shared" si="51"/>
        <v>0</v>
      </c>
      <c r="BB43" s="377">
        <f t="shared" si="39"/>
        <v>0</v>
      </c>
      <c r="BC43" s="377">
        <f t="shared" si="40"/>
        <v>0</v>
      </c>
      <c r="BD43" s="377">
        <f t="shared" si="41"/>
        <v>0</v>
      </c>
      <c r="BE43" s="377">
        <f t="shared" si="42"/>
        <v>0</v>
      </c>
      <c r="BF43" s="377">
        <f t="shared" si="43"/>
        <v>0</v>
      </c>
      <c r="BG43" s="328"/>
    </row>
    <row r="44" spans="2:59">
      <c r="B44" s="332">
        <v>29</v>
      </c>
      <c r="C44" s="350">
        <v>7016519.3582395632</v>
      </c>
      <c r="D44" s="350">
        <v>6991234.0555289034</v>
      </c>
      <c r="E44" s="350">
        <v>6963889.240297664</v>
      </c>
      <c r="F44" s="350">
        <v>6931083.2808390073</v>
      </c>
      <c r="G44" s="350">
        <v>6889802.7019078415</v>
      </c>
      <c r="H44" s="348">
        <v>34792528.636812977</v>
      </c>
      <c r="I44" s="369"/>
      <c r="J44" s="350">
        <v>22089220.076276928</v>
      </c>
      <c r="K44" s="350">
        <v>21604474.372863851</v>
      </c>
      <c r="L44" s="350">
        <v>21106925.116744526</v>
      </c>
      <c r="M44" s="350">
        <v>20564250.423177838</v>
      </c>
      <c r="N44" s="350">
        <v>19949366.027287163</v>
      </c>
      <c r="O44" s="348">
        <v>105314236.0163503</v>
      </c>
      <c r="P44" s="369"/>
      <c r="Q44" s="350">
        <f t="shared" si="44"/>
        <v>15072700.718037365</v>
      </c>
      <c r="R44" s="350">
        <f t="shared" si="45"/>
        <v>14613240.317334948</v>
      </c>
      <c r="S44" s="350">
        <f t="shared" si="46"/>
        <v>14143035.876446862</v>
      </c>
      <c r="T44" s="350">
        <f t="shared" si="47"/>
        <v>13633167.142338831</v>
      </c>
      <c r="U44" s="350">
        <f t="shared" si="48"/>
        <v>13059563.325379321</v>
      </c>
      <c r="V44" s="350">
        <f t="shared" si="49"/>
        <v>70521707.379537314</v>
      </c>
      <c r="W44" s="365"/>
      <c r="X44" s="377">
        <f t="shared" si="28"/>
        <v>0</v>
      </c>
      <c r="Y44" s="377">
        <f t="shared" si="29"/>
        <v>0</v>
      </c>
      <c r="Z44" s="377">
        <f t="shared" si="30"/>
        <v>0</v>
      </c>
      <c r="AA44" s="377">
        <f t="shared" si="31"/>
        <v>0</v>
      </c>
      <c r="AB44" s="377">
        <f t="shared" si="32"/>
        <v>0</v>
      </c>
      <c r="AC44" s="377">
        <f t="shared" si="33"/>
        <v>0</v>
      </c>
      <c r="AD44" s="376"/>
      <c r="AE44" s="332">
        <v>29</v>
      </c>
      <c r="AF44" s="350">
        <v>330026.65083642403</v>
      </c>
      <c r="AG44" s="350">
        <v>328837.3398201032</v>
      </c>
      <c r="AH44" s="350">
        <v>327551.15826372954</v>
      </c>
      <c r="AI44" s="350">
        <v>326008.10815942066</v>
      </c>
      <c r="AJ44" s="350">
        <v>324066.44869642169</v>
      </c>
      <c r="AK44" s="348">
        <v>1636489.7057760991</v>
      </c>
      <c r="AL44" s="369"/>
      <c r="AM44" s="350">
        <v>13812635.126154292</v>
      </c>
      <c r="AN44" s="350">
        <v>13697770.422575254</v>
      </c>
      <c r="AO44" s="350">
        <v>13571055.39687887</v>
      </c>
      <c r="AP44" s="350">
        <v>13406198.929562695</v>
      </c>
      <c r="AQ44" s="350">
        <v>13180689.472511716</v>
      </c>
      <c r="AR44" s="348">
        <v>67668349.347682834</v>
      </c>
      <c r="AS44" s="369"/>
      <c r="AT44" s="350">
        <f t="shared" si="50"/>
        <v>13482608.475317867</v>
      </c>
      <c r="AU44" s="350">
        <f t="shared" si="34"/>
        <v>13368933.08275515</v>
      </c>
      <c r="AV44" s="350">
        <f t="shared" si="35"/>
        <v>13243504.23861514</v>
      </c>
      <c r="AW44" s="350">
        <f t="shared" si="36"/>
        <v>13080190.821403274</v>
      </c>
      <c r="AX44" s="350">
        <f t="shared" si="37"/>
        <v>12856623.023815295</v>
      </c>
      <c r="AY44" s="350">
        <f t="shared" si="38"/>
        <v>66031859.641906738</v>
      </c>
      <c r="AZ44" s="365"/>
      <c r="BA44" s="377">
        <f t="shared" si="51"/>
        <v>0</v>
      </c>
      <c r="BB44" s="377">
        <f t="shared" si="39"/>
        <v>0</v>
      </c>
      <c r="BC44" s="377">
        <f t="shared" si="40"/>
        <v>0</v>
      </c>
      <c r="BD44" s="377">
        <f t="shared" si="41"/>
        <v>0</v>
      </c>
      <c r="BE44" s="377">
        <f t="shared" si="42"/>
        <v>0</v>
      </c>
      <c r="BF44" s="377">
        <f t="shared" si="43"/>
        <v>0</v>
      </c>
      <c r="BG44" s="328"/>
    </row>
    <row r="45" spans="2:59">
      <c r="B45" s="332">
        <v>30</v>
      </c>
      <c r="C45" s="350">
        <v>4718938.9353297222</v>
      </c>
      <c r="D45" s="350">
        <v>4701933.3812421672</v>
      </c>
      <c r="E45" s="350">
        <v>4683542.708219572</v>
      </c>
      <c r="F45" s="350">
        <v>4661479.1591154821</v>
      </c>
      <c r="G45" s="350">
        <v>4633716.0302412678</v>
      </c>
      <c r="H45" s="348">
        <v>23399610.214148208</v>
      </c>
      <c r="I45" s="369"/>
      <c r="J45" s="350">
        <v>16951549.743256554</v>
      </c>
      <c r="K45" s="350">
        <v>16610432.369927134</v>
      </c>
      <c r="L45" s="350">
        <v>16258858.761036323</v>
      </c>
      <c r="M45" s="350">
        <v>15871027.287155721</v>
      </c>
      <c r="N45" s="350">
        <v>15425238.486652328</v>
      </c>
      <c r="O45" s="348">
        <v>81117106.648028061</v>
      </c>
      <c r="P45" s="369"/>
      <c r="Q45" s="350">
        <f t="shared" si="44"/>
        <v>12232610.807926832</v>
      </c>
      <c r="R45" s="350">
        <f t="shared" si="45"/>
        <v>11908498.988684967</v>
      </c>
      <c r="S45" s="350">
        <f t="shared" si="46"/>
        <v>11575316.052816752</v>
      </c>
      <c r="T45" s="350">
        <f t="shared" si="47"/>
        <v>11209548.128040239</v>
      </c>
      <c r="U45" s="350">
        <f t="shared" si="48"/>
        <v>10791522.45641106</v>
      </c>
      <c r="V45" s="350">
        <f t="shared" si="49"/>
        <v>57717496.433879852</v>
      </c>
      <c r="W45" s="365"/>
      <c r="X45" s="377">
        <f t="shared" si="28"/>
        <v>0</v>
      </c>
      <c r="Y45" s="377">
        <f t="shared" si="29"/>
        <v>0</v>
      </c>
      <c r="Z45" s="377">
        <f t="shared" si="30"/>
        <v>0</v>
      </c>
      <c r="AA45" s="377">
        <f t="shared" si="31"/>
        <v>0</v>
      </c>
      <c r="AB45" s="377">
        <f t="shared" si="32"/>
        <v>0</v>
      </c>
      <c r="AC45" s="377">
        <f t="shared" si="33"/>
        <v>0</v>
      </c>
      <c r="AD45" s="376"/>
      <c r="AE45" s="332">
        <v>30</v>
      </c>
      <c r="AF45" s="350">
        <v>571792.55580268265</v>
      </c>
      <c r="AG45" s="350">
        <v>569731.99740855629</v>
      </c>
      <c r="AH45" s="350">
        <v>567503.60452731093</v>
      </c>
      <c r="AI45" s="350">
        <v>564830.17024363042</v>
      </c>
      <c r="AJ45" s="350">
        <v>561466.11941915029</v>
      </c>
      <c r="AK45" s="348">
        <v>2835324.4474013308</v>
      </c>
      <c r="AL45" s="369"/>
      <c r="AM45" s="350">
        <v>17163643.15600701</v>
      </c>
      <c r="AN45" s="350">
        <v>17013409.471641853</v>
      </c>
      <c r="AO45" s="350">
        <v>16848603.720120076</v>
      </c>
      <c r="AP45" s="350">
        <v>16636798.734310962</v>
      </c>
      <c r="AQ45" s="350">
        <v>16350243.756989047</v>
      </c>
      <c r="AR45" s="348">
        <v>84012698.839068934</v>
      </c>
      <c r="AS45" s="369"/>
      <c r="AT45" s="350">
        <f t="shared" si="50"/>
        <v>16591850.600204328</v>
      </c>
      <c r="AU45" s="350">
        <f t="shared" si="34"/>
        <v>16443677.474233298</v>
      </c>
      <c r="AV45" s="350">
        <f t="shared" si="35"/>
        <v>16281100.115592765</v>
      </c>
      <c r="AW45" s="350">
        <f t="shared" si="36"/>
        <v>16071968.564067332</v>
      </c>
      <c r="AX45" s="350">
        <f t="shared" si="37"/>
        <v>15788777.637569897</v>
      </c>
      <c r="AY45" s="350">
        <f t="shared" si="38"/>
        <v>81177374.391667604</v>
      </c>
      <c r="AZ45" s="365"/>
      <c r="BA45" s="377">
        <f t="shared" si="51"/>
        <v>0</v>
      </c>
      <c r="BB45" s="377">
        <f t="shared" si="39"/>
        <v>0</v>
      </c>
      <c r="BC45" s="377">
        <f t="shared" si="40"/>
        <v>0</v>
      </c>
      <c r="BD45" s="377">
        <f t="shared" si="41"/>
        <v>0</v>
      </c>
      <c r="BE45" s="377">
        <f t="shared" si="42"/>
        <v>0</v>
      </c>
      <c r="BF45" s="377">
        <f t="shared" si="43"/>
        <v>0</v>
      </c>
      <c r="BG45" s="328"/>
    </row>
    <row r="46" spans="2:59">
      <c r="B46" s="332">
        <v>31</v>
      </c>
      <c r="C46" s="350">
        <v>5533891.6713109985</v>
      </c>
      <c r="D46" s="350">
        <v>5513949.2869273853</v>
      </c>
      <c r="E46" s="350">
        <v>5492382.5759221632</v>
      </c>
      <c r="F46" s="350">
        <v>5466508.6893769149</v>
      </c>
      <c r="G46" s="350">
        <v>5433950.9153196374</v>
      </c>
      <c r="H46" s="348">
        <v>27440683.138857096</v>
      </c>
      <c r="I46" s="369"/>
      <c r="J46" s="350">
        <v>21771047.408046566</v>
      </c>
      <c r="K46" s="350">
        <v>21357383.356724139</v>
      </c>
      <c r="L46" s="350">
        <v>20929791.262421593</v>
      </c>
      <c r="M46" s="350">
        <v>20454344.618779972</v>
      </c>
      <c r="N46" s="350">
        <v>19902450.853656396</v>
      </c>
      <c r="O46" s="348">
        <v>104415017.49962866</v>
      </c>
      <c r="P46" s="369"/>
      <c r="Q46" s="350">
        <f t="shared" si="44"/>
        <v>16237155.736735567</v>
      </c>
      <c r="R46" s="350">
        <f t="shared" si="45"/>
        <v>15843434.069796754</v>
      </c>
      <c r="S46" s="350">
        <f t="shared" si="46"/>
        <v>15437408.68649943</v>
      </c>
      <c r="T46" s="350">
        <f t="shared" si="47"/>
        <v>14987835.929403057</v>
      </c>
      <c r="U46" s="350">
        <f t="shared" si="48"/>
        <v>14468499.93833676</v>
      </c>
      <c r="V46" s="350">
        <f t="shared" si="49"/>
        <v>76974334.360771567</v>
      </c>
      <c r="W46" s="365"/>
      <c r="X46" s="377">
        <f t="shared" si="28"/>
        <v>0</v>
      </c>
      <c r="Y46" s="377">
        <f t="shared" si="29"/>
        <v>0</v>
      </c>
      <c r="Z46" s="377">
        <f t="shared" si="30"/>
        <v>0</v>
      </c>
      <c r="AA46" s="377">
        <f t="shared" si="31"/>
        <v>0</v>
      </c>
      <c r="AB46" s="377">
        <f t="shared" si="32"/>
        <v>0</v>
      </c>
      <c r="AC46" s="377">
        <f t="shared" si="33"/>
        <v>0</v>
      </c>
      <c r="AD46" s="376"/>
      <c r="AE46" s="332">
        <v>31</v>
      </c>
      <c r="AF46" s="350">
        <v>346652.00825483783</v>
      </c>
      <c r="AG46" s="350">
        <v>345402.78474151751</v>
      </c>
      <c r="AH46" s="350">
        <v>344051.81075693987</v>
      </c>
      <c r="AI46" s="350">
        <v>342431.02826515975</v>
      </c>
      <c r="AJ46" s="350">
        <v>340391.55614831793</v>
      </c>
      <c r="AK46" s="348">
        <v>1718929.1881667729</v>
      </c>
      <c r="AL46" s="369"/>
      <c r="AM46" s="350">
        <v>9394603.9363950752</v>
      </c>
      <c r="AN46" s="350">
        <v>9310810.2341191489</v>
      </c>
      <c r="AO46" s="350">
        <v>9219072.3472619615</v>
      </c>
      <c r="AP46" s="350">
        <v>9101691.572714163</v>
      </c>
      <c r="AQ46" s="350">
        <v>8943524.6762287244</v>
      </c>
      <c r="AR46" s="348">
        <v>45969702.766719073</v>
      </c>
      <c r="AS46" s="369"/>
      <c r="AT46" s="350">
        <f t="shared" si="50"/>
        <v>9047951.9281402379</v>
      </c>
      <c r="AU46" s="350">
        <f t="shared" si="34"/>
        <v>8965407.4493776318</v>
      </c>
      <c r="AV46" s="350">
        <f t="shared" si="35"/>
        <v>8875020.5365050212</v>
      </c>
      <c r="AW46" s="350">
        <f t="shared" si="36"/>
        <v>8759260.5444490034</v>
      </c>
      <c r="AX46" s="350">
        <f t="shared" si="37"/>
        <v>8603133.1200804058</v>
      </c>
      <c r="AY46" s="350">
        <f t="shared" si="38"/>
        <v>44250773.578552298</v>
      </c>
      <c r="AZ46" s="365"/>
      <c r="BA46" s="377">
        <f t="shared" si="51"/>
        <v>0</v>
      </c>
      <c r="BB46" s="377">
        <f t="shared" si="39"/>
        <v>0</v>
      </c>
      <c r="BC46" s="377">
        <f t="shared" si="40"/>
        <v>0</v>
      </c>
      <c r="BD46" s="377">
        <f t="shared" si="41"/>
        <v>0</v>
      </c>
      <c r="BE46" s="377">
        <f t="shared" si="42"/>
        <v>0</v>
      </c>
      <c r="BF46" s="377">
        <f t="shared" si="43"/>
        <v>0</v>
      </c>
      <c r="BG46" s="328"/>
    </row>
    <row r="47" spans="2:59">
      <c r="B47" s="332">
        <v>32</v>
      </c>
      <c r="C47" s="350">
        <v>8425389.9413802437</v>
      </c>
      <c r="D47" s="350">
        <v>8395027.5174708832</v>
      </c>
      <c r="E47" s="350">
        <v>8362192.0445768144</v>
      </c>
      <c r="F47" s="350">
        <v>8322798.8658897607</v>
      </c>
      <c r="G47" s="350">
        <v>8273229.4203080898</v>
      </c>
      <c r="H47" s="348">
        <v>41778637.789625794</v>
      </c>
      <c r="I47" s="369"/>
      <c r="J47" s="350">
        <v>29262275.526775241</v>
      </c>
      <c r="K47" s="350">
        <v>28660464.597466961</v>
      </c>
      <c r="L47" s="350">
        <v>28040868.52192723</v>
      </c>
      <c r="M47" s="350">
        <v>27359366.437508114</v>
      </c>
      <c r="N47" s="350">
        <v>26578884.029949874</v>
      </c>
      <c r="O47" s="348">
        <v>139901859.1136274</v>
      </c>
      <c r="P47" s="369"/>
      <c r="Q47" s="350">
        <f t="shared" si="44"/>
        <v>20836885.585394997</v>
      </c>
      <c r="R47" s="350">
        <f t="shared" si="45"/>
        <v>20265437.079996079</v>
      </c>
      <c r="S47" s="350">
        <f t="shared" si="46"/>
        <v>19678676.477350414</v>
      </c>
      <c r="T47" s="350">
        <f t="shared" si="47"/>
        <v>19036567.571618352</v>
      </c>
      <c r="U47" s="350">
        <f t="shared" si="48"/>
        <v>18305654.609641783</v>
      </c>
      <c r="V47" s="350">
        <f t="shared" si="49"/>
        <v>98123221.32400161</v>
      </c>
      <c r="W47" s="365"/>
      <c r="X47" s="377">
        <f t="shared" si="28"/>
        <v>0</v>
      </c>
      <c r="Y47" s="377">
        <f t="shared" si="29"/>
        <v>0</v>
      </c>
      <c r="Z47" s="377">
        <f t="shared" si="30"/>
        <v>0</v>
      </c>
      <c r="AA47" s="377">
        <f t="shared" si="31"/>
        <v>0</v>
      </c>
      <c r="AB47" s="377">
        <f t="shared" si="32"/>
        <v>0</v>
      </c>
      <c r="AC47" s="377">
        <f t="shared" si="33"/>
        <v>0</v>
      </c>
      <c r="AD47" s="376"/>
      <c r="AE47" s="332">
        <v>32</v>
      </c>
      <c r="AF47" s="350">
        <v>469368.24021239119</v>
      </c>
      <c r="AG47" s="350">
        <v>467676.78645439621</v>
      </c>
      <c r="AH47" s="350">
        <v>465847.56214121211</v>
      </c>
      <c r="AI47" s="350">
        <v>463653.01600324578</v>
      </c>
      <c r="AJ47" s="350">
        <v>460891.56239660596</v>
      </c>
      <c r="AK47" s="348">
        <v>2327437.1672078511</v>
      </c>
      <c r="AL47" s="369"/>
      <c r="AM47" s="350">
        <v>17632625.564487934</v>
      </c>
      <c r="AN47" s="350">
        <v>17483763.864579685</v>
      </c>
      <c r="AO47" s="350">
        <v>17319820.087273717</v>
      </c>
      <c r="AP47" s="350">
        <v>17107304.132043898</v>
      </c>
      <c r="AQ47" s="350">
        <v>16817544.763152119</v>
      </c>
      <c r="AR47" s="348">
        <v>86361058.411537349</v>
      </c>
      <c r="AS47" s="369"/>
      <c r="AT47" s="350">
        <f t="shared" si="50"/>
        <v>17163257.324275542</v>
      </c>
      <c r="AU47" s="350">
        <f t="shared" si="34"/>
        <v>17016087.078125291</v>
      </c>
      <c r="AV47" s="350">
        <f t="shared" si="35"/>
        <v>16853972.525132503</v>
      </c>
      <c r="AW47" s="350">
        <f t="shared" si="36"/>
        <v>16643651.116040653</v>
      </c>
      <c r="AX47" s="350">
        <f t="shared" si="37"/>
        <v>16356653.200755512</v>
      </c>
      <c r="AY47" s="350">
        <f t="shared" si="38"/>
        <v>84033621.244329497</v>
      </c>
      <c r="AZ47" s="365"/>
      <c r="BA47" s="377">
        <f t="shared" si="51"/>
        <v>0</v>
      </c>
      <c r="BB47" s="377">
        <f t="shared" si="39"/>
        <v>0</v>
      </c>
      <c r="BC47" s="377">
        <f t="shared" si="40"/>
        <v>0</v>
      </c>
      <c r="BD47" s="377">
        <f t="shared" si="41"/>
        <v>0</v>
      </c>
      <c r="BE47" s="377">
        <f t="shared" si="42"/>
        <v>0</v>
      </c>
      <c r="BF47" s="377">
        <f t="shared" si="43"/>
        <v>0</v>
      </c>
      <c r="BG47" s="328"/>
    </row>
    <row r="48" spans="2:59">
      <c r="B48" s="332">
        <v>33</v>
      </c>
      <c r="C48" s="350">
        <v>4279273.6959712617</v>
      </c>
      <c r="D48" s="350">
        <v>4263852.5554798134</v>
      </c>
      <c r="E48" s="350">
        <v>4247175.3480831254</v>
      </c>
      <c r="F48" s="350">
        <v>4227167.4677916411</v>
      </c>
      <c r="G48" s="350">
        <v>4201991.0396289863</v>
      </c>
      <c r="H48" s="348">
        <v>21219460.106954828</v>
      </c>
      <c r="I48" s="369"/>
      <c r="J48" s="350">
        <v>13612160.131274916</v>
      </c>
      <c r="K48" s="350">
        <v>13315509.801072218</v>
      </c>
      <c r="L48" s="350">
        <v>13010927.25672802</v>
      </c>
      <c r="M48" s="350">
        <v>12678427.845892305</v>
      </c>
      <c r="N48" s="350">
        <v>12301260.062178044</v>
      </c>
      <c r="O48" s="348">
        <v>64918285.097145505</v>
      </c>
      <c r="P48" s="369"/>
      <c r="Q48" s="350">
        <f t="shared" si="44"/>
        <v>9332886.4353036545</v>
      </c>
      <c r="R48" s="350">
        <f t="shared" si="45"/>
        <v>9051657.2455924042</v>
      </c>
      <c r="S48" s="350">
        <f t="shared" si="46"/>
        <v>8763751.9086448941</v>
      </c>
      <c r="T48" s="350">
        <f t="shared" si="47"/>
        <v>8451260.3781006634</v>
      </c>
      <c r="U48" s="350">
        <f t="shared" si="48"/>
        <v>8099269.0225490574</v>
      </c>
      <c r="V48" s="350">
        <f t="shared" si="49"/>
        <v>43698824.990190677</v>
      </c>
      <c r="W48" s="365"/>
      <c r="X48" s="377">
        <f t="shared" si="28"/>
        <v>0</v>
      </c>
      <c r="Y48" s="377">
        <f t="shared" si="29"/>
        <v>0</v>
      </c>
      <c r="Z48" s="377">
        <f t="shared" si="30"/>
        <v>0</v>
      </c>
      <c r="AA48" s="377">
        <f t="shared" si="31"/>
        <v>0</v>
      </c>
      <c r="AB48" s="377">
        <f t="shared" si="32"/>
        <v>0</v>
      </c>
      <c r="AC48" s="377">
        <f t="shared" si="33"/>
        <v>0</v>
      </c>
      <c r="AD48" s="376"/>
      <c r="AE48" s="332">
        <v>33</v>
      </c>
      <c r="AF48" s="350">
        <v>467934.87139211164</v>
      </c>
      <c r="AG48" s="350">
        <v>466248.58303916536</v>
      </c>
      <c r="AH48" s="350">
        <v>464424.94485829939</v>
      </c>
      <c r="AI48" s="350">
        <v>462237.10048184858</v>
      </c>
      <c r="AJ48" s="350">
        <v>459484.07987335231</v>
      </c>
      <c r="AK48" s="348">
        <v>2320329.5796447773</v>
      </c>
      <c r="AL48" s="369"/>
      <c r="AM48" s="350">
        <v>15463906.828994354</v>
      </c>
      <c r="AN48" s="350">
        <v>15330742.376347665</v>
      </c>
      <c r="AO48" s="350">
        <v>15184404.197308315</v>
      </c>
      <c r="AP48" s="350">
        <v>14995605.651494104</v>
      </c>
      <c r="AQ48" s="350">
        <v>14739279.269871093</v>
      </c>
      <c r="AR48" s="348">
        <v>75713938.324015528</v>
      </c>
      <c r="AS48" s="369"/>
      <c r="AT48" s="350">
        <f t="shared" si="50"/>
        <v>14995971.957602242</v>
      </c>
      <c r="AU48" s="350">
        <f t="shared" si="34"/>
        <v>14864493.7933085</v>
      </c>
      <c r="AV48" s="350">
        <f t="shared" si="35"/>
        <v>14719979.252450015</v>
      </c>
      <c r="AW48" s="350">
        <f t="shared" si="36"/>
        <v>14533368.551012255</v>
      </c>
      <c r="AX48" s="350">
        <f t="shared" si="37"/>
        <v>14279795.18999774</v>
      </c>
      <c r="AY48" s="350">
        <f t="shared" si="38"/>
        <v>73393608.744370744</v>
      </c>
      <c r="AZ48" s="365"/>
      <c r="BA48" s="377">
        <f t="shared" si="51"/>
        <v>0</v>
      </c>
      <c r="BB48" s="377">
        <f t="shared" si="39"/>
        <v>0</v>
      </c>
      <c r="BC48" s="377">
        <f t="shared" si="40"/>
        <v>0</v>
      </c>
      <c r="BD48" s="377">
        <f t="shared" si="41"/>
        <v>0</v>
      </c>
      <c r="BE48" s="377">
        <f t="shared" si="42"/>
        <v>0</v>
      </c>
      <c r="BF48" s="377">
        <f t="shared" si="43"/>
        <v>0</v>
      </c>
      <c r="BG48" s="328"/>
    </row>
    <row r="49" spans="2:59">
      <c r="B49" s="332">
        <v>34</v>
      </c>
      <c r="C49" s="350">
        <v>4804918.5261696056</v>
      </c>
      <c r="D49" s="350">
        <v>4787603.1290002707</v>
      </c>
      <c r="E49" s="350">
        <v>4768877.3758752579</v>
      </c>
      <c r="F49" s="350">
        <v>4746411.8264591414</v>
      </c>
      <c r="G49" s="350">
        <v>4718142.8502972731</v>
      </c>
      <c r="H49" s="348">
        <v>23825953.707801551</v>
      </c>
      <c r="I49" s="369"/>
      <c r="J49" s="350">
        <v>15449188.624337599</v>
      </c>
      <c r="K49" s="350">
        <v>15114910.177219234</v>
      </c>
      <c r="L49" s="350">
        <v>14771579.887257177</v>
      </c>
      <c r="M49" s="350">
        <v>14396438.358628165</v>
      </c>
      <c r="N49" s="350">
        <v>13970402.118369596</v>
      </c>
      <c r="O49" s="348">
        <v>73702519.165811777</v>
      </c>
      <c r="P49" s="369"/>
      <c r="Q49" s="350">
        <f t="shared" si="44"/>
        <v>10644270.098167993</v>
      </c>
      <c r="R49" s="350">
        <f t="shared" si="45"/>
        <v>10327307.048218964</v>
      </c>
      <c r="S49" s="350">
        <f t="shared" si="46"/>
        <v>10002702.51138192</v>
      </c>
      <c r="T49" s="350">
        <f t="shared" si="47"/>
        <v>9650026.5321690235</v>
      </c>
      <c r="U49" s="350">
        <f t="shared" si="48"/>
        <v>9252259.268072322</v>
      </c>
      <c r="V49" s="350">
        <f t="shared" si="49"/>
        <v>49876565.458010226</v>
      </c>
      <c r="W49" s="365"/>
      <c r="X49" s="377">
        <f t="shared" si="28"/>
        <v>0</v>
      </c>
      <c r="Y49" s="377">
        <f t="shared" si="29"/>
        <v>0</v>
      </c>
      <c r="Z49" s="377">
        <f t="shared" si="30"/>
        <v>0</v>
      </c>
      <c r="AA49" s="377">
        <f t="shared" si="31"/>
        <v>0</v>
      </c>
      <c r="AB49" s="377">
        <f t="shared" si="32"/>
        <v>0</v>
      </c>
      <c r="AC49" s="377">
        <f t="shared" si="33"/>
        <v>0</v>
      </c>
      <c r="AD49" s="376"/>
      <c r="AE49" s="332">
        <v>34</v>
      </c>
      <c r="AF49" s="350">
        <v>552396.40616939054</v>
      </c>
      <c r="AG49" s="350">
        <v>550405.7453255821</v>
      </c>
      <c r="AH49" s="350">
        <v>548252.94321817195</v>
      </c>
      <c r="AI49" s="350">
        <v>545670.19624910376</v>
      </c>
      <c r="AJ49" s="350">
        <v>542420.25959505734</v>
      </c>
      <c r="AK49" s="348">
        <v>2739145.5505573056</v>
      </c>
      <c r="AL49" s="369"/>
      <c r="AM49" s="350">
        <v>14439068.238427747</v>
      </c>
      <c r="AN49" s="350">
        <v>14309371.465769731</v>
      </c>
      <c r="AO49" s="350">
        <v>14167483.429119406</v>
      </c>
      <c r="AP49" s="350">
        <v>13986231.429004764</v>
      </c>
      <c r="AQ49" s="350">
        <v>13742367.964713134</v>
      </c>
      <c r="AR49" s="348">
        <v>70644522.527034789</v>
      </c>
      <c r="AS49" s="369"/>
      <c r="AT49" s="350">
        <f t="shared" si="50"/>
        <v>13886671.832258357</v>
      </c>
      <c r="AU49" s="350">
        <f t="shared" si="34"/>
        <v>13758965.720444148</v>
      </c>
      <c r="AV49" s="350">
        <f t="shared" si="35"/>
        <v>13619230.485901235</v>
      </c>
      <c r="AW49" s="350">
        <f t="shared" si="36"/>
        <v>13440561.232755661</v>
      </c>
      <c r="AX49" s="350">
        <f t="shared" si="37"/>
        <v>13199947.705118077</v>
      </c>
      <c r="AY49" s="350">
        <f t="shared" si="38"/>
        <v>67905376.976477489</v>
      </c>
      <c r="AZ49" s="365"/>
      <c r="BA49" s="377">
        <f t="shared" si="51"/>
        <v>0</v>
      </c>
      <c r="BB49" s="377">
        <f t="shared" si="39"/>
        <v>0</v>
      </c>
      <c r="BC49" s="377">
        <f t="shared" si="40"/>
        <v>0</v>
      </c>
      <c r="BD49" s="377">
        <f t="shared" si="41"/>
        <v>0</v>
      </c>
      <c r="BE49" s="377">
        <f t="shared" si="42"/>
        <v>0</v>
      </c>
      <c r="BF49" s="377">
        <f t="shared" si="43"/>
        <v>0</v>
      </c>
      <c r="BG49" s="328"/>
    </row>
    <row r="50" spans="2:59">
      <c r="B50" s="332">
        <v>35</v>
      </c>
      <c r="C50" s="350">
        <v>6704710.9926348813</v>
      </c>
      <c r="D50" s="350">
        <v>6680549.348038665</v>
      </c>
      <c r="E50" s="350">
        <v>6654419.7139691524</v>
      </c>
      <c r="F50" s="350">
        <v>6623071.6244426686</v>
      </c>
      <c r="G50" s="350">
        <v>6583625.5205824832</v>
      </c>
      <c r="H50" s="348">
        <v>33246377.199667849</v>
      </c>
      <c r="I50" s="369"/>
      <c r="J50" s="350">
        <v>21899130.630481098</v>
      </c>
      <c r="K50" s="350">
        <v>21430221.730964519</v>
      </c>
      <c r="L50" s="350">
        <v>20948381.253929049</v>
      </c>
      <c r="M50" s="350">
        <v>20421188.712965902</v>
      </c>
      <c r="N50" s="350">
        <v>19821447.426711094</v>
      </c>
      <c r="O50" s="348">
        <v>104520369.75505167</v>
      </c>
      <c r="P50" s="369"/>
      <c r="Q50" s="350">
        <f t="shared" si="44"/>
        <v>15194419.637846217</v>
      </c>
      <c r="R50" s="350">
        <f t="shared" si="45"/>
        <v>14749672.382925853</v>
      </c>
      <c r="S50" s="350">
        <f t="shared" si="46"/>
        <v>14293961.539959896</v>
      </c>
      <c r="T50" s="350">
        <f t="shared" si="47"/>
        <v>13798117.088523233</v>
      </c>
      <c r="U50" s="350">
        <f t="shared" si="48"/>
        <v>13237821.906128611</v>
      </c>
      <c r="V50" s="350">
        <f t="shared" si="49"/>
        <v>71273992.555383831</v>
      </c>
      <c r="W50" s="365"/>
      <c r="X50" s="377">
        <f t="shared" si="28"/>
        <v>0</v>
      </c>
      <c r="Y50" s="377">
        <f t="shared" si="29"/>
        <v>0</v>
      </c>
      <c r="Z50" s="377">
        <f t="shared" si="30"/>
        <v>0</v>
      </c>
      <c r="AA50" s="377">
        <f t="shared" si="31"/>
        <v>0</v>
      </c>
      <c r="AB50" s="377">
        <f t="shared" si="32"/>
        <v>0</v>
      </c>
      <c r="AC50" s="377">
        <f t="shared" si="33"/>
        <v>0</v>
      </c>
      <c r="AD50" s="376"/>
      <c r="AE50" s="332">
        <v>35</v>
      </c>
      <c r="AF50" s="350">
        <v>547660.31003558263</v>
      </c>
      <c r="AG50" s="350">
        <v>545686.71657494479</v>
      </c>
      <c r="AH50" s="350">
        <v>543552.37200567906</v>
      </c>
      <c r="AI50" s="350">
        <v>540991.76880474202</v>
      </c>
      <c r="AJ50" s="350">
        <v>537769.69622122659</v>
      </c>
      <c r="AK50" s="348">
        <v>2715660.8636421748</v>
      </c>
      <c r="AL50" s="369"/>
      <c r="AM50" s="350">
        <v>17107930.750546873</v>
      </c>
      <c r="AN50" s="350">
        <v>16959218.253093414</v>
      </c>
      <c r="AO50" s="350">
        <v>16795959.883914679</v>
      </c>
      <c r="AP50" s="350">
        <v>16585800.353427427</v>
      </c>
      <c r="AQ50" s="350">
        <v>16301048.371939501</v>
      </c>
      <c r="AR50" s="348">
        <v>83749957.612921894</v>
      </c>
      <c r="AS50" s="369"/>
      <c r="AT50" s="350">
        <f t="shared" si="50"/>
        <v>16560270.44051129</v>
      </c>
      <c r="AU50" s="350">
        <f t="shared" si="34"/>
        <v>16413531.536518469</v>
      </c>
      <c r="AV50" s="350">
        <f t="shared" si="35"/>
        <v>16252407.511909001</v>
      </c>
      <c r="AW50" s="350">
        <f t="shared" si="36"/>
        <v>16044808.584622685</v>
      </c>
      <c r="AX50" s="350">
        <f t="shared" si="37"/>
        <v>15763278.675718274</v>
      </c>
      <c r="AY50" s="350">
        <f t="shared" si="38"/>
        <v>81034296.749279723</v>
      </c>
      <c r="AZ50" s="365"/>
      <c r="BA50" s="377">
        <f t="shared" si="51"/>
        <v>0</v>
      </c>
      <c r="BB50" s="377">
        <f t="shared" si="39"/>
        <v>0</v>
      </c>
      <c r="BC50" s="377">
        <f t="shared" si="40"/>
        <v>0</v>
      </c>
      <c r="BD50" s="377">
        <f t="shared" si="41"/>
        <v>0</v>
      </c>
      <c r="BE50" s="377">
        <f t="shared" si="42"/>
        <v>0</v>
      </c>
      <c r="BF50" s="377">
        <f t="shared" si="43"/>
        <v>0</v>
      </c>
      <c r="BG50" s="328"/>
    </row>
    <row r="51" spans="2:59">
      <c r="B51" s="332">
        <v>36</v>
      </c>
      <c r="C51" s="350">
        <v>5132489.6150785834</v>
      </c>
      <c r="D51" s="350">
        <v>5113993.7559566163</v>
      </c>
      <c r="E51" s="350">
        <v>5093991.3911037687</v>
      </c>
      <c r="F51" s="350">
        <v>5069994.2726412453</v>
      </c>
      <c r="G51" s="350">
        <v>5039798.0839255629</v>
      </c>
      <c r="H51" s="348">
        <v>25450267.118705776</v>
      </c>
      <c r="I51" s="369"/>
      <c r="J51" s="350">
        <v>18385470.865762509</v>
      </c>
      <c r="K51" s="350">
        <v>18014831.472739939</v>
      </c>
      <c r="L51" s="350">
        <v>17632864.980101291</v>
      </c>
      <c r="M51" s="350">
        <v>17211608.759892665</v>
      </c>
      <c r="N51" s="350">
        <v>16727547.564242393</v>
      </c>
      <c r="O51" s="348">
        <v>87972323.642738789</v>
      </c>
      <c r="P51" s="369"/>
      <c r="Q51" s="350">
        <f t="shared" si="44"/>
        <v>13252981.250683926</v>
      </c>
      <c r="R51" s="350">
        <f t="shared" si="45"/>
        <v>12900837.716783322</v>
      </c>
      <c r="S51" s="350">
        <f t="shared" si="46"/>
        <v>12538873.588997522</v>
      </c>
      <c r="T51" s="350">
        <f t="shared" si="47"/>
        <v>12141614.48725142</v>
      </c>
      <c r="U51" s="350">
        <f t="shared" si="48"/>
        <v>11687749.480316829</v>
      </c>
      <c r="V51" s="350">
        <f t="shared" si="49"/>
        <v>62522056.52403301</v>
      </c>
      <c r="W51" s="365"/>
      <c r="X51" s="377">
        <f t="shared" si="28"/>
        <v>0</v>
      </c>
      <c r="Y51" s="377">
        <f t="shared" si="29"/>
        <v>0</v>
      </c>
      <c r="Z51" s="377">
        <f t="shared" si="30"/>
        <v>0</v>
      </c>
      <c r="AA51" s="377">
        <f t="shared" si="31"/>
        <v>0</v>
      </c>
      <c r="AB51" s="377">
        <f t="shared" si="32"/>
        <v>0</v>
      </c>
      <c r="AC51" s="377">
        <f t="shared" si="33"/>
        <v>0</v>
      </c>
      <c r="AD51" s="376"/>
      <c r="AE51" s="332">
        <v>36</v>
      </c>
      <c r="AF51" s="350">
        <v>393010.26829162176</v>
      </c>
      <c r="AG51" s="350">
        <v>391593.98436296993</v>
      </c>
      <c r="AH51" s="350">
        <v>390062.3427296016</v>
      </c>
      <c r="AI51" s="350">
        <v>388224.81071833859</v>
      </c>
      <c r="AJ51" s="350">
        <v>385912.59713028383</v>
      </c>
      <c r="AK51" s="348">
        <v>1948804.0032328158</v>
      </c>
      <c r="AL51" s="369"/>
      <c r="AM51" s="350">
        <v>13665971.043539554</v>
      </c>
      <c r="AN51" s="350">
        <v>13549241.193353837</v>
      </c>
      <c r="AO51" s="350">
        <v>13420849.840685757</v>
      </c>
      <c r="AP51" s="350">
        <v>13254884.656025752</v>
      </c>
      <c r="AQ51" s="350">
        <v>13029164.483517909</v>
      </c>
      <c r="AR51" s="348">
        <v>66920111.217122808</v>
      </c>
      <c r="AS51" s="369"/>
      <c r="AT51" s="350">
        <f t="shared" si="50"/>
        <v>13272960.775247931</v>
      </c>
      <c r="AU51" s="350">
        <f t="shared" si="34"/>
        <v>13157647.208990868</v>
      </c>
      <c r="AV51" s="350">
        <f t="shared" si="35"/>
        <v>13030787.497956155</v>
      </c>
      <c r="AW51" s="350">
        <f t="shared" si="36"/>
        <v>12866659.845307413</v>
      </c>
      <c r="AX51" s="350">
        <f t="shared" si="37"/>
        <v>12643251.886387626</v>
      </c>
      <c r="AY51" s="350">
        <f t="shared" si="38"/>
        <v>64971307.213889994</v>
      </c>
      <c r="AZ51" s="365"/>
      <c r="BA51" s="377">
        <f t="shared" si="51"/>
        <v>0</v>
      </c>
      <c r="BB51" s="377">
        <f t="shared" si="39"/>
        <v>0</v>
      </c>
      <c r="BC51" s="377">
        <f t="shared" si="40"/>
        <v>0</v>
      </c>
      <c r="BD51" s="377">
        <f t="shared" si="41"/>
        <v>0</v>
      </c>
      <c r="BE51" s="377">
        <f t="shared" si="42"/>
        <v>0</v>
      </c>
      <c r="BF51" s="377">
        <f t="shared" si="43"/>
        <v>0</v>
      </c>
      <c r="BG51" s="328"/>
    </row>
    <row r="52" spans="2:59">
      <c r="B52" s="332">
        <v>37</v>
      </c>
      <c r="C52" s="350">
        <v>4950631.1468831971</v>
      </c>
      <c r="D52" s="350">
        <v>4932790.6478028735</v>
      </c>
      <c r="E52" s="350">
        <v>4913497.0227050437</v>
      </c>
      <c r="F52" s="350">
        <v>4890350.1892955834</v>
      </c>
      <c r="G52" s="350">
        <v>4861223.9360375479</v>
      </c>
      <c r="H52" s="348">
        <v>24548492.942724247</v>
      </c>
      <c r="I52" s="369"/>
      <c r="J52" s="350">
        <v>15500030.450685132</v>
      </c>
      <c r="K52" s="350">
        <v>15158625.038919307</v>
      </c>
      <c r="L52" s="350">
        <v>14808261.064829459</v>
      </c>
      <c r="M52" s="350">
        <v>14426298.880837888</v>
      </c>
      <c r="N52" s="350">
        <v>13993770.710057436</v>
      </c>
      <c r="O52" s="348">
        <v>73886986.145329222</v>
      </c>
      <c r="P52" s="369"/>
      <c r="Q52" s="350">
        <f t="shared" si="44"/>
        <v>10549399.303801935</v>
      </c>
      <c r="R52" s="350">
        <f t="shared" si="45"/>
        <v>10225834.391116433</v>
      </c>
      <c r="S52" s="350">
        <f t="shared" si="46"/>
        <v>9894764.0421244167</v>
      </c>
      <c r="T52" s="350">
        <f t="shared" si="47"/>
        <v>9535948.6915423051</v>
      </c>
      <c r="U52" s="350">
        <f t="shared" si="48"/>
        <v>9132546.7740198877</v>
      </c>
      <c r="V52" s="350">
        <f t="shared" si="49"/>
        <v>49338493.202604979</v>
      </c>
      <c r="W52" s="365"/>
      <c r="X52" s="377">
        <f t="shared" si="28"/>
        <v>0</v>
      </c>
      <c r="Y52" s="377">
        <f t="shared" si="29"/>
        <v>0</v>
      </c>
      <c r="Z52" s="377">
        <f t="shared" si="30"/>
        <v>0</v>
      </c>
      <c r="AA52" s="377">
        <f t="shared" si="31"/>
        <v>0</v>
      </c>
      <c r="AB52" s="377">
        <f t="shared" si="32"/>
        <v>0</v>
      </c>
      <c r="AC52" s="377">
        <f t="shared" si="33"/>
        <v>0</v>
      </c>
      <c r="AD52" s="376"/>
      <c r="AE52" s="332">
        <v>37</v>
      </c>
      <c r="AF52" s="350">
        <v>311867.18906607898</v>
      </c>
      <c r="AG52" s="350">
        <v>310743.31897060241</v>
      </c>
      <c r="AH52" s="350">
        <v>309527.90856178151</v>
      </c>
      <c r="AI52" s="350">
        <v>308069.76359864208</v>
      </c>
      <c r="AJ52" s="350">
        <v>306234.94244915503</v>
      </c>
      <c r="AK52" s="348">
        <v>1546443.1226462601</v>
      </c>
      <c r="AL52" s="369"/>
      <c r="AM52" s="350">
        <v>9367373.2428575121</v>
      </c>
      <c r="AN52" s="350">
        <v>9285389.6896294747</v>
      </c>
      <c r="AO52" s="350">
        <v>9195452.9746986981</v>
      </c>
      <c r="AP52" s="350">
        <v>9079865.0781670641</v>
      </c>
      <c r="AQ52" s="350">
        <v>8923480.2414158434</v>
      </c>
      <c r="AR52" s="348">
        <v>45851561.226768598</v>
      </c>
      <c r="AS52" s="369"/>
      <c r="AT52" s="350">
        <f t="shared" si="50"/>
        <v>9055506.0537914336</v>
      </c>
      <c r="AU52" s="350">
        <f t="shared" si="34"/>
        <v>8974646.3706588726</v>
      </c>
      <c r="AV52" s="350">
        <f t="shared" si="35"/>
        <v>8885925.0661369171</v>
      </c>
      <c r="AW52" s="350">
        <f t="shared" si="36"/>
        <v>8771795.3145684227</v>
      </c>
      <c r="AX52" s="350">
        <f t="shared" si="37"/>
        <v>8617245.298966689</v>
      </c>
      <c r="AY52" s="350">
        <f t="shared" si="38"/>
        <v>44305118.104122341</v>
      </c>
      <c r="AZ52" s="365"/>
      <c r="BA52" s="377">
        <f t="shared" si="51"/>
        <v>0</v>
      </c>
      <c r="BB52" s="377">
        <f t="shared" si="39"/>
        <v>0</v>
      </c>
      <c r="BC52" s="377">
        <f t="shared" si="40"/>
        <v>0</v>
      </c>
      <c r="BD52" s="377">
        <f t="shared" si="41"/>
        <v>0</v>
      </c>
      <c r="BE52" s="377">
        <f t="shared" si="42"/>
        <v>0</v>
      </c>
      <c r="BF52" s="377">
        <f t="shared" si="43"/>
        <v>0</v>
      </c>
      <c r="BG52" s="328"/>
    </row>
    <row r="53" spans="2:59">
      <c r="B53" s="332">
        <v>38</v>
      </c>
      <c r="C53" s="350">
        <v>6593873.2247460578</v>
      </c>
      <c r="D53" s="350">
        <v>6570111.0041904189</v>
      </c>
      <c r="E53" s="350">
        <v>6544413.3276384175</v>
      </c>
      <c r="F53" s="350">
        <v>6513583.4636215065</v>
      </c>
      <c r="G53" s="350">
        <v>6474789.4561915146</v>
      </c>
      <c r="H53" s="348">
        <v>32696770.476387914</v>
      </c>
      <c r="I53" s="369"/>
      <c r="J53" s="350">
        <v>21029515.521803271</v>
      </c>
      <c r="K53" s="350">
        <v>20572016.718821719</v>
      </c>
      <c r="L53" s="350">
        <v>20102247.086077195</v>
      </c>
      <c r="M53" s="350">
        <v>19589306.422675576</v>
      </c>
      <c r="N53" s="350">
        <v>19007291.575053733</v>
      </c>
      <c r="O53" s="348">
        <v>100300377.32443151</v>
      </c>
      <c r="P53" s="369"/>
      <c r="Q53" s="350">
        <f t="shared" si="44"/>
        <v>14435642.297057213</v>
      </c>
      <c r="R53" s="350">
        <f t="shared" si="45"/>
        <v>14001905.7146313</v>
      </c>
      <c r="S53" s="350">
        <f t="shared" si="46"/>
        <v>13557833.758438777</v>
      </c>
      <c r="T53" s="350">
        <f t="shared" si="47"/>
        <v>13075722.95905407</v>
      </c>
      <c r="U53" s="350">
        <f t="shared" si="48"/>
        <v>12532502.118862219</v>
      </c>
      <c r="V53" s="350">
        <f t="shared" si="49"/>
        <v>67603606.848043591</v>
      </c>
      <c r="W53" s="365"/>
      <c r="X53" s="377">
        <f t="shared" si="28"/>
        <v>0</v>
      </c>
      <c r="Y53" s="377">
        <f t="shared" si="29"/>
        <v>0</v>
      </c>
      <c r="Z53" s="377">
        <f t="shared" si="30"/>
        <v>0</v>
      </c>
      <c r="AA53" s="377">
        <f t="shared" si="31"/>
        <v>0</v>
      </c>
      <c r="AB53" s="377">
        <f t="shared" si="32"/>
        <v>0</v>
      </c>
      <c r="AC53" s="377">
        <f t="shared" si="33"/>
        <v>0</v>
      </c>
      <c r="AD53" s="376"/>
      <c r="AE53" s="332">
        <v>38</v>
      </c>
      <c r="AF53" s="350">
        <v>583810.66364693665</v>
      </c>
      <c r="AG53" s="350">
        <v>581706.79581698659</v>
      </c>
      <c r="AH53" s="350">
        <v>579431.56590420869</v>
      </c>
      <c r="AI53" s="350">
        <v>576701.9405749999</v>
      </c>
      <c r="AJ53" s="350">
        <v>573267.18311890704</v>
      </c>
      <c r="AK53" s="348">
        <v>2894918.1490620384</v>
      </c>
      <c r="AL53" s="369"/>
      <c r="AM53" s="350">
        <v>20768101.860989477</v>
      </c>
      <c r="AN53" s="350">
        <v>20591331.936610878</v>
      </c>
      <c r="AO53" s="350">
        <v>20396827.352438372</v>
      </c>
      <c r="AP53" s="350">
        <v>20145189.13590274</v>
      </c>
      <c r="AQ53" s="350">
        <v>19802690.23022297</v>
      </c>
      <c r="AR53" s="348">
        <v>101704140.51616445</v>
      </c>
      <c r="AS53" s="369"/>
      <c r="AT53" s="350">
        <f t="shared" si="50"/>
        <v>20184291.197342541</v>
      </c>
      <c r="AU53" s="350">
        <f t="shared" si="34"/>
        <v>20009625.14079389</v>
      </c>
      <c r="AV53" s="350">
        <f t="shared" si="35"/>
        <v>19817395.786534164</v>
      </c>
      <c r="AW53" s="350">
        <f t="shared" si="36"/>
        <v>19568487.19532774</v>
      </c>
      <c r="AX53" s="350">
        <f t="shared" si="37"/>
        <v>19229423.047104064</v>
      </c>
      <c r="AY53" s="350">
        <f t="shared" si="38"/>
        <v>98809222.367102414</v>
      </c>
      <c r="AZ53" s="365"/>
      <c r="BA53" s="377">
        <f t="shared" si="51"/>
        <v>0</v>
      </c>
      <c r="BB53" s="377">
        <f t="shared" si="39"/>
        <v>0</v>
      </c>
      <c r="BC53" s="377">
        <f t="shared" si="40"/>
        <v>0</v>
      </c>
      <c r="BD53" s="377">
        <f t="shared" si="41"/>
        <v>0</v>
      </c>
      <c r="BE53" s="377">
        <f t="shared" si="42"/>
        <v>0</v>
      </c>
      <c r="BF53" s="377">
        <f t="shared" si="43"/>
        <v>0</v>
      </c>
      <c r="BG53" s="328"/>
    </row>
    <row r="54" spans="2:59">
      <c r="B54" s="332">
        <v>39</v>
      </c>
      <c r="C54" s="350">
        <v>4083491.8311432423</v>
      </c>
      <c r="D54" s="350">
        <v>4068776.2261836836</v>
      </c>
      <c r="E54" s="350">
        <v>4052862.0208747848</v>
      </c>
      <c r="F54" s="350">
        <v>4033769.5249202289</v>
      </c>
      <c r="G54" s="350">
        <v>4009744.9483112697</v>
      </c>
      <c r="H54" s="348">
        <v>20248644.551433209</v>
      </c>
      <c r="I54" s="369"/>
      <c r="J54" s="350">
        <v>14653586.169795102</v>
      </c>
      <c r="K54" s="350">
        <v>14358513.461298522</v>
      </c>
      <c r="L54" s="350">
        <v>14054406.0033039</v>
      </c>
      <c r="M54" s="350">
        <v>13718966.229296718</v>
      </c>
      <c r="N54" s="350">
        <v>13333442.118869064</v>
      </c>
      <c r="O54" s="348">
        <v>70118913.982563302</v>
      </c>
      <c r="P54" s="369"/>
      <c r="Q54" s="350">
        <f t="shared" si="44"/>
        <v>10570094.338651858</v>
      </c>
      <c r="R54" s="350">
        <f t="shared" si="45"/>
        <v>10289737.235114839</v>
      </c>
      <c r="S54" s="350">
        <f t="shared" si="46"/>
        <v>10001543.982429115</v>
      </c>
      <c r="T54" s="350">
        <f t="shared" si="47"/>
        <v>9685196.7043764889</v>
      </c>
      <c r="U54" s="350">
        <f t="shared" si="48"/>
        <v>9323697.1705577951</v>
      </c>
      <c r="V54" s="350">
        <f t="shared" si="49"/>
        <v>49870269.431130096</v>
      </c>
      <c r="W54" s="365"/>
      <c r="X54" s="377">
        <f t="shared" si="28"/>
        <v>0</v>
      </c>
      <c r="Y54" s="377">
        <f t="shared" si="29"/>
        <v>0</v>
      </c>
      <c r="Z54" s="377">
        <f t="shared" si="30"/>
        <v>0</v>
      </c>
      <c r="AA54" s="377">
        <f t="shared" si="31"/>
        <v>0</v>
      </c>
      <c r="AB54" s="377">
        <f t="shared" si="32"/>
        <v>0</v>
      </c>
      <c r="AC54" s="377">
        <f t="shared" si="33"/>
        <v>0</v>
      </c>
      <c r="AD54" s="376"/>
      <c r="AE54" s="332">
        <v>39</v>
      </c>
      <c r="AF54" s="350">
        <v>505542.01425819704</v>
      </c>
      <c r="AG54" s="350">
        <v>503720.20173109806</v>
      </c>
      <c r="AH54" s="350">
        <v>501750.00080016418</v>
      </c>
      <c r="AI54" s="350">
        <v>499386.32303093979</v>
      </c>
      <c r="AJ54" s="350">
        <v>496412.0467613106</v>
      </c>
      <c r="AK54" s="348">
        <v>2506810.5865817098</v>
      </c>
      <c r="AL54" s="369"/>
      <c r="AM54" s="350">
        <v>14686046.936111405</v>
      </c>
      <c r="AN54" s="350">
        <v>14556743.969484741</v>
      </c>
      <c r="AO54" s="350">
        <v>14414987.866243649</v>
      </c>
      <c r="AP54" s="350">
        <v>14233056.774150275</v>
      </c>
      <c r="AQ54" s="350">
        <v>13987228.179470273</v>
      </c>
      <c r="AR54" s="348">
        <v>71878063.725460351</v>
      </c>
      <c r="AS54" s="369"/>
      <c r="AT54" s="350">
        <f t="shared" si="50"/>
        <v>14180504.921853209</v>
      </c>
      <c r="AU54" s="350">
        <f t="shared" si="34"/>
        <v>14053023.767753642</v>
      </c>
      <c r="AV54" s="350">
        <f t="shared" si="35"/>
        <v>13913237.865443485</v>
      </c>
      <c r="AW54" s="350">
        <f t="shared" si="36"/>
        <v>13733670.451119335</v>
      </c>
      <c r="AX54" s="350">
        <f t="shared" si="37"/>
        <v>13490816.132708963</v>
      </c>
      <c r="AY54" s="350">
        <f t="shared" si="38"/>
        <v>69371253.138878644</v>
      </c>
      <c r="AZ54" s="365"/>
      <c r="BA54" s="377">
        <f t="shared" si="51"/>
        <v>0</v>
      </c>
      <c r="BB54" s="377">
        <f t="shared" si="39"/>
        <v>0</v>
      </c>
      <c r="BC54" s="377">
        <f t="shared" si="40"/>
        <v>0</v>
      </c>
      <c r="BD54" s="377">
        <f t="shared" si="41"/>
        <v>0</v>
      </c>
      <c r="BE54" s="377">
        <f t="shared" si="42"/>
        <v>0</v>
      </c>
      <c r="BF54" s="377">
        <f t="shared" si="43"/>
        <v>0</v>
      </c>
      <c r="BG54" s="328"/>
    </row>
    <row r="55" spans="2:59">
      <c r="B55" s="332">
        <v>40</v>
      </c>
      <c r="C55" s="350">
        <v>7393420.807275461</v>
      </c>
      <c r="D55" s="350">
        <v>7366777.2716940064</v>
      </c>
      <c r="E55" s="350">
        <v>7337963.5942024263</v>
      </c>
      <c r="F55" s="350">
        <v>7303395.4200293636</v>
      </c>
      <c r="G55" s="350">
        <v>7259897.4011936225</v>
      </c>
      <c r="H55" s="348">
        <v>36661454.494394884</v>
      </c>
      <c r="I55" s="369"/>
      <c r="J55" s="350">
        <v>20854461.181903228</v>
      </c>
      <c r="K55" s="350">
        <v>20361127.995078482</v>
      </c>
      <c r="L55" s="350">
        <v>19856435.629448663</v>
      </c>
      <c r="M55" s="350">
        <v>19311021.42459853</v>
      </c>
      <c r="N55" s="350">
        <v>18700371.946669213</v>
      </c>
      <c r="O55" s="348">
        <v>99083418.177698106</v>
      </c>
      <c r="P55" s="369"/>
      <c r="Q55" s="350">
        <f t="shared" si="44"/>
        <v>13461040.374627767</v>
      </c>
      <c r="R55" s="350">
        <f t="shared" si="45"/>
        <v>12994350.723384475</v>
      </c>
      <c r="S55" s="350">
        <f t="shared" si="46"/>
        <v>12518472.035246238</v>
      </c>
      <c r="T55" s="350">
        <f t="shared" si="47"/>
        <v>12007626.004569165</v>
      </c>
      <c r="U55" s="350">
        <f t="shared" si="48"/>
        <v>11440474.545475591</v>
      </c>
      <c r="V55" s="350">
        <f t="shared" si="49"/>
        <v>62421963.683303222</v>
      </c>
      <c r="W55" s="365"/>
      <c r="X55" s="377">
        <f t="shared" si="28"/>
        <v>0</v>
      </c>
      <c r="Y55" s="377">
        <f t="shared" si="29"/>
        <v>0</v>
      </c>
      <c r="Z55" s="377">
        <f t="shared" si="30"/>
        <v>0</v>
      </c>
      <c r="AA55" s="377">
        <f t="shared" si="31"/>
        <v>0</v>
      </c>
      <c r="AB55" s="377">
        <f t="shared" si="32"/>
        <v>0</v>
      </c>
      <c r="AC55" s="377">
        <f t="shared" si="33"/>
        <v>0</v>
      </c>
      <c r="AD55" s="376"/>
      <c r="AE55" s="332">
        <v>40</v>
      </c>
      <c r="AF55" s="350">
        <v>349100.5336397973</v>
      </c>
      <c r="AG55" s="350">
        <v>347842.48642024992</v>
      </c>
      <c r="AH55" s="350">
        <v>346481.97002998326</v>
      </c>
      <c r="AI55" s="350">
        <v>344849.73937987699</v>
      </c>
      <c r="AJ55" s="350">
        <v>342795.86175223155</v>
      </c>
      <c r="AK55" s="348">
        <v>1731070.5912221391</v>
      </c>
      <c r="AL55" s="369"/>
      <c r="AM55" s="350">
        <v>11463612.736159613</v>
      </c>
      <c r="AN55" s="350">
        <v>11364793.332845055</v>
      </c>
      <c r="AO55" s="350">
        <v>11256210.157312509</v>
      </c>
      <c r="AP55" s="350">
        <v>11116155.9262801</v>
      </c>
      <c r="AQ55" s="350">
        <v>10926050.812608836</v>
      </c>
      <c r="AR55" s="348">
        <v>56126822.965206116</v>
      </c>
      <c r="AS55" s="369"/>
      <c r="AT55" s="350">
        <f t="shared" si="50"/>
        <v>11114512.202519815</v>
      </c>
      <c r="AU55" s="350">
        <f t="shared" si="34"/>
        <v>11016950.846424805</v>
      </c>
      <c r="AV55" s="350">
        <f t="shared" si="35"/>
        <v>10909728.187282525</v>
      </c>
      <c r="AW55" s="350">
        <f t="shared" si="36"/>
        <v>10771306.186900223</v>
      </c>
      <c r="AX55" s="350">
        <f t="shared" si="37"/>
        <v>10583254.950856606</v>
      </c>
      <c r="AY55" s="350">
        <f t="shared" si="38"/>
        <v>54395752.373983979</v>
      </c>
      <c r="AZ55" s="365"/>
      <c r="BA55" s="377">
        <f t="shared" si="51"/>
        <v>0</v>
      </c>
      <c r="BB55" s="377">
        <f t="shared" si="39"/>
        <v>0</v>
      </c>
      <c r="BC55" s="377">
        <f t="shared" si="40"/>
        <v>0</v>
      </c>
      <c r="BD55" s="377">
        <f t="shared" si="41"/>
        <v>0</v>
      </c>
      <c r="BE55" s="377">
        <f t="shared" si="42"/>
        <v>0</v>
      </c>
      <c r="BF55" s="377">
        <f t="shared" si="43"/>
        <v>0</v>
      </c>
      <c r="BG55" s="328"/>
    </row>
    <row r="56" spans="2:59">
      <c r="B56" s="332">
        <v>41</v>
      </c>
      <c r="C56" s="350">
        <v>5079176.4503864981</v>
      </c>
      <c r="D56" s="350">
        <v>5060872.7149427924</v>
      </c>
      <c r="E56" s="350">
        <v>5041078.1224288307</v>
      </c>
      <c r="F56" s="350">
        <v>5017330.2713637464</v>
      </c>
      <c r="G56" s="350">
        <v>4987447.742197874</v>
      </c>
      <c r="H56" s="348">
        <v>25185905.301319744</v>
      </c>
      <c r="I56" s="369"/>
      <c r="J56" s="350">
        <v>18110969.279502764</v>
      </c>
      <c r="K56" s="350">
        <v>17744781.853746183</v>
      </c>
      <c r="L56" s="350">
        <v>17367458.536589712</v>
      </c>
      <c r="M56" s="350">
        <v>16951489.130680993</v>
      </c>
      <c r="N56" s="350">
        <v>16473741.519037195</v>
      </c>
      <c r="O56" s="348">
        <v>86648440.319556832</v>
      </c>
      <c r="P56" s="369"/>
      <c r="Q56" s="350">
        <f t="shared" si="44"/>
        <v>13031792.829116266</v>
      </c>
      <c r="R56" s="350">
        <f t="shared" si="45"/>
        <v>12683909.138803391</v>
      </c>
      <c r="S56" s="350">
        <f t="shared" si="46"/>
        <v>12326380.414160881</v>
      </c>
      <c r="T56" s="350">
        <f t="shared" si="47"/>
        <v>11934158.859317247</v>
      </c>
      <c r="U56" s="350">
        <f t="shared" si="48"/>
        <v>11486293.77683932</v>
      </c>
      <c r="V56" s="350">
        <f t="shared" si="49"/>
        <v>61462535.018237084</v>
      </c>
      <c r="W56" s="365"/>
      <c r="X56" s="377">
        <f t="shared" si="28"/>
        <v>0</v>
      </c>
      <c r="Y56" s="377">
        <f t="shared" si="29"/>
        <v>0</v>
      </c>
      <c r="Z56" s="377">
        <f t="shared" si="30"/>
        <v>0</v>
      </c>
      <c r="AA56" s="377">
        <f t="shared" si="31"/>
        <v>0</v>
      </c>
      <c r="AB56" s="377">
        <f t="shared" si="32"/>
        <v>0</v>
      </c>
      <c r="AC56" s="377">
        <f t="shared" si="33"/>
        <v>0</v>
      </c>
      <c r="AD56" s="376"/>
      <c r="AE56" s="332">
        <v>41</v>
      </c>
      <c r="AF56" s="350">
        <v>400997.11316687299</v>
      </c>
      <c r="AG56" s="350">
        <v>399552.04719115997</v>
      </c>
      <c r="AH56" s="350">
        <v>397989.27918497875</v>
      </c>
      <c r="AI56" s="350">
        <v>396114.40442643571</v>
      </c>
      <c r="AJ56" s="350">
        <v>393755.20150314935</v>
      </c>
      <c r="AK56" s="348">
        <v>1988408.0454725968</v>
      </c>
      <c r="AL56" s="369"/>
      <c r="AM56" s="350">
        <v>11681333.852824362</v>
      </c>
      <c r="AN56" s="350">
        <v>11578537.444063233</v>
      </c>
      <c r="AO56" s="350">
        <v>11465834.7119611</v>
      </c>
      <c r="AP56" s="350">
        <v>11321173.929403966</v>
      </c>
      <c r="AQ56" s="350">
        <v>11125684.595661061</v>
      </c>
      <c r="AR56" s="348">
        <v>57172564.533913724</v>
      </c>
      <c r="AS56" s="369"/>
      <c r="AT56" s="350">
        <f t="shared" si="50"/>
        <v>11280336.73965749</v>
      </c>
      <c r="AU56" s="350">
        <f t="shared" si="34"/>
        <v>11178985.396872073</v>
      </c>
      <c r="AV56" s="350">
        <f t="shared" si="35"/>
        <v>11067845.432776121</v>
      </c>
      <c r="AW56" s="350">
        <f t="shared" si="36"/>
        <v>10925059.524977531</v>
      </c>
      <c r="AX56" s="350">
        <f t="shared" si="37"/>
        <v>10731929.394157911</v>
      </c>
      <c r="AY56" s="350">
        <f t="shared" si="38"/>
        <v>55184156.488441125</v>
      </c>
      <c r="AZ56" s="365"/>
      <c r="BA56" s="377">
        <f t="shared" si="51"/>
        <v>0</v>
      </c>
      <c r="BB56" s="377">
        <f t="shared" si="39"/>
        <v>0</v>
      </c>
      <c r="BC56" s="377">
        <f t="shared" si="40"/>
        <v>0</v>
      </c>
      <c r="BD56" s="377">
        <f t="shared" si="41"/>
        <v>0</v>
      </c>
      <c r="BE56" s="377">
        <f t="shared" si="42"/>
        <v>0</v>
      </c>
      <c r="BF56" s="377">
        <f t="shared" si="43"/>
        <v>0</v>
      </c>
      <c r="BG56" s="328"/>
    </row>
    <row r="57" spans="2:59">
      <c r="B57" s="332">
        <v>42</v>
      </c>
      <c r="C57" s="350">
        <v>7196377.4544841759</v>
      </c>
      <c r="D57" s="350">
        <v>7170444.0004357556</v>
      </c>
      <c r="E57" s="350">
        <v>7142398.2413093243</v>
      </c>
      <c r="F57" s="350">
        <v>7108751.3496002918</v>
      </c>
      <c r="G57" s="350">
        <v>7066412.6040826235</v>
      </c>
      <c r="H57" s="348">
        <v>35684383.649912171</v>
      </c>
      <c r="I57" s="369"/>
      <c r="J57" s="350">
        <v>23881008.506099463</v>
      </c>
      <c r="K57" s="350">
        <v>23375003.97870823</v>
      </c>
      <c r="L57" s="350">
        <v>22854788.503438093</v>
      </c>
      <c r="M57" s="350">
        <v>22284835.042083431</v>
      </c>
      <c r="N57" s="350">
        <v>21635327.428208679</v>
      </c>
      <c r="O57" s="348">
        <v>114030963.45853789</v>
      </c>
      <c r="P57" s="369"/>
      <c r="Q57" s="350">
        <f t="shared" si="44"/>
        <v>16684631.051615287</v>
      </c>
      <c r="R57" s="350">
        <f t="shared" si="45"/>
        <v>16204559.978272475</v>
      </c>
      <c r="S57" s="350">
        <f t="shared" si="46"/>
        <v>15712390.262128768</v>
      </c>
      <c r="T57" s="350">
        <f t="shared" si="47"/>
        <v>15176083.692483138</v>
      </c>
      <c r="U57" s="350">
        <f t="shared" si="48"/>
        <v>14568914.824126055</v>
      </c>
      <c r="V57" s="350">
        <f t="shared" si="49"/>
        <v>78346579.808625728</v>
      </c>
      <c r="W57" s="365"/>
      <c r="X57" s="377">
        <f t="shared" si="28"/>
        <v>0</v>
      </c>
      <c r="Y57" s="377">
        <f t="shared" si="29"/>
        <v>0</v>
      </c>
      <c r="Z57" s="377">
        <f t="shared" si="30"/>
        <v>0</v>
      </c>
      <c r="AA57" s="377">
        <f t="shared" si="31"/>
        <v>0</v>
      </c>
      <c r="AB57" s="377">
        <f t="shared" si="32"/>
        <v>0</v>
      </c>
      <c r="AC57" s="377">
        <f t="shared" si="33"/>
        <v>0</v>
      </c>
      <c r="AD57" s="376"/>
      <c r="AE57" s="332">
        <v>42</v>
      </c>
      <c r="AF57" s="350">
        <v>329999.46827897133</v>
      </c>
      <c r="AG57" s="350">
        <v>328810.25521993649</v>
      </c>
      <c r="AH57" s="350">
        <v>327524.17959956516</v>
      </c>
      <c r="AI57" s="350">
        <v>325981.25658816833</v>
      </c>
      <c r="AJ57" s="350">
        <v>324039.75704943552</v>
      </c>
      <c r="AK57" s="348">
        <v>1636354.9167360768</v>
      </c>
      <c r="AL57" s="369"/>
      <c r="AM57" s="350">
        <v>12954557.729443146</v>
      </c>
      <c r="AN57" s="350">
        <v>12845878.762731908</v>
      </c>
      <c r="AO57" s="350">
        <v>12726105.04549918</v>
      </c>
      <c r="AP57" s="350">
        <v>12570609.412509542</v>
      </c>
      <c r="AQ57" s="350">
        <v>12358306.92748997</v>
      </c>
      <c r="AR57" s="348">
        <v>63455457.877673745</v>
      </c>
      <c r="AS57" s="369"/>
      <c r="AT57" s="350">
        <f t="shared" si="50"/>
        <v>12624558.261164175</v>
      </c>
      <c r="AU57" s="350">
        <f t="shared" si="34"/>
        <v>12517068.507511972</v>
      </c>
      <c r="AV57" s="350">
        <f t="shared" si="35"/>
        <v>12398580.865899615</v>
      </c>
      <c r="AW57" s="350">
        <f t="shared" si="36"/>
        <v>12244628.155921374</v>
      </c>
      <c r="AX57" s="350">
        <f t="shared" si="37"/>
        <v>12034267.170440534</v>
      </c>
      <c r="AY57" s="350">
        <f t="shared" si="38"/>
        <v>61819102.960937671</v>
      </c>
      <c r="AZ57" s="365"/>
      <c r="BA57" s="377">
        <f t="shared" si="51"/>
        <v>0</v>
      </c>
      <c r="BB57" s="377">
        <f t="shared" si="39"/>
        <v>0</v>
      </c>
      <c r="BC57" s="377">
        <f t="shared" si="40"/>
        <v>0</v>
      </c>
      <c r="BD57" s="377">
        <f t="shared" si="41"/>
        <v>0</v>
      </c>
      <c r="BE57" s="377">
        <f t="shared" si="42"/>
        <v>0</v>
      </c>
      <c r="BF57" s="377">
        <f t="shared" si="43"/>
        <v>0</v>
      </c>
      <c r="BG57" s="328"/>
    </row>
    <row r="58" spans="2:59">
      <c r="B58" s="332">
        <v>43</v>
      </c>
      <c r="C58" s="350">
        <v>3926081.1398658594</v>
      </c>
      <c r="D58" s="350">
        <v>3911932.7929406101</v>
      </c>
      <c r="E58" s="350">
        <v>3896632.0493851304</v>
      </c>
      <c r="F58" s="350">
        <v>3878275.5321249599</v>
      </c>
      <c r="G58" s="350">
        <v>3855177.0563551923</v>
      </c>
      <c r="H58" s="348">
        <v>19468098.570671752</v>
      </c>
      <c r="I58" s="369"/>
      <c r="J58" s="350">
        <v>15228947.158967301</v>
      </c>
      <c r="K58" s="350">
        <v>14937030.89121566</v>
      </c>
      <c r="L58" s="350">
        <v>14635424.095007028</v>
      </c>
      <c r="M58" s="350">
        <v>14300477.585989179</v>
      </c>
      <c r="N58" s="350">
        <v>13912266.441264162</v>
      </c>
      <c r="O58" s="348">
        <v>73014146.17244333</v>
      </c>
      <c r="P58" s="369"/>
      <c r="Q58" s="350">
        <f t="shared" si="44"/>
        <v>11302866.019101441</v>
      </c>
      <c r="R58" s="350">
        <f t="shared" si="45"/>
        <v>11025098.098275051</v>
      </c>
      <c r="S58" s="350">
        <f t="shared" si="46"/>
        <v>10738792.045621898</v>
      </c>
      <c r="T58" s="350">
        <f t="shared" si="47"/>
        <v>10422202.053864218</v>
      </c>
      <c r="U58" s="350">
        <f t="shared" si="48"/>
        <v>10057089.38490897</v>
      </c>
      <c r="V58" s="350">
        <f t="shared" si="49"/>
        <v>53546047.601771578</v>
      </c>
      <c r="W58" s="365"/>
      <c r="X58" s="377">
        <f t="shared" si="28"/>
        <v>0</v>
      </c>
      <c r="Y58" s="377">
        <f t="shared" si="29"/>
        <v>0</v>
      </c>
      <c r="Z58" s="377">
        <f t="shared" si="30"/>
        <v>0</v>
      </c>
      <c r="AA58" s="377">
        <f t="shared" si="31"/>
        <v>0</v>
      </c>
      <c r="AB58" s="377">
        <f t="shared" si="32"/>
        <v>0</v>
      </c>
      <c r="AC58" s="377">
        <f t="shared" si="33"/>
        <v>0</v>
      </c>
      <c r="AD58" s="376"/>
      <c r="AE58" s="332">
        <v>43</v>
      </c>
      <c r="AF58" s="350">
        <v>526652.87863599753</v>
      </c>
      <c r="AG58" s="350">
        <v>524754.9892723615</v>
      </c>
      <c r="AH58" s="350">
        <v>522702.51497249503</v>
      </c>
      <c r="AI58" s="350">
        <v>520240.13268532464</v>
      </c>
      <c r="AJ58" s="350">
        <v>517141.65399298986</v>
      </c>
      <c r="AK58" s="348">
        <v>2611492.1695591686</v>
      </c>
      <c r="AL58" s="369"/>
      <c r="AM58" s="350">
        <v>13811292.038738007</v>
      </c>
      <c r="AN58" s="350">
        <v>13687314.282235514</v>
      </c>
      <c r="AO58" s="350">
        <v>13551673.672925437</v>
      </c>
      <c r="AP58" s="350">
        <v>13378376.32812723</v>
      </c>
      <c r="AQ58" s="350">
        <v>13145183.120311389</v>
      </c>
      <c r="AR58" s="348">
        <v>67573839.442337573</v>
      </c>
      <c r="AS58" s="369"/>
      <c r="AT58" s="350">
        <f t="shared" si="50"/>
        <v>13284639.16010201</v>
      </c>
      <c r="AU58" s="350">
        <f t="shared" si="34"/>
        <v>13162559.292963153</v>
      </c>
      <c r="AV58" s="350">
        <f t="shared" si="35"/>
        <v>13028971.157952942</v>
      </c>
      <c r="AW58" s="350">
        <f t="shared" si="36"/>
        <v>12858136.195441905</v>
      </c>
      <c r="AX58" s="350">
        <f t="shared" si="37"/>
        <v>12628041.466318399</v>
      </c>
      <c r="AY58" s="350">
        <f t="shared" si="38"/>
        <v>64962347.272778407</v>
      </c>
      <c r="AZ58" s="365"/>
      <c r="BA58" s="377">
        <f t="shared" si="51"/>
        <v>0</v>
      </c>
      <c r="BB58" s="377">
        <f t="shared" si="39"/>
        <v>0</v>
      </c>
      <c r="BC58" s="377">
        <f t="shared" si="40"/>
        <v>0</v>
      </c>
      <c r="BD58" s="377">
        <f t="shared" si="41"/>
        <v>0</v>
      </c>
      <c r="BE58" s="377">
        <f t="shared" si="42"/>
        <v>0</v>
      </c>
      <c r="BF58" s="377">
        <f t="shared" si="43"/>
        <v>0</v>
      </c>
      <c r="BG58" s="328"/>
    </row>
    <row r="59" spans="2:59">
      <c r="B59" s="332">
        <v>44</v>
      </c>
      <c r="C59" s="350">
        <v>3079002.1009068107</v>
      </c>
      <c r="D59" s="350">
        <v>3067906.357249131</v>
      </c>
      <c r="E59" s="350">
        <v>3055906.8544690209</v>
      </c>
      <c r="F59" s="350">
        <v>3041510.8822015375</v>
      </c>
      <c r="G59" s="350">
        <v>3023396.0616236608</v>
      </c>
      <c r="H59" s="348">
        <v>15267722.256450159</v>
      </c>
      <c r="I59" s="369"/>
      <c r="J59" s="350">
        <v>13169208.722174939</v>
      </c>
      <c r="K59" s="350">
        <v>12931439.086703705</v>
      </c>
      <c r="L59" s="350">
        <v>12684990.131634403</v>
      </c>
      <c r="M59" s="350">
        <v>12408937.648786992</v>
      </c>
      <c r="N59" s="350">
        <v>12085617.273520699</v>
      </c>
      <c r="O59" s="348">
        <v>63280192.862820737</v>
      </c>
      <c r="P59" s="369"/>
      <c r="Q59" s="350">
        <f t="shared" si="44"/>
        <v>10090206.621268127</v>
      </c>
      <c r="R59" s="350">
        <f t="shared" si="45"/>
        <v>9863532.7294545732</v>
      </c>
      <c r="S59" s="350">
        <f t="shared" si="46"/>
        <v>9629083.2771653831</v>
      </c>
      <c r="T59" s="350">
        <f t="shared" si="47"/>
        <v>9367426.7665854543</v>
      </c>
      <c r="U59" s="350">
        <f t="shared" si="48"/>
        <v>9062221.2118970379</v>
      </c>
      <c r="V59" s="350">
        <f t="shared" si="49"/>
        <v>48012470.606370576</v>
      </c>
      <c r="W59" s="365"/>
      <c r="X59" s="377">
        <f t="shared" si="28"/>
        <v>0</v>
      </c>
      <c r="Y59" s="377">
        <f t="shared" si="29"/>
        <v>0</v>
      </c>
      <c r="Z59" s="377">
        <f t="shared" si="30"/>
        <v>0</v>
      </c>
      <c r="AA59" s="377">
        <f t="shared" si="31"/>
        <v>0</v>
      </c>
      <c r="AB59" s="377">
        <f t="shared" si="32"/>
        <v>0</v>
      </c>
      <c r="AC59" s="377">
        <f t="shared" si="33"/>
        <v>0</v>
      </c>
      <c r="AD59" s="376"/>
      <c r="AE59" s="332">
        <v>44</v>
      </c>
      <c r="AF59" s="350">
        <v>301107.67206279049</v>
      </c>
      <c r="AG59" s="350">
        <v>300022.57584230223</v>
      </c>
      <c r="AH59" s="350">
        <v>298849.09747833299</v>
      </c>
      <c r="AI59" s="350">
        <v>297441.25897920836</v>
      </c>
      <c r="AJ59" s="350">
        <v>295669.73974171473</v>
      </c>
      <c r="AK59" s="348">
        <v>1493090.3441043487</v>
      </c>
      <c r="AL59" s="369"/>
      <c r="AM59" s="350">
        <v>10726209.949578814</v>
      </c>
      <c r="AN59" s="350">
        <v>10634931.968262514</v>
      </c>
      <c r="AO59" s="350">
        <v>10534494.080462348</v>
      </c>
      <c r="AP59" s="350">
        <v>10404547.069753723</v>
      </c>
      <c r="AQ59" s="350">
        <v>10227671.175384711</v>
      </c>
      <c r="AR59" s="348">
        <v>52527854.243442118</v>
      </c>
      <c r="AS59" s="369"/>
      <c r="AT59" s="350">
        <f t="shared" si="50"/>
        <v>10425102.277516024</v>
      </c>
      <c r="AU59" s="350">
        <f t="shared" si="34"/>
        <v>10334909.392420212</v>
      </c>
      <c r="AV59" s="350">
        <f t="shared" si="35"/>
        <v>10235644.982984014</v>
      </c>
      <c r="AW59" s="350">
        <f t="shared" si="36"/>
        <v>10107105.810774514</v>
      </c>
      <c r="AX59" s="350">
        <f t="shared" si="37"/>
        <v>9932001.4356429968</v>
      </c>
      <c r="AY59" s="350">
        <f t="shared" si="38"/>
        <v>51034763.899337769</v>
      </c>
      <c r="AZ59" s="365"/>
      <c r="BA59" s="377">
        <f t="shared" si="51"/>
        <v>0</v>
      </c>
      <c r="BB59" s="377">
        <f t="shared" si="39"/>
        <v>0</v>
      </c>
      <c r="BC59" s="377">
        <f t="shared" si="40"/>
        <v>0</v>
      </c>
      <c r="BD59" s="377">
        <f t="shared" si="41"/>
        <v>0</v>
      </c>
      <c r="BE59" s="377">
        <f t="shared" si="42"/>
        <v>0</v>
      </c>
      <c r="BF59" s="377">
        <f t="shared" si="43"/>
        <v>0</v>
      </c>
      <c r="BG59" s="328"/>
    </row>
    <row r="60" spans="2:59">
      <c r="B60" s="332">
        <v>45</v>
      </c>
      <c r="C60" s="350">
        <v>6857803.2401153445</v>
      </c>
      <c r="D60" s="350">
        <v>6833089.8997818902</v>
      </c>
      <c r="E60" s="350">
        <v>6806363.6338202739</v>
      </c>
      <c r="F60" s="350">
        <v>6774299.7566207489</v>
      </c>
      <c r="G60" s="350">
        <v>6733952.9588006102</v>
      </c>
      <c r="H60" s="348">
        <v>34005509.489138871</v>
      </c>
      <c r="I60" s="369"/>
      <c r="J60" s="350">
        <v>24205685.26742344</v>
      </c>
      <c r="K60" s="350">
        <v>23713049.273601346</v>
      </c>
      <c r="L60" s="350">
        <v>23205595.660962109</v>
      </c>
      <c r="M60" s="350">
        <v>22646660.441242725</v>
      </c>
      <c r="N60" s="350">
        <v>22005422.395973731</v>
      </c>
      <c r="O60" s="348">
        <v>115776413.03920335</v>
      </c>
      <c r="P60" s="369"/>
      <c r="Q60" s="350">
        <f t="shared" si="44"/>
        <v>17347882.027308095</v>
      </c>
      <c r="R60" s="350">
        <f t="shared" si="45"/>
        <v>16879959.373819456</v>
      </c>
      <c r="S60" s="350">
        <f t="shared" si="46"/>
        <v>16399232.027141836</v>
      </c>
      <c r="T60" s="350">
        <f t="shared" si="47"/>
        <v>15872360.684621975</v>
      </c>
      <c r="U60" s="350">
        <f t="shared" si="48"/>
        <v>15271469.437173121</v>
      </c>
      <c r="V60" s="350">
        <f t="shared" si="49"/>
        <v>81770903.550064474</v>
      </c>
      <c r="W60" s="365"/>
      <c r="X60" s="377">
        <f t="shared" si="28"/>
        <v>0</v>
      </c>
      <c r="Y60" s="377">
        <f t="shared" si="29"/>
        <v>0</v>
      </c>
      <c r="Z60" s="377">
        <f t="shared" si="30"/>
        <v>0</v>
      </c>
      <c r="AA60" s="377">
        <f t="shared" si="31"/>
        <v>0</v>
      </c>
      <c r="AB60" s="377">
        <f t="shared" si="32"/>
        <v>0</v>
      </c>
      <c r="AC60" s="377">
        <f t="shared" si="33"/>
        <v>0</v>
      </c>
      <c r="AD60" s="376"/>
      <c r="AE60" s="332">
        <v>45</v>
      </c>
      <c r="AF60" s="350">
        <v>656018.94765887491</v>
      </c>
      <c r="AG60" s="350">
        <v>653654.86415413814</v>
      </c>
      <c r="AH60" s="350">
        <v>651098.22374654666</v>
      </c>
      <c r="AI60" s="350">
        <v>648030.98628845613</v>
      </c>
      <c r="AJ60" s="350">
        <v>644171.40284451249</v>
      </c>
      <c r="AK60" s="348">
        <v>3252974.4246925283</v>
      </c>
      <c r="AL60" s="369"/>
      <c r="AM60" s="350">
        <v>19634470.878221348</v>
      </c>
      <c r="AN60" s="350">
        <v>19462521.245868728</v>
      </c>
      <c r="AO60" s="350">
        <v>19273903.606543627</v>
      </c>
      <c r="AP60" s="350">
        <v>19031525.539486695</v>
      </c>
      <c r="AQ60" s="350">
        <v>18703643.998293895</v>
      </c>
      <c r="AR60" s="348">
        <v>96106065.268414289</v>
      </c>
      <c r="AS60" s="369"/>
      <c r="AT60" s="350">
        <f t="shared" si="50"/>
        <v>18978451.930562474</v>
      </c>
      <c r="AU60" s="350">
        <f t="shared" si="34"/>
        <v>18808866.38171459</v>
      </c>
      <c r="AV60" s="350">
        <f t="shared" si="35"/>
        <v>18622805.382797081</v>
      </c>
      <c r="AW60" s="350">
        <f t="shared" si="36"/>
        <v>18383494.553198241</v>
      </c>
      <c r="AX60" s="350">
        <f t="shared" si="37"/>
        <v>18059472.595449384</v>
      </c>
      <c r="AY60" s="350">
        <f t="shared" si="38"/>
        <v>92853090.843721762</v>
      </c>
      <c r="AZ60" s="365"/>
      <c r="BA60" s="377">
        <f t="shared" si="51"/>
        <v>0</v>
      </c>
      <c r="BB60" s="377">
        <f t="shared" si="39"/>
        <v>0</v>
      </c>
      <c r="BC60" s="377">
        <f t="shared" si="40"/>
        <v>0</v>
      </c>
      <c r="BD60" s="377">
        <f t="shared" si="41"/>
        <v>0</v>
      </c>
      <c r="BE60" s="377">
        <f t="shared" si="42"/>
        <v>0</v>
      </c>
      <c r="BF60" s="377">
        <f t="shared" si="43"/>
        <v>0</v>
      </c>
      <c r="BG60" s="328"/>
    </row>
    <row r="61" spans="2:59">
      <c r="B61" s="332">
        <v>46</v>
      </c>
      <c r="C61" s="350">
        <v>6587737.2647931408</v>
      </c>
      <c r="D61" s="350">
        <v>6563997.1562843602</v>
      </c>
      <c r="E61" s="350">
        <v>6538323.3928269595</v>
      </c>
      <c r="F61" s="350">
        <v>6507522.2176859938</v>
      </c>
      <c r="G61" s="350">
        <v>6468764.3102033176</v>
      </c>
      <c r="H61" s="348">
        <v>32666344.341793772</v>
      </c>
      <c r="I61" s="369"/>
      <c r="J61" s="350">
        <v>20328646.525242411</v>
      </c>
      <c r="K61" s="350">
        <v>19876483.825825918</v>
      </c>
      <c r="L61" s="350">
        <v>19412661.647669509</v>
      </c>
      <c r="M61" s="350">
        <v>18907629.729917668</v>
      </c>
      <c r="N61" s="350">
        <v>18336641.760205127</v>
      </c>
      <c r="O61" s="348">
        <v>96862063.488860637</v>
      </c>
      <c r="P61" s="369"/>
      <c r="Q61" s="350">
        <f t="shared" si="44"/>
        <v>13740909.26044927</v>
      </c>
      <c r="R61" s="350">
        <f t="shared" si="45"/>
        <v>13312486.669541558</v>
      </c>
      <c r="S61" s="350">
        <f t="shared" si="46"/>
        <v>12874338.25484255</v>
      </c>
      <c r="T61" s="350">
        <f t="shared" si="47"/>
        <v>12400107.512231674</v>
      </c>
      <c r="U61" s="350">
        <f t="shared" si="48"/>
        <v>11867877.45000181</v>
      </c>
      <c r="V61" s="350">
        <f t="shared" si="49"/>
        <v>64195719.147066861</v>
      </c>
      <c r="W61" s="365"/>
      <c r="X61" s="377">
        <f t="shared" si="28"/>
        <v>0</v>
      </c>
      <c r="Y61" s="377">
        <f t="shared" si="29"/>
        <v>0</v>
      </c>
      <c r="Z61" s="377">
        <f t="shared" si="30"/>
        <v>0</v>
      </c>
      <c r="AA61" s="377">
        <f t="shared" si="31"/>
        <v>0</v>
      </c>
      <c r="AB61" s="377">
        <f t="shared" si="32"/>
        <v>0</v>
      </c>
      <c r="AC61" s="377">
        <f t="shared" si="33"/>
        <v>0</v>
      </c>
      <c r="AD61" s="376"/>
      <c r="AE61" s="332">
        <v>46</v>
      </c>
      <c r="AF61" s="350">
        <v>426284.7688700381</v>
      </c>
      <c r="AG61" s="350">
        <v>424748.57423114451</v>
      </c>
      <c r="AH61" s="350">
        <v>423087.25504345424</v>
      </c>
      <c r="AI61" s="350">
        <v>421094.14704625739</v>
      </c>
      <c r="AJ61" s="350">
        <v>418586.16821087821</v>
      </c>
      <c r="AK61" s="348">
        <v>2113800.9134017723</v>
      </c>
      <c r="AL61" s="369"/>
      <c r="AM61" s="350">
        <v>13052764.504168671</v>
      </c>
      <c r="AN61" s="350">
        <v>12938910.442085503</v>
      </c>
      <c r="AO61" s="350">
        <v>12813966.373658583</v>
      </c>
      <c r="AP61" s="350">
        <v>12653258.96737165</v>
      </c>
      <c r="AQ61" s="350">
        <v>12435672.314578921</v>
      </c>
      <c r="AR61" s="348">
        <v>63894572.601863325</v>
      </c>
      <c r="AS61" s="369"/>
      <c r="AT61" s="350">
        <f t="shared" si="50"/>
        <v>12626479.735298632</v>
      </c>
      <c r="AU61" s="350">
        <f t="shared" si="34"/>
        <v>12514161.867854359</v>
      </c>
      <c r="AV61" s="350">
        <f t="shared" si="35"/>
        <v>12390879.118615128</v>
      </c>
      <c r="AW61" s="350">
        <f t="shared" si="36"/>
        <v>12232164.820325393</v>
      </c>
      <c r="AX61" s="350">
        <f t="shared" si="37"/>
        <v>12017086.146368042</v>
      </c>
      <c r="AY61" s="350">
        <f t="shared" si="38"/>
        <v>61780771.68846155</v>
      </c>
      <c r="AZ61" s="365"/>
      <c r="BA61" s="377">
        <f t="shared" si="51"/>
        <v>0</v>
      </c>
      <c r="BB61" s="377">
        <f t="shared" si="39"/>
        <v>0</v>
      </c>
      <c r="BC61" s="377">
        <f t="shared" si="40"/>
        <v>0</v>
      </c>
      <c r="BD61" s="377">
        <f t="shared" si="41"/>
        <v>0</v>
      </c>
      <c r="BE61" s="377">
        <f t="shared" si="42"/>
        <v>0</v>
      </c>
      <c r="BF61" s="377">
        <f t="shared" si="43"/>
        <v>0</v>
      </c>
      <c r="BG61" s="328"/>
    </row>
    <row r="62" spans="2:59">
      <c r="B62" s="332">
        <v>47</v>
      </c>
      <c r="C62" s="350">
        <v>3788958.4972284008</v>
      </c>
      <c r="D62" s="350">
        <v>3775304.2966669742</v>
      </c>
      <c r="E62" s="350">
        <v>3760537.9481776934</v>
      </c>
      <c r="F62" s="350">
        <v>3742822.5521951197</v>
      </c>
      <c r="G62" s="350">
        <v>3720530.8157477491</v>
      </c>
      <c r="H62" s="348">
        <v>18788154.110015936</v>
      </c>
      <c r="I62" s="369"/>
      <c r="J62" s="350">
        <v>14482219.259426095</v>
      </c>
      <c r="K62" s="350">
        <v>14202046.916839622</v>
      </c>
      <c r="L62" s="350">
        <v>13912711.680059705</v>
      </c>
      <c r="M62" s="350">
        <v>13591806.959487449</v>
      </c>
      <c r="N62" s="350">
        <v>13220460.927852578</v>
      </c>
      <c r="O62" s="348">
        <v>69409245.743665457</v>
      </c>
      <c r="P62" s="369"/>
      <c r="Q62" s="350">
        <f t="shared" si="44"/>
        <v>10693260.762197694</v>
      </c>
      <c r="R62" s="350">
        <f t="shared" si="45"/>
        <v>10426742.620172648</v>
      </c>
      <c r="S62" s="350">
        <f t="shared" si="46"/>
        <v>10152173.731882012</v>
      </c>
      <c r="T62" s="350">
        <f t="shared" si="47"/>
        <v>9848984.4072923288</v>
      </c>
      <c r="U62" s="350">
        <f t="shared" si="48"/>
        <v>9499930.1121048294</v>
      </c>
      <c r="V62" s="350">
        <f t="shared" si="49"/>
        <v>50621091.633649521</v>
      </c>
      <c r="W62" s="365"/>
      <c r="X62" s="377">
        <f t="shared" si="28"/>
        <v>0</v>
      </c>
      <c r="Y62" s="377">
        <f t="shared" si="29"/>
        <v>0</v>
      </c>
      <c r="Z62" s="377">
        <f t="shared" si="30"/>
        <v>0</v>
      </c>
      <c r="AA62" s="377">
        <f t="shared" si="31"/>
        <v>0</v>
      </c>
      <c r="AB62" s="377">
        <f t="shared" si="32"/>
        <v>0</v>
      </c>
      <c r="AC62" s="377">
        <f t="shared" si="33"/>
        <v>0</v>
      </c>
      <c r="AD62" s="376"/>
      <c r="AE62" s="332">
        <v>47</v>
      </c>
      <c r="AF62" s="350">
        <v>560231.54271233722</v>
      </c>
      <c r="AG62" s="350">
        <v>558212.64653001504</v>
      </c>
      <c r="AH62" s="350">
        <v>556029.30928828265</v>
      </c>
      <c r="AI62" s="350">
        <v>553409.92888906808</v>
      </c>
      <c r="AJ62" s="350">
        <v>550113.89545170462</v>
      </c>
      <c r="AK62" s="348">
        <v>2777997.3228714075</v>
      </c>
      <c r="AL62" s="369"/>
      <c r="AM62" s="350">
        <v>14526414.765229512</v>
      </c>
      <c r="AN62" s="350">
        <v>14395724.932914965</v>
      </c>
      <c r="AO62" s="350">
        <v>14252774.344988648</v>
      </c>
      <c r="AP62" s="350">
        <v>14070232.658911837</v>
      </c>
      <c r="AQ62" s="350">
        <v>13824717.917046329</v>
      </c>
      <c r="AR62" s="348">
        <v>71069864.619091287</v>
      </c>
      <c r="AS62" s="369"/>
      <c r="AT62" s="350">
        <f t="shared" si="50"/>
        <v>13966183.222517176</v>
      </c>
      <c r="AU62" s="350">
        <f t="shared" si="34"/>
        <v>13837512.286384949</v>
      </c>
      <c r="AV62" s="350">
        <f t="shared" si="35"/>
        <v>13696745.035700366</v>
      </c>
      <c r="AW62" s="350">
        <f t="shared" si="36"/>
        <v>13516822.730022769</v>
      </c>
      <c r="AX62" s="350">
        <f t="shared" si="37"/>
        <v>13274604.021594625</v>
      </c>
      <c r="AY62" s="350">
        <f t="shared" si="38"/>
        <v>68291867.296219885</v>
      </c>
      <c r="AZ62" s="365"/>
      <c r="BA62" s="377">
        <f t="shared" si="51"/>
        <v>0</v>
      </c>
      <c r="BB62" s="377">
        <f t="shared" si="39"/>
        <v>0</v>
      </c>
      <c r="BC62" s="377">
        <f t="shared" si="40"/>
        <v>0</v>
      </c>
      <c r="BD62" s="377">
        <f t="shared" si="41"/>
        <v>0</v>
      </c>
      <c r="BE62" s="377">
        <f t="shared" si="42"/>
        <v>0</v>
      </c>
      <c r="BF62" s="377">
        <f t="shared" si="43"/>
        <v>0</v>
      </c>
      <c r="BG62" s="328"/>
    </row>
    <row r="63" spans="2:59">
      <c r="B63" s="332">
        <v>48</v>
      </c>
      <c r="C63" s="350">
        <v>4291570.5733780256</v>
      </c>
      <c r="D63" s="350">
        <v>4276105.1188539704</v>
      </c>
      <c r="E63" s="350">
        <v>4259379.9880035799</v>
      </c>
      <c r="F63" s="350">
        <v>4239314.6132706096</v>
      </c>
      <c r="G63" s="350">
        <v>4214065.8383798292</v>
      </c>
      <c r="H63" s="348">
        <v>21280436.131886017</v>
      </c>
      <c r="I63" s="369"/>
      <c r="J63" s="350">
        <v>15355486.486833688</v>
      </c>
      <c r="K63" s="350">
        <v>15045700.840074031</v>
      </c>
      <c r="L63" s="350">
        <v>14726459.508253507</v>
      </c>
      <c r="M63" s="350">
        <v>14374415.583687093</v>
      </c>
      <c r="N63" s="350">
        <v>13969935.983208112</v>
      </c>
      <c r="O63" s="348">
        <v>73471998.402056426</v>
      </c>
      <c r="P63" s="369"/>
      <c r="Q63" s="350">
        <f t="shared" si="44"/>
        <v>11063915.913455661</v>
      </c>
      <c r="R63" s="350">
        <f t="shared" si="45"/>
        <v>10769595.721220061</v>
      </c>
      <c r="S63" s="350">
        <f t="shared" si="46"/>
        <v>10467079.520249927</v>
      </c>
      <c r="T63" s="350">
        <f t="shared" si="47"/>
        <v>10135100.970416483</v>
      </c>
      <c r="U63" s="350">
        <f t="shared" si="48"/>
        <v>9755870.1448282823</v>
      </c>
      <c r="V63" s="350">
        <f t="shared" si="49"/>
        <v>52191562.270170406</v>
      </c>
      <c r="W63" s="365"/>
      <c r="X63" s="377">
        <f t="shared" si="28"/>
        <v>0</v>
      </c>
      <c r="Y63" s="377">
        <f t="shared" si="29"/>
        <v>0</v>
      </c>
      <c r="Z63" s="377">
        <f t="shared" si="30"/>
        <v>0</v>
      </c>
      <c r="AA63" s="377">
        <f t="shared" si="31"/>
        <v>0</v>
      </c>
      <c r="AB63" s="377">
        <f t="shared" si="32"/>
        <v>0</v>
      </c>
      <c r="AC63" s="377">
        <f t="shared" si="33"/>
        <v>0</v>
      </c>
      <c r="AD63" s="376"/>
      <c r="AE63" s="332">
        <v>48</v>
      </c>
      <c r="AF63" s="350">
        <v>429526.5241732843</v>
      </c>
      <c r="AG63" s="350">
        <v>427978.64727998915</v>
      </c>
      <c r="AH63" s="350">
        <v>426304.69430690398</v>
      </c>
      <c r="AI63" s="350">
        <v>424296.42937966471</v>
      </c>
      <c r="AJ63" s="350">
        <v>421769.37819105189</v>
      </c>
      <c r="AK63" s="348">
        <v>2129875.6733308942</v>
      </c>
      <c r="AL63" s="369"/>
      <c r="AM63" s="350">
        <v>15418145.865347845</v>
      </c>
      <c r="AN63" s="350">
        <v>15287093.234500913</v>
      </c>
      <c r="AO63" s="350">
        <v>15142870.784358101</v>
      </c>
      <c r="AP63" s="350">
        <v>14956223.062258972</v>
      </c>
      <c r="AQ63" s="350">
        <v>14702105.904281277</v>
      </c>
      <c r="AR63" s="348">
        <v>75506438.850747108</v>
      </c>
      <c r="AS63" s="369"/>
      <c r="AT63" s="350">
        <f t="shared" si="50"/>
        <v>14988619.341174562</v>
      </c>
      <c r="AU63" s="350">
        <f t="shared" si="34"/>
        <v>14859114.587220924</v>
      </c>
      <c r="AV63" s="350">
        <f t="shared" si="35"/>
        <v>14716566.090051197</v>
      </c>
      <c r="AW63" s="350">
        <f t="shared" si="36"/>
        <v>14531926.632879307</v>
      </c>
      <c r="AX63" s="350">
        <f t="shared" si="37"/>
        <v>14280336.526090225</v>
      </c>
      <c r="AY63" s="350">
        <f t="shared" si="38"/>
        <v>73376563.17741622</v>
      </c>
      <c r="AZ63" s="365"/>
      <c r="BA63" s="377">
        <f t="shared" si="51"/>
        <v>0</v>
      </c>
      <c r="BB63" s="377">
        <f t="shared" si="39"/>
        <v>0</v>
      </c>
      <c r="BC63" s="377">
        <f t="shared" si="40"/>
        <v>0</v>
      </c>
      <c r="BD63" s="377">
        <f t="shared" si="41"/>
        <v>0</v>
      </c>
      <c r="BE63" s="377">
        <f t="shared" si="42"/>
        <v>0</v>
      </c>
      <c r="BF63" s="377">
        <f t="shared" si="43"/>
        <v>0</v>
      </c>
      <c r="BG63" s="328"/>
    </row>
    <row r="64" spans="2:59">
      <c r="B64" s="332">
        <v>49</v>
      </c>
      <c r="C64" s="350">
        <v>6487997.0129025886</v>
      </c>
      <c r="D64" s="350">
        <v>6464616.3365185875</v>
      </c>
      <c r="E64" s="350">
        <v>6439331.2812824287</v>
      </c>
      <c r="F64" s="350">
        <v>6408996.4448619708</v>
      </c>
      <c r="G64" s="350">
        <v>6370825.3433340071</v>
      </c>
      <c r="H64" s="348">
        <v>32171766.418899585</v>
      </c>
      <c r="I64" s="369"/>
      <c r="J64" s="350">
        <v>21657743.497147135</v>
      </c>
      <c r="K64" s="350">
        <v>21200629.093215749</v>
      </c>
      <c r="L64" s="350">
        <v>20730590.352008134</v>
      </c>
      <c r="M64" s="350">
        <v>20215350.15567863</v>
      </c>
      <c r="N64" s="350">
        <v>19627815.365357708</v>
      </c>
      <c r="O64" s="348">
        <v>103432128.46340735</v>
      </c>
      <c r="P64" s="369"/>
      <c r="Q64" s="350">
        <f t="shared" si="44"/>
        <v>15169746.484244548</v>
      </c>
      <c r="R64" s="350">
        <f t="shared" si="45"/>
        <v>14736012.756697161</v>
      </c>
      <c r="S64" s="350">
        <f t="shared" si="46"/>
        <v>14291259.070725705</v>
      </c>
      <c r="T64" s="350">
        <f t="shared" si="47"/>
        <v>13806353.710816659</v>
      </c>
      <c r="U64" s="350">
        <f t="shared" si="48"/>
        <v>13256990.0220237</v>
      </c>
      <c r="V64" s="350">
        <f t="shared" si="49"/>
        <v>71260362.044507772</v>
      </c>
      <c r="W64" s="365"/>
      <c r="X64" s="377">
        <f t="shared" si="28"/>
        <v>0</v>
      </c>
      <c r="Y64" s="377">
        <f t="shared" si="29"/>
        <v>0</v>
      </c>
      <c r="Z64" s="377">
        <f t="shared" si="30"/>
        <v>0</v>
      </c>
      <c r="AA64" s="377">
        <f t="shared" si="31"/>
        <v>0</v>
      </c>
      <c r="AB64" s="377">
        <f t="shared" si="32"/>
        <v>0</v>
      </c>
      <c r="AC64" s="377">
        <f t="shared" si="33"/>
        <v>0</v>
      </c>
      <c r="AD64" s="376"/>
      <c r="AE64" s="332">
        <v>49</v>
      </c>
      <c r="AF64" s="350">
        <v>342922.8747778011</v>
      </c>
      <c r="AG64" s="350">
        <v>341687.08987470908</v>
      </c>
      <c r="AH64" s="350">
        <v>340350.64908824523</v>
      </c>
      <c r="AI64" s="350">
        <v>338747.30227866274</v>
      </c>
      <c r="AJ64" s="350">
        <v>336729.76992724917</v>
      </c>
      <c r="AK64" s="348">
        <v>1700437.6859466671</v>
      </c>
      <c r="AL64" s="369"/>
      <c r="AM64" s="350">
        <v>11713521.567578718</v>
      </c>
      <c r="AN64" s="350">
        <v>11613187.601104403</v>
      </c>
      <c r="AO64" s="350">
        <v>11502863.947346546</v>
      </c>
      <c r="AP64" s="350">
        <v>11360349.439681938</v>
      </c>
      <c r="AQ64" s="350">
        <v>11166640.260889785</v>
      </c>
      <c r="AR64" s="348">
        <v>57356562.816601388</v>
      </c>
      <c r="AS64" s="369"/>
      <c r="AT64" s="350">
        <f t="shared" si="50"/>
        <v>11370598.692800917</v>
      </c>
      <c r="AU64" s="350">
        <f t="shared" si="34"/>
        <v>11271500.511229694</v>
      </c>
      <c r="AV64" s="350">
        <f t="shared" si="35"/>
        <v>11162513.298258301</v>
      </c>
      <c r="AW64" s="350">
        <f t="shared" si="36"/>
        <v>11021602.137403276</v>
      </c>
      <c r="AX64" s="350">
        <f t="shared" si="37"/>
        <v>10829910.490962537</v>
      </c>
      <c r="AY64" s="350">
        <f t="shared" si="38"/>
        <v>55656125.130654722</v>
      </c>
      <c r="AZ64" s="365"/>
      <c r="BA64" s="377">
        <f t="shared" si="51"/>
        <v>0</v>
      </c>
      <c r="BB64" s="377">
        <f t="shared" si="39"/>
        <v>0</v>
      </c>
      <c r="BC64" s="377">
        <f t="shared" si="40"/>
        <v>0</v>
      </c>
      <c r="BD64" s="377">
        <f t="shared" si="41"/>
        <v>0</v>
      </c>
      <c r="BE64" s="377">
        <f t="shared" si="42"/>
        <v>0</v>
      </c>
      <c r="BF64" s="377">
        <f t="shared" si="43"/>
        <v>0</v>
      </c>
      <c r="BG64" s="328"/>
    </row>
    <row r="65" spans="2:59">
      <c r="B65" s="332">
        <v>50</v>
      </c>
      <c r="C65" s="350">
        <v>5765784.6420441829</v>
      </c>
      <c r="D65" s="350">
        <v>5745006.589195611</v>
      </c>
      <c r="E65" s="350">
        <v>5722536.1437154505</v>
      </c>
      <c r="F65" s="350">
        <v>5695578.0342088975</v>
      </c>
      <c r="G65" s="350">
        <v>5661655.9546330031</v>
      </c>
      <c r="H65" s="348">
        <v>28590561.363797143</v>
      </c>
      <c r="I65" s="369"/>
      <c r="J65" s="350">
        <v>18979035.852808915</v>
      </c>
      <c r="K65" s="350">
        <v>18574735.863550469</v>
      </c>
      <c r="L65" s="350">
        <v>18159186.092235439</v>
      </c>
      <c r="M65" s="350">
        <v>17704221.81544612</v>
      </c>
      <c r="N65" s="350">
        <v>17186211.139263876</v>
      </c>
      <c r="O65" s="348">
        <v>90603390.76330483</v>
      </c>
      <c r="P65" s="369"/>
      <c r="Q65" s="350">
        <f t="shared" si="44"/>
        <v>13213251.210764732</v>
      </c>
      <c r="R65" s="350">
        <f t="shared" si="45"/>
        <v>12829729.274354858</v>
      </c>
      <c r="S65" s="350">
        <f t="shared" si="46"/>
        <v>12436649.948519988</v>
      </c>
      <c r="T65" s="350">
        <f t="shared" si="47"/>
        <v>12008643.781237222</v>
      </c>
      <c r="U65" s="350">
        <f t="shared" si="48"/>
        <v>11524555.184630873</v>
      </c>
      <c r="V65" s="350">
        <f t="shared" si="49"/>
        <v>62012829.399507686</v>
      </c>
      <c r="W65" s="365"/>
      <c r="X65" s="377">
        <f t="shared" si="28"/>
        <v>0</v>
      </c>
      <c r="Y65" s="377">
        <f t="shared" si="29"/>
        <v>0</v>
      </c>
      <c r="Z65" s="377">
        <f t="shared" si="30"/>
        <v>0</v>
      </c>
      <c r="AA65" s="377">
        <f t="shared" si="31"/>
        <v>0</v>
      </c>
      <c r="AB65" s="377">
        <f t="shared" si="32"/>
        <v>0</v>
      </c>
      <c r="AC65" s="377">
        <f t="shared" si="33"/>
        <v>0</v>
      </c>
      <c r="AD65" s="376"/>
      <c r="AE65" s="332">
        <v>50</v>
      </c>
      <c r="AF65" s="350">
        <v>506652.274422199</v>
      </c>
      <c r="AG65" s="350">
        <v>504826.46087081701</v>
      </c>
      <c r="AH65" s="350">
        <v>502851.93302827748</v>
      </c>
      <c r="AI65" s="350">
        <v>500483.06420233834</v>
      </c>
      <c r="AJ65" s="350">
        <v>497502.25589310442</v>
      </c>
      <c r="AK65" s="348">
        <v>2512315.988416736</v>
      </c>
      <c r="AL65" s="369"/>
      <c r="AM65" s="350">
        <v>14962064.918134734</v>
      </c>
      <c r="AN65" s="350">
        <v>14830721.077599041</v>
      </c>
      <c r="AO65" s="350">
        <v>14686682.099127887</v>
      </c>
      <c r="AP65" s="350">
        <v>14501692.536430804</v>
      </c>
      <c r="AQ65" s="350">
        <v>14251572.490779722</v>
      </c>
      <c r="AR65" s="348">
        <v>73232733.12207219</v>
      </c>
      <c r="AS65" s="369"/>
      <c r="AT65" s="350">
        <f t="shared" si="50"/>
        <v>14455412.643712536</v>
      </c>
      <c r="AU65" s="350">
        <f t="shared" si="34"/>
        <v>14325894.616728224</v>
      </c>
      <c r="AV65" s="350">
        <f t="shared" si="35"/>
        <v>14183830.16609961</v>
      </c>
      <c r="AW65" s="350">
        <f t="shared" si="36"/>
        <v>14001209.472228466</v>
      </c>
      <c r="AX65" s="350">
        <f t="shared" si="37"/>
        <v>13754070.234886618</v>
      </c>
      <c r="AY65" s="350">
        <f t="shared" si="38"/>
        <v>70720417.133655459</v>
      </c>
      <c r="AZ65" s="365"/>
      <c r="BA65" s="377">
        <f t="shared" si="51"/>
        <v>0</v>
      </c>
      <c r="BB65" s="377">
        <f t="shared" si="39"/>
        <v>0</v>
      </c>
      <c r="BC65" s="377">
        <f t="shared" si="40"/>
        <v>0</v>
      </c>
      <c r="BD65" s="377">
        <f t="shared" si="41"/>
        <v>0</v>
      </c>
      <c r="BE65" s="377">
        <f t="shared" si="42"/>
        <v>0</v>
      </c>
      <c r="BF65" s="377">
        <f t="shared" si="43"/>
        <v>0</v>
      </c>
      <c r="BG65" s="328"/>
    </row>
    <row r="66" spans="2:59">
      <c r="B66" s="332">
        <v>51</v>
      </c>
      <c r="C66" s="350">
        <v>6307664.4404166425</v>
      </c>
      <c r="D66" s="350">
        <v>6284933.6252317782</v>
      </c>
      <c r="E66" s="350">
        <v>6260351.3630220536</v>
      </c>
      <c r="F66" s="350">
        <v>6230859.6772807268</v>
      </c>
      <c r="G66" s="350">
        <v>6193749.5338449869</v>
      </c>
      <c r="H66" s="348">
        <v>31277558.63979619</v>
      </c>
      <c r="I66" s="369"/>
      <c r="J66" s="350">
        <v>22245732.852298208</v>
      </c>
      <c r="K66" s="350">
        <v>21792747.362783529</v>
      </c>
      <c r="L66" s="350">
        <v>21326148.920338571</v>
      </c>
      <c r="M66" s="350">
        <v>20812249.953159317</v>
      </c>
      <c r="N66" s="350">
        <v>20222731.92646252</v>
      </c>
      <c r="O66" s="348">
        <v>106399611.01504214</v>
      </c>
      <c r="P66" s="369"/>
      <c r="Q66" s="350">
        <f t="shared" si="44"/>
        <v>15938068.411881566</v>
      </c>
      <c r="R66" s="350">
        <f t="shared" si="45"/>
        <v>15507813.737551751</v>
      </c>
      <c r="S66" s="350">
        <f t="shared" si="46"/>
        <v>15065797.557316517</v>
      </c>
      <c r="T66" s="350">
        <f t="shared" si="47"/>
        <v>14581390.27587859</v>
      </c>
      <c r="U66" s="350">
        <f t="shared" si="48"/>
        <v>14028982.392617533</v>
      </c>
      <c r="V66" s="350">
        <f t="shared" si="49"/>
        <v>75122052.375245959</v>
      </c>
      <c r="W66" s="365"/>
      <c r="X66" s="377">
        <f t="shared" si="28"/>
        <v>0</v>
      </c>
      <c r="Y66" s="377">
        <f t="shared" si="29"/>
        <v>0</v>
      </c>
      <c r="Z66" s="377">
        <f t="shared" si="30"/>
        <v>0</v>
      </c>
      <c r="AA66" s="377">
        <f t="shared" si="31"/>
        <v>0</v>
      </c>
      <c r="AB66" s="377">
        <f t="shared" si="32"/>
        <v>0</v>
      </c>
      <c r="AC66" s="377">
        <f t="shared" si="33"/>
        <v>0</v>
      </c>
      <c r="AD66" s="376"/>
      <c r="AE66" s="332">
        <v>51</v>
      </c>
      <c r="AF66" s="350">
        <v>473752.15444586275</v>
      </c>
      <c r="AG66" s="350">
        <v>472044.90245618188</v>
      </c>
      <c r="AH66" s="350">
        <v>470198.59312996146</v>
      </c>
      <c r="AI66" s="350">
        <v>467983.54986154189</v>
      </c>
      <c r="AJ66" s="350">
        <v>465196.30419073137</v>
      </c>
      <c r="AK66" s="348">
        <v>2349175.5040842798</v>
      </c>
      <c r="AL66" s="369"/>
      <c r="AM66" s="350">
        <v>16623991.291559989</v>
      </c>
      <c r="AN66" s="350">
        <v>16482195.788001189</v>
      </c>
      <c r="AO66" s="350">
        <v>16326210.533671826</v>
      </c>
      <c r="AP66" s="350">
        <v>16124507.953948608</v>
      </c>
      <c r="AQ66" s="350">
        <v>15850099.803867718</v>
      </c>
      <c r="AR66" s="348">
        <v>81407005.37104933</v>
      </c>
      <c r="AS66" s="369"/>
      <c r="AT66" s="350">
        <f t="shared" si="50"/>
        <v>16150239.137114126</v>
      </c>
      <c r="AU66" s="350">
        <f t="shared" si="34"/>
        <v>16010150.885545008</v>
      </c>
      <c r="AV66" s="350">
        <f t="shared" si="35"/>
        <v>15856011.940541865</v>
      </c>
      <c r="AW66" s="350">
        <f t="shared" si="36"/>
        <v>15656524.404087067</v>
      </c>
      <c r="AX66" s="350">
        <f t="shared" si="37"/>
        <v>15384903.499676988</v>
      </c>
      <c r="AY66" s="350">
        <f t="shared" si="38"/>
        <v>79057829.866965055</v>
      </c>
      <c r="AZ66" s="365"/>
      <c r="BA66" s="377">
        <f t="shared" si="51"/>
        <v>0</v>
      </c>
      <c r="BB66" s="377">
        <f t="shared" si="39"/>
        <v>0</v>
      </c>
      <c r="BC66" s="377">
        <f t="shared" si="40"/>
        <v>0</v>
      </c>
      <c r="BD66" s="377">
        <f t="shared" si="41"/>
        <v>0</v>
      </c>
      <c r="BE66" s="377">
        <f t="shared" si="42"/>
        <v>0</v>
      </c>
      <c r="BF66" s="377">
        <f t="shared" si="43"/>
        <v>0</v>
      </c>
      <c r="BG66" s="328"/>
    </row>
    <row r="67" spans="2:59">
      <c r="B67" s="332">
        <v>52</v>
      </c>
      <c r="C67" s="350">
        <v>2818046.4329725308</v>
      </c>
      <c r="D67" s="350">
        <v>2807891.090491116</v>
      </c>
      <c r="E67" s="350">
        <v>2796908.5854785424</v>
      </c>
      <c r="F67" s="350">
        <v>2783732.7197376247</v>
      </c>
      <c r="G67" s="350">
        <v>2767153.1904484471</v>
      </c>
      <c r="H67" s="348">
        <v>13973732.019128259</v>
      </c>
      <c r="I67" s="369"/>
      <c r="J67" s="350">
        <v>8988550.3751587551</v>
      </c>
      <c r="K67" s="350">
        <v>8793019.646225648</v>
      </c>
      <c r="L67" s="350">
        <v>8592243.7273765802</v>
      </c>
      <c r="M67" s="350">
        <v>8373014.5722132213</v>
      </c>
      <c r="N67" s="350">
        <v>8124260.0422245599</v>
      </c>
      <c r="O67" s="348">
        <v>42871088.363198757</v>
      </c>
      <c r="P67" s="369"/>
      <c r="Q67" s="350">
        <f t="shared" si="44"/>
        <v>6170503.9421862243</v>
      </c>
      <c r="R67" s="350">
        <f t="shared" si="45"/>
        <v>5985128.555734532</v>
      </c>
      <c r="S67" s="350">
        <f t="shared" si="46"/>
        <v>5795335.1418980379</v>
      </c>
      <c r="T67" s="350">
        <f t="shared" si="47"/>
        <v>5589281.8524755966</v>
      </c>
      <c r="U67" s="350">
        <f t="shared" si="48"/>
        <v>5357106.8517761128</v>
      </c>
      <c r="V67" s="350">
        <f t="shared" si="49"/>
        <v>28897356.344070498</v>
      </c>
      <c r="W67" s="365"/>
      <c r="X67" s="377">
        <f t="shared" si="28"/>
        <v>0</v>
      </c>
      <c r="Y67" s="377">
        <f t="shared" si="29"/>
        <v>0</v>
      </c>
      <c r="Z67" s="377">
        <f t="shared" si="30"/>
        <v>0</v>
      </c>
      <c r="AA67" s="377">
        <f t="shared" si="31"/>
        <v>0</v>
      </c>
      <c r="AB67" s="377">
        <f t="shared" si="32"/>
        <v>0</v>
      </c>
      <c r="AC67" s="377">
        <f t="shared" si="33"/>
        <v>0</v>
      </c>
      <c r="AD67" s="376"/>
      <c r="AE67" s="332">
        <v>52</v>
      </c>
      <c r="AF67" s="350">
        <v>504208.63804125489</v>
      </c>
      <c r="AG67" s="350">
        <v>502391.63057768543</v>
      </c>
      <c r="AH67" s="350">
        <v>500426.62608738319</v>
      </c>
      <c r="AI67" s="350">
        <v>498069.1825610766</v>
      </c>
      <c r="AJ67" s="350">
        <v>495102.75099896657</v>
      </c>
      <c r="AK67" s="348">
        <v>2500198.8282663664</v>
      </c>
      <c r="AL67" s="369"/>
      <c r="AM67" s="350">
        <v>15604423.99627657</v>
      </c>
      <c r="AN67" s="350">
        <v>15468563.816107417</v>
      </c>
      <c r="AO67" s="350">
        <v>15319440.540630059</v>
      </c>
      <c r="AP67" s="350">
        <v>15127549.390723942</v>
      </c>
      <c r="AQ67" s="350">
        <v>14867639.116341865</v>
      </c>
      <c r="AR67" s="348">
        <v>76387616.860079855</v>
      </c>
      <c r="AS67" s="369"/>
      <c r="AT67" s="350">
        <f t="shared" si="50"/>
        <v>15100215.358235316</v>
      </c>
      <c r="AU67" s="350">
        <f t="shared" si="34"/>
        <v>14966172.185529731</v>
      </c>
      <c r="AV67" s="350">
        <f t="shared" si="35"/>
        <v>14819013.914542677</v>
      </c>
      <c r="AW67" s="350">
        <f t="shared" si="36"/>
        <v>14629480.208162865</v>
      </c>
      <c r="AX67" s="350">
        <f t="shared" si="37"/>
        <v>14372536.365342898</v>
      </c>
      <c r="AY67" s="350">
        <f t="shared" si="38"/>
        <v>73887418.031813487</v>
      </c>
      <c r="AZ67" s="365"/>
      <c r="BA67" s="377">
        <f t="shared" si="51"/>
        <v>0</v>
      </c>
      <c r="BB67" s="377">
        <f t="shared" si="39"/>
        <v>0</v>
      </c>
      <c r="BC67" s="377">
        <f t="shared" si="40"/>
        <v>0</v>
      </c>
      <c r="BD67" s="377">
        <f t="shared" si="41"/>
        <v>0</v>
      </c>
      <c r="BE67" s="377">
        <f t="shared" si="42"/>
        <v>0</v>
      </c>
      <c r="BF67" s="377">
        <f t="shared" si="43"/>
        <v>0</v>
      </c>
      <c r="BG67" s="328"/>
    </row>
    <row r="68" spans="2:59">
      <c r="B68" s="332">
        <v>53</v>
      </c>
      <c r="C68" s="350">
        <v>5507115.78112798</v>
      </c>
      <c r="D68" s="350">
        <v>5487269.8885309706</v>
      </c>
      <c r="E68" s="350">
        <v>5465807.5286623053</v>
      </c>
      <c r="F68" s="350">
        <v>5440058.8336433629</v>
      </c>
      <c r="G68" s="350">
        <v>5407658.5912897279</v>
      </c>
      <c r="H68" s="348">
        <v>27307910.623254348</v>
      </c>
      <c r="I68" s="369"/>
      <c r="J68" s="350">
        <v>20227266.767833583</v>
      </c>
      <c r="K68" s="350">
        <v>19825971.607450336</v>
      </c>
      <c r="L68" s="350">
        <v>19412082.443371098</v>
      </c>
      <c r="M68" s="350">
        <v>18954626.366981782</v>
      </c>
      <c r="N68" s="350">
        <v>18427540.720087923</v>
      </c>
      <c r="O68" s="348">
        <v>96847487.905724704</v>
      </c>
      <c r="P68" s="369"/>
      <c r="Q68" s="350">
        <f t="shared" si="44"/>
        <v>14720150.986705603</v>
      </c>
      <c r="R68" s="350">
        <f t="shared" si="45"/>
        <v>14338701.718919367</v>
      </c>
      <c r="S68" s="350">
        <f t="shared" si="46"/>
        <v>13946274.914708793</v>
      </c>
      <c r="T68" s="350">
        <f t="shared" si="47"/>
        <v>13514567.53333842</v>
      </c>
      <c r="U68" s="350">
        <f t="shared" si="48"/>
        <v>13019882.128798194</v>
      </c>
      <c r="V68" s="350">
        <f t="shared" si="49"/>
        <v>69539577.28247036</v>
      </c>
      <c r="W68" s="365"/>
      <c r="X68" s="377">
        <f t="shared" si="28"/>
        <v>0</v>
      </c>
      <c r="Y68" s="377">
        <f t="shared" si="29"/>
        <v>0</v>
      </c>
      <c r="Z68" s="377">
        <f t="shared" si="30"/>
        <v>0</v>
      </c>
      <c r="AA68" s="377">
        <f t="shared" si="31"/>
        <v>0</v>
      </c>
      <c r="AB68" s="377">
        <f t="shared" si="32"/>
        <v>0</v>
      </c>
      <c r="AC68" s="377">
        <f t="shared" si="33"/>
        <v>0</v>
      </c>
      <c r="AD68" s="376"/>
      <c r="AE68" s="332">
        <v>53</v>
      </c>
      <c r="AF68" s="350">
        <v>803647.29728339973</v>
      </c>
      <c r="AG68" s="350">
        <v>800751.20819037245</v>
      </c>
      <c r="AH68" s="350">
        <v>797619.2298214261</v>
      </c>
      <c r="AI68" s="350">
        <v>793861.75131853006</v>
      </c>
      <c r="AJ68" s="350">
        <v>789133.61989117693</v>
      </c>
      <c r="AK68" s="348">
        <v>3985013.106504905</v>
      </c>
      <c r="AL68" s="369"/>
      <c r="AM68" s="350">
        <v>22474218.313750919</v>
      </c>
      <c r="AN68" s="350">
        <v>22274952.177529089</v>
      </c>
      <c r="AO68" s="350">
        <v>22056657.302790999</v>
      </c>
      <c r="AP68" s="350">
        <v>21776955.605105504</v>
      </c>
      <c r="AQ68" s="350">
        <v>21399585.500541847</v>
      </c>
      <c r="AR68" s="348">
        <v>109982368.89971836</v>
      </c>
      <c r="AS68" s="369"/>
      <c r="AT68" s="350">
        <f t="shared" si="50"/>
        <v>21670571.016467519</v>
      </c>
      <c r="AU68" s="350">
        <f t="shared" si="34"/>
        <v>21474200.969338715</v>
      </c>
      <c r="AV68" s="350">
        <f t="shared" si="35"/>
        <v>21259038.072969574</v>
      </c>
      <c r="AW68" s="350">
        <f t="shared" si="36"/>
        <v>20983093.853786975</v>
      </c>
      <c r="AX68" s="350">
        <f t="shared" si="37"/>
        <v>20610451.880650669</v>
      </c>
      <c r="AY68" s="350">
        <f t="shared" si="38"/>
        <v>105997355.79321346</v>
      </c>
      <c r="AZ68" s="365"/>
      <c r="BA68" s="377">
        <f t="shared" si="51"/>
        <v>0</v>
      </c>
      <c r="BB68" s="377">
        <f t="shared" si="39"/>
        <v>0</v>
      </c>
      <c r="BC68" s="377">
        <f t="shared" si="40"/>
        <v>0</v>
      </c>
      <c r="BD68" s="377">
        <f t="shared" si="41"/>
        <v>0</v>
      </c>
      <c r="BE68" s="377">
        <f t="shared" si="42"/>
        <v>0</v>
      </c>
      <c r="BF68" s="377">
        <f t="shared" si="43"/>
        <v>0</v>
      </c>
      <c r="BG68" s="328"/>
    </row>
    <row r="69" spans="2:59">
      <c r="B69" s="332">
        <v>54</v>
      </c>
      <c r="C69" s="350">
        <v>5357271.8260689564</v>
      </c>
      <c r="D69" s="350">
        <v>5337965.9233970921</v>
      </c>
      <c r="E69" s="350">
        <v>5317087.5361586455</v>
      </c>
      <c r="F69" s="350">
        <v>5292039.4413181962</v>
      </c>
      <c r="G69" s="350">
        <v>5260520.7821111865</v>
      </c>
      <c r="H69" s="348">
        <v>26564885.509054076</v>
      </c>
      <c r="I69" s="369"/>
      <c r="J69" s="350">
        <v>23425775.975600213</v>
      </c>
      <c r="K69" s="350">
        <v>23008380.20457112</v>
      </c>
      <c r="L69" s="350">
        <v>22575431.953684088</v>
      </c>
      <c r="M69" s="350">
        <v>22089531.191172946</v>
      </c>
      <c r="N69" s="350">
        <v>21519091.478013795</v>
      </c>
      <c r="O69" s="348">
        <v>112618210.80304216</v>
      </c>
      <c r="P69" s="369"/>
      <c r="Q69" s="350">
        <f t="shared" si="44"/>
        <v>18068504.149531256</v>
      </c>
      <c r="R69" s="350">
        <f t="shared" si="45"/>
        <v>17670414.281174026</v>
      </c>
      <c r="S69" s="350">
        <f t="shared" si="46"/>
        <v>17258344.41752544</v>
      </c>
      <c r="T69" s="350">
        <f t="shared" si="47"/>
        <v>16797491.749854751</v>
      </c>
      <c r="U69" s="350">
        <f t="shared" si="48"/>
        <v>16258570.695902608</v>
      </c>
      <c r="V69" s="350">
        <f t="shared" si="49"/>
        <v>86053325.293988079</v>
      </c>
      <c r="W69" s="365"/>
      <c r="X69" s="377">
        <f t="shared" si="28"/>
        <v>0</v>
      </c>
      <c r="Y69" s="377">
        <f t="shared" si="29"/>
        <v>0</v>
      </c>
      <c r="Z69" s="377">
        <f t="shared" si="30"/>
        <v>0</v>
      </c>
      <c r="AA69" s="377">
        <f t="shared" si="31"/>
        <v>0</v>
      </c>
      <c r="AB69" s="377">
        <f t="shared" si="32"/>
        <v>0</v>
      </c>
      <c r="AC69" s="377">
        <f t="shared" si="33"/>
        <v>0</v>
      </c>
      <c r="AD69" s="376"/>
      <c r="AE69" s="332">
        <v>54</v>
      </c>
      <c r="AF69" s="350">
        <v>415342.25543346786</v>
      </c>
      <c r="AG69" s="350">
        <v>413845.494130468</v>
      </c>
      <c r="AH69" s="350">
        <v>412226.82016226795</v>
      </c>
      <c r="AI69" s="350">
        <v>410284.8742347309</v>
      </c>
      <c r="AJ69" s="350">
        <v>407841.27394183987</v>
      </c>
      <c r="AK69" s="348">
        <v>2059540.7179027745</v>
      </c>
      <c r="AL69" s="369"/>
      <c r="AM69" s="350">
        <v>11776298.28074</v>
      </c>
      <c r="AN69" s="350">
        <v>11672151.867042597</v>
      </c>
      <c r="AO69" s="350">
        <v>11558029.097965071</v>
      </c>
      <c r="AP69" s="350">
        <v>11411715.585434973</v>
      </c>
      <c r="AQ69" s="350">
        <v>11214202.65170054</v>
      </c>
      <c r="AR69" s="348">
        <v>57632397.482883185</v>
      </c>
      <c r="AS69" s="369"/>
      <c r="AT69" s="350">
        <f t="shared" si="50"/>
        <v>11360956.025306532</v>
      </c>
      <c r="AU69" s="350">
        <f t="shared" si="34"/>
        <v>11258306.372912129</v>
      </c>
      <c r="AV69" s="350">
        <f t="shared" si="35"/>
        <v>11145802.277802803</v>
      </c>
      <c r="AW69" s="350">
        <f t="shared" si="36"/>
        <v>11001430.711200243</v>
      </c>
      <c r="AX69" s="350">
        <f t="shared" si="37"/>
        <v>10806361.3777587</v>
      </c>
      <c r="AY69" s="350">
        <f t="shared" si="38"/>
        <v>55572856.764980413</v>
      </c>
      <c r="AZ69" s="365"/>
      <c r="BA69" s="377">
        <f t="shared" si="51"/>
        <v>0</v>
      </c>
      <c r="BB69" s="377">
        <f t="shared" si="39"/>
        <v>0</v>
      </c>
      <c r="BC69" s="377">
        <f t="shared" si="40"/>
        <v>0</v>
      </c>
      <c r="BD69" s="377">
        <f t="shared" si="41"/>
        <v>0</v>
      </c>
      <c r="BE69" s="377">
        <f t="shared" si="42"/>
        <v>0</v>
      </c>
      <c r="BF69" s="377">
        <f t="shared" si="43"/>
        <v>0</v>
      </c>
      <c r="BG69" s="328"/>
    </row>
    <row r="70" spans="2:59">
      <c r="B70" s="332">
        <v>55</v>
      </c>
      <c r="C70" s="350">
        <v>8895952.2373899948</v>
      </c>
      <c r="D70" s="350">
        <v>8863894.0567255598</v>
      </c>
      <c r="E70" s="350">
        <v>8829224.7060379311</v>
      </c>
      <c r="F70" s="350">
        <v>8787631.3983670436</v>
      </c>
      <c r="G70" s="350">
        <v>8735293.474140808</v>
      </c>
      <c r="H70" s="348">
        <v>44111995.872661337</v>
      </c>
      <c r="I70" s="369"/>
      <c r="J70" s="350">
        <v>25952329.183074929</v>
      </c>
      <c r="K70" s="350">
        <v>25352541.8821394</v>
      </c>
      <c r="L70" s="350">
        <v>24738329.892700635</v>
      </c>
      <c r="M70" s="350">
        <v>24072696.152301334</v>
      </c>
      <c r="N70" s="350">
        <v>23324716.108860783</v>
      </c>
      <c r="O70" s="348">
        <v>123440613.21907708</v>
      </c>
      <c r="P70" s="369"/>
      <c r="Q70" s="350">
        <f t="shared" si="44"/>
        <v>17056376.945684932</v>
      </c>
      <c r="R70" s="350">
        <f t="shared" si="45"/>
        <v>16488647.82541384</v>
      </c>
      <c r="S70" s="350">
        <f t="shared" si="46"/>
        <v>15909105.186662704</v>
      </c>
      <c r="T70" s="350">
        <f t="shared" si="47"/>
        <v>15285064.75393429</v>
      </c>
      <c r="U70" s="350">
        <f t="shared" si="48"/>
        <v>14589422.634719975</v>
      </c>
      <c r="V70" s="350">
        <f t="shared" si="49"/>
        <v>79328617.346415743</v>
      </c>
      <c r="W70" s="365"/>
      <c r="X70" s="377">
        <f t="shared" si="28"/>
        <v>0</v>
      </c>
      <c r="Y70" s="377">
        <f t="shared" si="29"/>
        <v>0</v>
      </c>
      <c r="Z70" s="377">
        <f t="shared" si="30"/>
        <v>0</v>
      </c>
      <c r="AA70" s="377">
        <f t="shared" si="31"/>
        <v>0</v>
      </c>
      <c r="AB70" s="377">
        <f t="shared" si="32"/>
        <v>0</v>
      </c>
      <c r="AC70" s="377">
        <f t="shared" si="33"/>
        <v>0</v>
      </c>
      <c r="AD70" s="376"/>
      <c r="AE70" s="332">
        <v>55</v>
      </c>
      <c r="AF70" s="350">
        <v>343044.04508347012</v>
      </c>
      <c r="AG70" s="350">
        <v>341807.82352115988</v>
      </c>
      <c r="AH70" s="350">
        <v>340470.91050915926</v>
      </c>
      <c r="AI70" s="350">
        <v>338866.99716395815</v>
      </c>
      <c r="AJ70" s="350">
        <v>336848.751926267</v>
      </c>
      <c r="AK70" s="348">
        <v>1701038.5282040145</v>
      </c>
      <c r="AL70" s="369"/>
      <c r="AM70" s="350">
        <v>11319901.445324089</v>
      </c>
      <c r="AN70" s="350">
        <v>11222398.820290206</v>
      </c>
      <c r="AO70" s="350">
        <v>11115253.232904673</v>
      </c>
      <c r="AP70" s="350">
        <v>10977027.011440109</v>
      </c>
      <c r="AQ70" s="350">
        <v>10789370.942449361</v>
      </c>
      <c r="AR70" s="348">
        <v>55423951.452408433</v>
      </c>
      <c r="AS70" s="369"/>
      <c r="AT70" s="350">
        <f t="shared" si="50"/>
        <v>10976857.400240619</v>
      </c>
      <c r="AU70" s="350">
        <f t="shared" si="34"/>
        <v>10880590.996769046</v>
      </c>
      <c r="AV70" s="350">
        <f t="shared" si="35"/>
        <v>10774782.322395513</v>
      </c>
      <c r="AW70" s="350">
        <f t="shared" si="36"/>
        <v>10638160.014276151</v>
      </c>
      <c r="AX70" s="350">
        <f t="shared" si="37"/>
        <v>10452522.190523094</v>
      </c>
      <c r="AY70" s="350">
        <f t="shared" si="38"/>
        <v>53722912.924204417</v>
      </c>
      <c r="AZ70" s="365"/>
      <c r="BA70" s="377">
        <f t="shared" si="51"/>
        <v>0</v>
      </c>
      <c r="BB70" s="377">
        <f t="shared" si="39"/>
        <v>0</v>
      </c>
      <c r="BC70" s="377">
        <f t="shared" si="40"/>
        <v>0</v>
      </c>
      <c r="BD70" s="377">
        <f t="shared" si="41"/>
        <v>0</v>
      </c>
      <c r="BE70" s="377">
        <f t="shared" si="42"/>
        <v>0</v>
      </c>
      <c r="BF70" s="377">
        <f t="shared" si="43"/>
        <v>0</v>
      </c>
      <c r="BG70" s="328"/>
    </row>
    <row r="71" spans="2:59">
      <c r="B71" s="332">
        <v>56</v>
      </c>
      <c r="C71" s="350">
        <v>6163752.40403511</v>
      </c>
      <c r="D71" s="350">
        <v>6141540.2020283481</v>
      </c>
      <c r="E71" s="350">
        <v>6117518.7945449464</v>
      </c>
      <c r="F71" s="350">
        <v>6088699.9741076399</v>
      </c>
      <c r="G71" s="350">
        <v>6052436.5143156946</v>
      </c>
      <c r="H71" s="348">
        <v>30563947.889031738</v>
      </c>
      <c r="I71" s="369"/>
      <c r="J71" s="350">
        <v>20245684.706989244</v>
      </c>
      <c r="K71" s="350">
        <v>19813791.280088238</v>
      </c>
      <c r="L71" s="350">
        <v>19369909.738554597</v>
      </c>
      <c r="M71" s="350">
        <v>18884015.386990465</v>
      </c>
      <c r="N71" s="350">
        <v>18330917.241244484</v>
      </c>
      <c r="O71" s="348">
        <v>96644318.353867024</v>
      </c>
      <c r="P71" s="369"/>
      <c r="Q71" s="350">
        <f t="shared" si="44"/>
        <v>14081932.302954134</v>
      </c>
      <c r="R71" s="350">
        <f t="shared" si="45"/>
        <v>13672251.078059889</v>
      </c>
      <c r="S71" s="350">
        <f t="shared" si="46"/>
        <v>13252390.94400965</v>
      </c>
      <c r="T71" s="350">
        <f t="shared" si="47"/>
        <v>12795315.412882825</v>
      </c>
      <c r="U71" s="350">
        <f t="shared" si="48"/>
        <v>12278480.726928789</v>
      </c>
      <c r="V71" s="350">
        <f t="shared" si="49"/>
        <v>66080370.464835286</v>
      </c>
      <c r="W71" s="365"/>
      <c r="X71" s="377">
        <f t="shared" si="28"/>
        <v>0</v>
      </c>
      <c r="Y71" s="377">
        <f t="shared" si="29"/>
        <v>0</v>
      </c>
      <c r="Z71" s="377">
        <f t="shared" si="30"/>
        <v>0</v>
      </c>
      <c r="AA71" s="377">
        <f t="shared" si="31"/>
        <v>0</v>
      </c>
      <c r="AB71" s="377">
        <f t="shared" si="32"/>
        <v>0</v>
      </c>
      <c r="AC71" s="377">
        <f t="shared" si="33"/>
        <v>0</v>
      </c>
      <c r="AD71" s="376"/>
      <c r="AE71" s="332">
        <v>56</v>
      </c>
      <c r="AF71" s="350">
        <v>471126.81631851383</v>
      </c>
      <c r="AG71" s="350">
        <v>469429.02521191159</v>
      </c>
      <c r="AH71" s="350">
        <v>467592.94736690674</v>
      </c>
      <c r="AI71" s="350">
        <v>465390.17895041511</v>
      </c>
      <c r="AJ71" s="350">
        <v>462618.37904013804</v>
      </c>
      <c r="AK71" s="348">
        <v>2336157.3468878851</v>
      </c>
      <c r="AL71" s="369"/>
      <c r="AM71" s="350">
        <v>12251331.104736347</v>
      </c>
      <c r="AN71" s="350">
        <v>12141172.75856798</v>
      </c>
      <c r="AO71" s="350">
        <v>12020672.608417239</v>
      </c>
      <c r="AP71" s="350">
        <v>11866778.666025605</v>
      </c>
      <c r="AQ71" s="350">
        <v>11659769.113235243</v>
      </c>
      <c r="AR71" s="348">
        <v>59939724.250982411</v>
      </c>
      <c r="AS71" s="369"/>
      <c r="AT71" s="350">
        <f t="shared" si="50"/>
        <v>11780204.288417833</v>
      </c>
      <c r="AU71" s="350">
        <f t="shared" si="34"/>
        <v>11671743.733356068</v>
      </c>
      <c r="AV71" s="350">
        <f t="shared" si="35"/>
        <v>11553079.661050333</v>
      </c>
      <c r="AW71" s="350">
        <f t="shared" si="36"/>
        <v>11401388.487075189</v>
      </c>
      <c r="AX71" s="350">
        <f t="shared" si="37"/>
        <v>11197150.734195104</v>
      </c>
      <c r="AY71" s="350">
        <f t="shared" si="38"/>
        <v>57603566.904094525</v>
      </c>
      <c r="AZ71" s="365"/>
      <c r="BA71" s="377">
        <f t="shared" si="51"/>
        <v>0</v>
      </c>
      <c r="BB71" s="377">
        <f t="shared" si="39"/>
        <v>0</v>
      </c>
      <c r="BC71" s="377">
        <f t="shared" si="40"/>
        <v>0</v>
      </c>
      <c r="BD71" s="377">
        <f t="shared" si="41"/>
        <v>0</v>
      </c>
      <c r="BE71" s="377">
        <f t="shared" si="42"/>
        <v>0</v>
      </c>
      <c r="BF71" s="377">
        <f t="shared" si="43"/>
        <v>0</v>
      </c>
      <c r="BG71" s="328"/>
    </row>
    <row r="72" spans="2:59">
      <c r="B72" s="332">
        <v>57</v>
      </c>
      <c r="C72" s="350">
        <v>4367589.6064183768</v>
      </c>
      <c r="D72" s="350">
        <v>4351850.2034928352</v>
      </c>
      <c r="E72" s="350">
        <v>4334828.810876973</v>
      </c>
      <c r="F72" s="350">
        <v>4314408.0067368168</v>
      </c>
      <c r="G72" s="350">
        <v>4288711.9859206025</v>
      </c>
      <c r="H72" s="348">
        <v>21657388.613445602</v>
      </c>
      <c r="I72" s="369"/>
      <c r="J72" s="350">
        <v>14623009.64085721</v>
      </c>
      <c r="K72" s="350">
        <v>14314976.21772106</v>
      </c>
      <c r="L72" s="350">
        <v>13998204.12834434</v>
      </c>
      <c r="M72" s="350">
        <v>13650880.803634625</v>
      </c>
      <c r="N72" s="350">
        <v>13254695.44381023</v>
      </c>
      <c r="O72" s="348">
        <v>69841766.23436746</v>
      </c>
      <c r="P72" s="369"/>
      <c r="Q72" s="350">
        <f t="shared" si="44"/>
        <v>10255420.034438834</v>
      </c>
      <c r="R72" s="350">
        <f t="shared" si="45"/>
        <v>9963126.0142282248</v>
      </c>
      <c r="S72" s="350">
        <f t="shared" si="46"/>
        <v>9663375.3174673673</v>
      </c>
      <c r="T72" s="350">
        <f t="shared" si="47"/>
        <v>9336472.7968978081</v>
      </c>
      <c r="U72" s="350">
        <f t="shared" si="48"/>
        <v>8965983.4578896277</v>
      </c>
      <c r="V72" s="350">
        <f t="shared" si="49"/>
        <v>48184377.620921858</v>
      </c>
      <c r="W72" s="365"/>
      <c r="X72" s="377">
        <f t="shared" si="28"/>
        <v>0</v>
      </c>
      <c r="Y72" s="377">
        <f t="shared" si="29"/>
        <v>0</v>
      </c>
      <c r="Z72" s="377">
        <f t="shared" si="30"/>
        <v>0</v>
      </c>
      <c r="AA72" s="377">
        <f t="shared" si="31"/>
        <v>0</v>
      </c>
      <c r="AB72" s="377">
        <f t="shared" si="32"/>
        <v>0</v>
      </c>
      <c r="AC72" s="377">
        <f t="shared" si="33"/>
        <v>0</v>
      </c>
      <c r="AD72" s="376"/>
      <c r="AE72" s="332">
        <v>57</v>
      </c>
      <c r="AF72" s="350">
        <v>557592.39191069733</v>
      </c>
      <c r="AG72" s="350">
        <v>555583.0063879363</v>
      </c>
      <c r="AH72" s="350">
        <v>553409.95445824438</v>
      </c>
      <c r="AI72" s="350">
        <v>550802.9134925555</v>
      </c>
      <c r="AJ72" s="350">
        <v>547522.40708040446</v>
      </c>
      <c r="AK72" s="348">
        <v>2764910.6733298381</v>
      </c>
      <c r="AL72" s="369"/>
      <c r="AM72" s="350">
        <v>14998475.576326748</v>
      </c>
      <c r="AN72" s="350">
        <v>14864505.877039663</v>
      </c>
      <c r="AO72" s="350">
        <v>14717857.23910673</v>
      </c>
      <c r="AP72" s="350">
        <v>14530279.938837064</v>
      </c>
      <c r="AQ72" s="350">
        <v>14277603.538440241</v>
      </c>
      <c r="AR72" s="348">
        <v>73388722.169750452</v>
      </c>
      <c r="AS72" s="369"/>
      <c r="AT72" s="350">
        <f t="shared" si="50"/>
        <v>14440883.184416052</v>
      </c>
      <c r="AU72" s="350">
        <f t="shared" si="34"/>
        <v>14308922.870651728</v>
      </c>
      <c r="AV72" s="350">
        <f t="shared" si="35"/>
        <v>14164447.284648485</v>
      </c>
      <c r="AW72" s="350">
        <f t="shared" si="36"/>
        <v>13979477.02534451</v>
      </c>
      <c r="AX72" s="350">
        <f t="shared" si="37"/>
        <v>13730081.131359836</v>
      </c>
      <c r="AY72" s="350">
        <f t="shared" si="38"/>
        <v>70623811.496420607</v>
      </c>
      <c r="AZ72" s="365"/>
      <c r="BA72" s="377">
        <f t="shared" si="51"/>
        <v>0</v>
      </c>
      <c r="BB72" s="377">
        <f t="shared" si="39"/>
        <v>0</v>
      </c>
      <c r="BC72" s="377">
        <f t="shared" si="40"/>
        <v>0</v>
      </c>
      <c r="BD72" s="377">
        <f t="shared" si="41"/>
        <v>0</v>
      </c>
      <c r="BE72" s="377">
        <f t="shared" si="42"/>
        <v>0</v>
      </c>
      <c r="BF72" s="377">
        <f t="shared" si="43"/>
        <v>0</v>
      </c>
      <c r="BG72" s="328"/>
    </row>
    <row r="73" spans="2:59">
      <c r="B73" s="332">
        <v>58</v>
      </c>
      <c r="C73" s="350">
        <v>4942778.2676186236</v>
      </c>
      <c r="D73" s="350">
        <v>4924966.0678159352</v>
      </c>
      <c r="E73" s="350">
        <v>4905703.0469994536</v>
      </c>
      <c r="F73" s="350">
        <v>4882592.9299767995</v>
      </c>
      <c r="G73" s="350">
        <v>4853512.8778885696</v>
      </c>
      <c r="H73" s="348">
        <v>24509553.190299384</v>
      </c>
      <c r="I73" s="369"/>
      <c r="J73" s="350">
        <v>18296851.022341512</v>
      </c>
      <c r="K73" s="350">
        <v>17935652.252796255</v>
      </c>
      <c r="L73" s="350">
        <v>17563024.684258379</v>
      </c>
      <c r="M73" s="350">
        <v>17150893.270775661</v>
      </c>
      <c r="N73" s="350">
        <v>16675629.41913661</v>
      </c>
      <c r="O73" s="348">
        <v>87622050.649308413</v>
      </c>
      <c r="P73" s="369"/>
      <c r="Q73" s="350">
        <f t="shared" si="44"/>
        <v>13354072.75472289</v>
      </c>
      <c r="R73" s="350">
        <f t="shared" si="45"/>
        <v>13010686.18498032</v>
      </c>
      <c r="S73" s="350">
        <f t="shared" si="46"/>
        <v>12657321.637258925</v>
      </c>
      <c r="T73" s="350">
        <f t="shared" si="47"/>
        <v>12268300.340798862</v>
      </c>
      <c r="U73" s="350">
        <f t="shared" si="48"/>
        <v>11822116.54124804</v>
      </c>
      <c r="V73" s="350">
        <f t="shared" si="49"/>
        <v>63112497.459009029</v>
      </c>
      <c r="W73" s="365"/>
      <c r="X73" s="377">
        <f t="shared" si="28"/>
        <v>0</v>
      </c>
      <c r="Y73" s="377">
        <f t="shared" si="29"/>
        <v>0</v>
      </c>
      <c r="Z73" s="377">
        <f t="shared" si="30"/>
        <v>0</v>
      </c>
      <c r="AA73" s="377">
        <f t="shared" si="31"/>
        <v>0</v>
      </c>
      <c r="AB73" s="377">
        <f t="shared" si="32"/>
        <v>0</v>
      </c>
      <c r="AC73" s="377">
        <f t="shared" si="33"/>
        <v>0</v>
      </c>
      <c r="AD73" s="376"/>
      <c r="AE73" s="332">
        <v>58</v>
      </c>
      <c r="AF73" s="350">
        <v>523116.1200157397</v>
      </c>
      <c r="AG73" s="350">
        <v>521230.97600457282</v>
      </c>
      <c r="AH73" s="350">
        <v>519192.28517854161</v>
      </c>
      <c r="AI73" s="350">
        <v>516746.43911880633</v>
      </c>
      <c r="AJ73" s="350">
        <v>513668.76838493801</v>
      </c>
      <c r="AK73" s="348">
        <v>2593954.5887025986</v>
      </c>
      <c r="AL73" s="369"/>
      <c r="AM73" s="350">
        <v>17312132.357392818</v>
      </c>
      <c r="AN73" s="350">
        <v>17163086.864785913</v>
      </c>
      <c r="AO73" s="350">
        <v>16999292.433080006</v>
      </c>
      <c r="AP73" s="350">
        <v>16787961.004287541</v>
      </c>
      <c r="AQ73" s="350">
        <v>16501028.054210333</v>
      </c>
      <c r="AR73" s="348">
        <v>84763500.713756606</v>
      </c>
      <c r="AS73" s="369"/>
      <c r="AT73" s="350">
        <f t="shared" si="50"/>
        <v>16789016.237377077</v>
      </c>
      <c r="AU73" s="350">
        <f t="shared" si="34"/>
        <v>16641855.888781341</v>
      </c>
      <c r="AV73" s="350">
        <f t="shared" si="35"/>
        <v>16480100.147901464</v>
      </c>
      <c r="AW73" s="350">
        <f t="shared" si="36"/>
        <v>16271214.565168735</v>
      </c>
      <c r="AX73" s="350">
        <f t="shared" si="37"/>
        <v>15987359.285825396</v>
      </c>
      <c r="AY73" s="350">
        <f t="shared" si="38"/>
        <v>82169546.125054002</v>
      </c>
      <c r="AZ73" s="365"/>
      <c r="BA73" s="377">
        <f t="shared" si="51"/>
        <v>0</v>
      </c>
      <c r="BB73" s="377">
        <f t="shared" si="39"/>
        <v>0</v>
      </c>
      <c r="BC73" s="377">
        <f t="shared" si="40"/>
        <v>0</v>
      </c>
      <c r="BD73" s="377">
        <f t="shared" si="41"/>
        <v>0</v>
      </c>
      <c r="BE73" s="377">
        <f t="shared" si="42"/>
        <v>0</v>
      </c>
      <c r="BF73" s="377">
        <f t="shared" si="43"/>
        <v>0</v>
      </c>
      <c r="BG73" s="328"/>
    </row>
    <row r="74" spans="2:59">
      <c r="B74" s="332">
        <v>59</v>
      </c>
      <c r="C74" s="350">
        <v>3567217.1342953532</v>
      </c>
      <c r="D74" s="350">
        <v>3554362.0190351959</v>
      </c>
      <c r="E74" s="350">
        <v>3540459.8421228677</v>
      </c>
      <c r="F74" s="350">
        <v>3523781.2049363977</v>
      </c>
      <c r="G74" s="350">
        <v>3502794.0486330441</v>
      </c>
      <c r="H74" s="348">
        <v>17688614.24902286</v>
      </c>
      <c r="I74" s="369"/>
      <c r="J74" s="350">
        <v>12013073.681714697</v>
      </c>
      <c r="K74" s="350">
        <v>11760985.351651996</v>
      </c>
      <c r="L74" s="350">
        <v>11501698.302226508</v>
      </c>
      <c r="M74" s="350">
        <v>11217261.877718749</v>
      </c>
      <c r="N74" s="350">
        <v>10892604.781547435</v>
      </c>
      <c r="O74" s="348">
        <v>57385623.994859383</v>
      </c>
      <c r="P74" s="369"/>
      <c r="Q74" s="350">
        <f t="shared" si="44"/>
        <v>8445856.5474193431</v>
      </c>
      <c r="R74" s="350">
        <f t="shared" si="45"/>
        <v>8206623.3326168004</v>
      </c>
      <c r="S74" s="350">
        <f t="shared" si="46"/>
        <v>7961238.4601036403</v>
      </c>
      <c r="T74" s="350">
        <f t="shared" si="47"/>
        <v>7693480.6727823503</v>
      </c>
      <c r="U74" s="350">
        <f t="shared" si="48"/>
        <v>7389810.73291439</v>
      </c>
      <c r="V74" s="350">
        <f t="shared" si="49"/>
        <v>39697009.745836526</v>
      </c>
      <c r="W74" s="365"/>
      <c r="X74" s="377">
        <f t="shared" si="28"/>
        <v>0</v>
      </c>
      <c r="Y74" s="377">
        <f t="shared" si="29"/>
        <v>0</v>
      </c>
      <c r="Z74" s="377">
        <f t="shared" si="30"/>
        <v>0</v>
      </c>
      <c r="AA74" s="377">
        <f t="shared" si="31"/>
        <v>0</v>
      </c>
      <c r="AB74" s="377">
        <f t="shared" si="32"/>
        <v>0</v>
      </c>
      <c r="AC74" s="377">
        <f t="shared" si="33"/>
        <v>0</v>
      </c>
      <c r="AD74" s="376"/>
      <c r="AE74" s="332">
        <v>59</v>
      </c>
      <c r="AF74" s="350">
        <v>509791.23446830013</v>
      </c>
      <c r="AG74" s="350">
        <v>507954.10910390806</v>
      </c>
      <c r="AH74" s="350">
        <v>505967.34809017676</v>
      </c>
      <c r="AI74" s="350">
        <v>503583.80295669014</v>
      </c>
      <c r="AJ74" s="350">
        <v>500584.52707381628</v>
      </c>
      <c r="AK74" s="348">
        <v>2527881.0216928911</v>
      </c>
      <c r="AL74" s="369"/>
      <c r="AM74" s="350">
        <v>14149746.619662434</v>
      </c>
      <c r="AN74" s="350">
        <v>14024111.816180859</v>
      </c>
      <c r="AO74" s="350">
        <v>13886500.151914116</v>
      </c>
      <c r="AP74" s="350">
        <v>13710236.142461956</v>
      </c>
      <c r="AQ74" s="350">
        <v>13472494.771995664</v>
      </c>
      <c r="AR74" s="348">
        <v>69243089.502215028</v>
      </c>
      <c r="AS74" s="369"/>
      <c r="AT74" s="350">
        <f t="shared" si="50"/>
        <v>13639955.385194134</v>
      </c>
      <c r="AU74" s="350">
        <f t="shared" si="34"/>
        <v>13516157.70707695</v>
      </c>
      <c r="AV74" s="350">
        <f t="shared" si="35"/>
        <v>13380532.803823939</v>
      </c>
      <c r="AW74" s="350">
        <f t="shared" si="36"/>
        <v>13206652.339505265</v>
      </c>
      <c r="AX74" s="350">
        <f t="shared" si="37"/>
        <v>12971910.244921848</v>
      </c>
      <c r="AY74" s="350">
        <f t="shared" si="38"/>
        <v>66715208.480522133</v>
      </c>
      <c r="AZ74" s="365"/>
      <c r="BA74" s="377">
        <f t="shared" si="51"/>
        <v>0</v>
      </c>
      <c r="BB74" s="377">
        <f t="shared" si="39"/>
        <v>0</v>
      </c>
      <c r="BC74" s="377">
        <f t="shared" si="40"/>
        <v>0</v>
      </c>
      <c r="BD74" s="377">
        <f t="shared" si="41"/>
        <v>0</v>
      </c>
      <c r="BE74" s="377">
        <f t="shared" si="42"/>
        <v>0</v>
      </c>
      <c r="BF74" s="377">
        <f t="shared" si="43"/>
        <v>0</v>
      </c>
      <c r="BG74" s="328"/>
    </row>
    <row r="75" spans="2:59">
      <c r="B75" s="332">
        <v>60</v>
      </c>
      <c r="C75" s="350">
        <v>4466894.8186455835</v>
      </c>
      <c r="D75" s="350">
        <v>4450797.551339753</v>
      </c>
      <c r="E75" s="350">
        <v>4433389.1459414549</v>
      </c>
      <c r="F75" s="350">
        <v>4412504.0371225793</v>
      </c>
      <c r="G75" s="350">
        <v>4386223.7698385194</v>
      </c>
      <c r="H75" s="348">
        <v>22149809.32288789</v>
      </c>
      <c r="I75" s="369"/>
      <c r="J75" s="350">
        <v>16427165.010094311</v>
      </c>
      <c r="K75" s="350">
        <v>16101520.987195784</v>
      </c>
      <c r="L75" s="350">
        <v>15765643.695920009</v>
      </c>
      <c r="M75" s="350">
        <v>15394370.728043877</v>
      </c>
      <c r="N75" s="350">
        <v>14966528.131680448</v>
      </c>
      <c r="O75" s="348">
        <v>78655228.552934438</v>
      </c>
      <c r="P75" s="369"/>
      <c r="Q75" s="350">
        <f t="shared" si="44"/>
        <v>11960270.191448728</v>
      </c>
      <c r="R75" s="350">
        <f t="shared" si="45"/>
        <v>11650723.435856031</v>
      </c>
      <c r="S75" s="350">
        <f t="shared" si="46"/>
        <v>11332254.549978554</v>
      </c>
      <c r="T75" s="350">
        <f t="shared" si="47"/>
        <v>10981866.690921297</v>
      </c>
      <c r="U75" s="350">
        <f t="shared" si="48"/>
        <v>10580304.361841928</v>
      </c>
      <c r="V75" s="350">
        <f t="shared" si="49"/>
        <v>56505419.230046548</v>
      </c>
      <c r="W75" s="365"/>
      <c r="X75" s="377">
        <f t="shared" si="28"/>
        <v>0</v>
      </c>
      <c r="Y75" s="377">
        <f t="shared" si="29"/>
        <v>0</v>
      </c>
      <c r="Z75" s="377">
        <f t="shared" si="30"/>
        <v>0</v>
      </c>
      <c r="AA75" s="377">
        <f t="shared" si="31"/>
        <v>0</v>
      </c>
      <c r="AB75" s="377">
        <f t="shared" si="32"/>
        <v>0</v>
      </c>
      <c r="AC75" s="377">
        <f t="shared" si="33"/>
        <v>0</v>
      </c>
      <c r="AD75" s="376"/>
      <c r="AE75" s="332">
        <v>60</v>
      </c>
      <c r="AF75" s="350">
        <v>344227.1207638543</v>
      </c>
      <c r="AG75" s="350">
        <v>342986.63577331399</v>
      </c>
      <c r="AH75" s="350">
        <v>341645.11207270372</v>
      </c>
      <c r="AI75" s="350">
        <v>340035.66721952462</v>
      </c>
      <c r="AJ75" s="350">
        <v>338010.46154368587</v>
      </c>
      <c r="AK75" s="348">
        <v>1706904.9973730822</v>
      </c>
      <c r="AL75" s="369"/>
      <c r="AM75" s="350">
        <v>10586925.193955537</v>
      </c>
      <c r="AN75" s="350">
        <v>10494650.504836071</v>
      </c>
      <c r="AO75" s="350">
        <v>10393379.411242221</v>
      </c>
      <c r="AP75" s="350">
        <v>10263097.411420938</v>
      </c>
      <c r="AQ75" s="350">
        <v>10086675.572223699</v>
      </c>
      <c r="AR75" s="348">
        <v>51824728.093678467</v>
      </c>
      <c r="AS75" s="369"/>
      <c r="AT75" s="350">
        <f t="shared" si="50"/>
        <v>10242698.073191682</v>
      </c>
      <c r="AU75" s="350">
        <f t="shared" si="34"/>
        <v>10151663.869062757</v>
      </c>
      <c r="AV75" s="350">
        <f t="shared" si="35"/>
        <v>10051734.299169516</v>
      </c>
      <c r="AW75" s="350">
        <f t="shared" si="36"/>
        <v>9923061.7442014124</v>
      </c>
      <c r="AX75" s="350">
        <f t="shared" si="37"/>
        <v>9748665.110680012</v>
      </c>
      <c r="AY75" s="350">
        <f t="shared" si="38"/>
        <v>50117823.096305385</v>
      </c>
      <c r="AZ75" s="365"/>
      <c r="BA75" s="377">
        <f t="shared" si="51"/>
        <v>0</v>
      </c>
      <c r="BB75" s="377">
        <f t="shared" si="39"/>
        <v>0</v>
      </c>
      <c r="BC75" s="377">
        <f t="shared" si="40"/>
        <v>0</v>
      </c>
      <c r="BD75" s="377">
        <f t="shared" si="41"/>
        <v>0</v>
      </c>
      <c r="BE75" s="377">
        <f t="shared" si="42"/>
        <v>0</v>
      </c>
      <c r="BF75" s="377">
        <f t="shared" si="43"/>
        <v>0</v>
      </c>
      <c r="BG75" s="328"/>
    </row>
    <row r="76" spans="2:59">
      <c r="B76" s="332">
        <v>61</v>
      </c>
      <c r="C76" s="350">
        <v>4993703.0845220406</v>
      </c>
      <c r="D76" s="350">
        <v>4975707.3678864129</v>
      </c>
      <c r="E76" s="350">
        <v>4956245.8826122982</v>
      </c>
      <c r="F76" s="350">
        <v>4932897.6649882654</v>
      </c>
      <c r="G76" s="350">
        <v>4903518.0048156846</v>
      </c>
      <c r="H76" s="348">
        <v>24762072.004824698</v>
      </c>
      <c r="I76" s="369"/>
      <c r="J76" s="350">
        <v>14571180.834923988</v>
      </c>
      <c r="K76" s="350">
        <v>14234471.60063614</v>
      </c>
      <c r="L76" s="350">
        <v>13889662.528274916</v>
      </c>
      <c r="M76" s="350">
        <v>13515979.748326115</v>
      </c>
      <c r="N76" s="350">
        <v>13096058.985695306</v>
      </c>
      <c r="O76" s="348">
        <v>69307353.697856471</v>
      </c>
      <c r="P76" s="369"/>
      <c r="Q76" s="350">
        <f t="shared" si="44"/>
        <v>9577477.7504019476</v>
      </c>
      <c r="R76" s="350">
        <f t="shared" si="45"/>
        <v>9258764.2327497266</v>
      </c>
      <c r="S76" s="350">
        <f t="shared" si="46"/>
        <v>8933416.6456626169</v>
      </c>
      <c r="T76" s="350">
        <f t="shared" si="47"/>
        <v>8583082.0833378509</v>
      </c>
      <c r="U76" s="350">
        <f t="shared" si="48"/>
        <v>8192540.9808796216</v>
      </c>
      <c r="V76" s="350">
        <f t="shared" si="49"/>
        <v>44545281.693031773</v>
      </c>
      <c r="W76" s="365"/>
      <c r="X76" s="377">
        <f t="shared" si="28"/>
        <v>0</v>
      </c>
      <c r="Y76" s="377">
        <f t="shared" si="29"/>
        <v>0</v>
      </c>
      <c r="Z76" s="377">
        <f t="shared" si="30"/>
        <v>0</v>
      </c>
      <c r="AA76" s="377">
        <f t="shared" si="31"/>
        <v>0</v>
      </c>
      <c r="AB76" s="377">
        <f t="shared" si="32"/>
        <v>0</v>
      </c>
      <c r="AC76" s="377">
        <f t="shared" si="33"/>
        <v>0</v>
      </c>
      <c r="AD76" s="376"/>
      <c r="AE76" s="332">
        <v>61</v>
      </c>
      <c r="AF76" s="350">
        <v>394317.33522020123</v>
      </c>
      <c r="AG76" s="350">
        <v>392896.34103832196</v>
      </c>
      <c r="AH76" s="350">
        <v>391359.60549701552</v>
      </c>
      <c r="AI76" s="350">
        <v>389515.96225274954</v>
      </c>
      <c r="AJ76" s="350">
        <v>387196.05874370132</v>
      </c>
      <c r="AK76" s="348">
        <v>1955285.3027519896</v>
      </c>
      <c r="AL76" s="369"/>
      <c r="AM76" s="350">
        <v>12239427.156250928</v>
      </c>
      <c r="AN76" s="350">
        <v>12132918.28329641</v>
      </c>
      <c r="AO76" s="350">
        <v>12016005.318170877</v>
      </c>
      <c r="AP76" s="350">
        <v>11865544.262634179</v>
      </c>
      <c r="AQ76" s="350">
        <v>11661727.544910824</v>
      </c>
      <c r="AR76" s="348">
        <v>59915622.565263219</v>
      </c>
      <c r="AS76" s="369"/>
      <c r="AT76" s="350">
        <f t="shared" si="50"/>
        <v>11845109.821030727</v>
      </c>
      <c r="AU76" s="350">
        <f t="shared" si="34"/>
        <v>11740021.942258088</v>
      </c>
      <c r="AV76" s="350">
        <f t="shared" si="35"/>
        <v>11624645.712673862</v>
      </c>
      <c r="AW76" s="350">
        <f t="shared" si="36"/>
        <v>11476028.300381429</v>
      </c>
      <c r="AX76" s="350">
        <f t="shared" si="37"/>
        <v>11274531.486167122</v>
      </c>
      <c r="AY76" s="350">
        <f t="shared" si="38"/>
        <v>57960337.262511231</v>
      </c>
      <c r="AZ76" s="365"/>
      <c r="BA76" s="377">
        <f t="shared" si="51"/>
        <v>0</v>
      </c>
      <c r="BB76" s="377">
        <f t="shared" si="39"/>
        <v>0</v>
      </c>
      <c r="BC76" s="377">
        <f t="shared" si="40"/>
        <v>0</v>
      </c>
      <c r="BD76" s="377">
        <f t="shared" si="41"/>
        <v>0</v>
      </c>
      <c r="BE76" s="377">
        <f t="shared" si="42"/>
        <v>0</v>
      </c>
      <c r="BF76" s="377">
        <f t="shared" si="43"/>
        <v>0</v>
      </c>
      <c r="BG76" s="328"/>
    </row>
    <row r="77" spans="2:59">
      <c r="B77" s="332">
        <v>62</v>
      </c>
      <c r="C77" s="350">
        <v>6867096.9796957336</v>
      </c>
      <c r="D77" s="350">
        <v>6842350.1476826314</v>
      </c>
      <c r="E77" s="350">
        <v>6815587.6621114537</v>
      </c>
      <c r="F77" s="350">
        <v>6783480.3317368813</v>
      </c>
      <c r="G77" s="350">
        <v>6743078.8556737658</v>
      </c>
      <c r="H77" s="348">
        <v>34051593.976900466</v>
      </c>
      <c r="I77" s="369"/>
      <c r="J77" s="350">
        <v>24681814.909127913</v>
      </c>
      <c r="K77" s="350">
        <v>24185316.080612235</v>
      </c>
      <c r="L77" s="350">
        <v>23673589.172753237</v>
      </c>
      <c r="M77" s="350">
        <v>23109060.80650688</v>
      </c>
      <c r="N77" s="350">
        <v>22460130.915561963</v>
      </c>
      <c r="O77" s="348">
        <v>118109911.88456221</v>
      </c>
      <c r="P77" s="369"/>
      <c r="Q77" s="350">
        <f t="shared" si="44"/>
        <v>17814717.92943218</v>
      </c>
      <c r="R77" s="350">
        <f t="shared" si="45"/>
        <v>17342965.932929605</v>
      </c>
      <c r="S77" s="350">
        <f t="shared" si="46"/>
        <v>16858001.510641783</v>
      </c>
      <c r="T77" s="350">
        <f t="shared" si="47"/>
        <v>16325580.474769998</v>
      </c>
      <c r="U77" s="350">
        <f t="shared" si="48"/>
        <v>15717052.059888197</v>
      </c>
      <c r="V77" s="350">
        <f t="shared" si="49"/>
        <v>84058317.907661736</v>
      </c>
      <c r="W77" s="365"/>
      <c r="X77" s="377">
        <f t="shared" si="28"/>
        <v>0</v>
      </c>
      <c r="Y77" s="377">
        <f t="shared" si="29"/>
        <v>0</v>
      </c>
      <c r="Z77" s="377">
        <f t="shared" si="30"/>
        <v>0</v>
      </c>
      <c r="AA77" s="377">
        <f t="shared" si="31"/>
        <v>0</v>
      </c>
      <c r="AB77" s="377">
        <f t="shared" si="32"/>
        <v>0</v>
      </c>
      <c r="AC77" s="377">
        <f t="shared" si="33"/>
        <v>0</v>
      </c>
      <c r="AD77" s="376"/>
      <c r="AE77" s="332">
        <v>62</v>
      </c>
      <c r="AF77" s="350">
        <v>537534.29053006403</v>
      </c>
      <c r="AG77" s="350">
        <v>535597.18802104751</v>
      </c>
      <c r="AH77" s="350">
        <v>533502.30662693572</v>
      </c>
      <c r="AI77" s="350">
        <v>530989.047952311</v>
      </c>
      <c r="AJ77" s="350">
        <v>527826.55019872368</v>
      </c>
      <c r="AK77" s="348">
        <v>2665449.3833290818</v>
      </c>
      <c r="AL77" s="369"/>
      <c r="AM77" s="350">
        <v>13175059.79630468</v>
      </c>
      <c r="AN77" s="350">
        <v>13055162.739385594</v>
      </c>
      <c r="AO77" s="350">
        <v>12924173.385997595</v>
      </c>
      <c r="AP77" s="350">
        <v>12757347.948536472</v>
      </c>
      <c r="AQ77" s="350">
        <v>12533520.058741018</v>
      </c>
      <c r="AR77" s="348">
        <v>64445263.92896536</v>
      </c>
      <c r="AS77" s="369"/>
      <c r="AT77" s="350">
        <f t="shared" si="50"/>
        <v>12637525.505774617</v>
      </c>
      <c r="AU77" s="350">
        <f t="shared" si="34"/>
        <v>12519565.551364547</v>
      </c>
      <c r="AV77" s="350">
        <f t="shared" si="35"/>
        <v>12390671.079370659</v>
      </c>
      <c r="AW77" s="350">
        <f t="shared" si="36"/>
        <v>12226358.900584161</v>
      </c>
      <c r="AX77" s="350">
        <f t="shared" si="37"/>
        <v>12005693.508542294</v>
      </c>
      <c r="AY77" s="350">
        <f t="shared" si="38"/>
        <v>61779814.545636281</v>
      </c>
      <c r="AZ77" s="365"/>
      <c r="BA77" s="377">
        <f t="shared" si="51"/>
        <v>0</v>
      </c>
      <c r="BB77" s="377">
        <f t="shared" si="39"/>
        <v>0</v>
      </c>
      <c r="BC77" s="377">
        <f t="shared" si="40"/>
        <v>0</v>
      </c>
      <c r="BD77" s="377">
        <f t="shared" si="41"/>
        <v>0</v>
      </c>
      <c r="BE77" s="377">
        <f t="shared" si="42"/>
        <v>0</v>
      </c>
      <c r="BF77" s="377">
        <f t="shared" si="43"/>
        <v>0</v>
      </c>
      <c r="BG77" s="328"/>
    </row>
    <row r="78" spans="2:59">
      <c r="B78" s="332">
        <v>63</v>
      </c>
      <c r="C78" s="350">
        <v>5154192.0069841398</v>
      </c>
      <c r="D78" s="350">
        <v>5135617.9393486828</v>
      </c>
      <c r="E78" s="350">
        <v>5115530.9958227873</v>
      </c>
      <c r="F78" s="350">
        <v>5091432.4071365446</v>
      </c>
      <c r="G78" s="350">
        <v>5061108.535839756</v>
      </c>
      <c r="H78" s="348">
        <v>25557881.88513191</v>
      </c>
      <c r="I78" s="369"/>
      <c r="J78" s="350">
        <v>19808823.152890798</v>
      </c>
      <c r="K78" s="350">
        <v>19426918.231484488</v>
      </c>
      <c r="L78" s="350">
        <v>19032453.410083823</v>
      </c>
      <c r="M78" s="350">
        <v>18594738.396915153</v>
      </c>
      <c r="N78" s="350">
        <v>18087921.284118444</v>
      </c>
      <c r="O78" s="348">
        <v>94950854.475492716</v>
      </c>
      <c r="P78" s="369"/>
      <c r="Q78" s="350">
        <f t="shared" si="44"/>
        <v>14654631.145906657</v>
      </c>
      <c r="R78" s="350">
        <f t="shared" si="45"/>
        <v>14291300.292135805</v>
      </c>
      <c r="S78" s="350">
        <f t="shared" si="46"/>
        <v>13916922.414261036</v>
      </c>
      <c r="T78" s="350">
        <f t="shared" si="47"/>
        <v>13503305.989778608</v>
      </c>
      <c r="U78" s="350">
        <f t="shared" si="48"/>
        <v>13026812.748278689</v>
      </c>
      <c r="V78" s="350">
        <f t="shared" si="49"/>
        <v>69392972.590360805</v>
      </c>
      <c r="W78" s="365"/>
      <c r="X78" s="377">
        <f t="shared" si="28"/>
        <v>0</v>
      </c>
      <c r="Y78" s="377">
        <f t="shared" si="29"/>
        <v>0</v>
      </c>
      <c r="Z78" s="377">
        <f t="shared" si="30"/>
        <v>0</v>
      </c>
      <c r="AA78" s="377">
        <f t="shared" si="31"/>
        <v>0</v>
      </c>
      <c r="AB78" s="377">
        <f t="shared" si="32"/>
        <v>0</v>
      </c>
      <c r="AC78" s="377">
        <f t="shared" si="33"/>
        <v>0</v>
      </c>
      <c r="AD78" s="376"/>
      <c r="AE78" s="332">
        <v>63</v>
      </c>
      <c r="AF78" s="350">
        <v>506425.72395993891</v>
      </c>
      <c r="AG78" s="350">
        <v>504600.72682432178</v>
      </c>
      <c r="AH78" s="350">
        <v>502627.08189540554</v>
      </c>
      <c r="AI78" s="350">
        <v>500259.27231335948</v>
      </c>
      <c r="AJ78" s="350">
        <v>497279.79687784304</v>
      </c>
      <c r="AK78" s="348">
        <v>2511192.6018708688</v>
      </c>
      <c r="AL78" s="369"/>
      <c r="AM78" s="350">
        <v>18027214.009757325</v>
      </c>
      <c r="AN78" s="350">
        <v>17873789.036686908</v>
      </c>
      <c r="AO78" s="350">
        <v>17704969.632223003</v>
      </c>
      <c r="AP78" s="350">
        <v>17486556.033081725</v>
      </c>
      <c r="AQ78" s="350">
        <v>17189271.877647918</v>
      </c>
      <c r="AR78" s="348">
        <v>88281800.589396879</v>
      </c>
      <c r="AS78" s="369"/>
      <c r="AT78" s="350">
        <f t="shared" si="50"/>
        <v>17520788.285797387</v>
      </c>
      <c r="AU78" s="350">
        <f t="shared" si="34"/>
        <v>17369188.309862588</v>
      </c>
      <c r="AV78" s="350">
        <f t="shared" si="35"/>
        <v>17202342.550327595</v>
      </c>
      <c r="AW78" s="350">
        <f t="shared" si="36"/>
        <v>16986296.760768365</v>
      </c>
      <c r="AX78" s="350">
        <f t="shared" si="37"/>
        <v>16691992.080770075</v>
      </c>
      <c r="AY78" s="350">
        <f t="shared" si="38"/>
        <v>85770607.987526014</v>
      </c>
      <c r="AZ78" s="365"/>
      <c r="BA78" s="377">
        <f t="shared" si="51"/>
        <v>0</v>
      </c>
      <c r="BB78" s="377">
        <f t="shared" si="39"/>
        <v>0</v>
      </c>
      <c r="BC78" s="377">
        <f t="shared" si="40"/>
        <v>0</v>
      </c>
      <c r="BD78" s="377">
        <f t="shared" si="41"/>
        <v>0</v>
      </c>
      <c r="BE78" s="377">
        <f t="shared" si="42"/>
        <v>0</v>
      </c>
      <c r="BF78" s="377">
        <f t="shared" si="43"/>
        <v>0</v>
      </c>
      <c r="BG78" s="328"/>
    </row>
    <row r="79" spans="2:59">
      <c r="B79" s="332">
        <v>64</v>
      </c>
      <c r="C79" s="350">
        <v>5671603.9845995102</v>
      </c>
      <c r="D79" s="350">
        <v>5651165.3288667127</v>
      </c>
      <c r="E79" s="350">
        <v>5629061.9247278059</v>
      </c>
      <c r="F79" s="350">
        <v>5602544.159881074</v>
      </c>
      <c r="G79" s="350">
        <v>5569176.177267638</v>
      </c>
      <c r="H79" s="348">
        <v>28123551.575342741</v>
      </c>
      <c r="I79" s="369"/>
      <c r="J79" s="350">
        <v>21078880.748108137</v>
      </c>
      <c r="K79" s="350">
        <v>20663816.049181513</v>
      </c>
      <c r="L79" s="350">
        <v>20235563.279284012</v>
      </c>
      <c r="M79" s="350">
        <v>19761744.544184886</v>
      </c>
      <c r="N79" s="350">
        <v>19215107.308774635</v>
      </c>
      <c r="O79" s="348">
        <v>100955111.9295332</v>
      </c>
      <c r="P79" s="369"/>
      <c r="Q79" s="350">
        <f t="shared" si="44"/>
        <v>15407276.763508627</v>
      </c>
      <c r="R79" s="350">
        <f t="shared" si="45"/>
        <v>15012650.720314801</v>
      </c>
      <c r="S79" s="350">
        <f t="shared" si="46"/>
        <v>14606501.354556207</v>
      </c>
      <c r="T79" s="350">
        <f t="shared" si="47"/>
        <v>14159200.384303812</v>
      </c>
      <c r="U79" s="350">
        <f t="shared" si="48"/>
        <v>13645931.131506998</v>
      </c>
      <c r="V79" s="350">
        <f t="shared" si="49"/>
        <v>72831560.354190454</v>
      </c>
      <c r="W79" s="365"/>
      <c r="X79" s="377">
        <f t="shared" si="28"/>
        <v>0</v>
      </c>
      <c r="Y79" s="377">
        <f t="shared" si="29"/>
        <v>0</v>
      </c>
      <c r="Z79" s="377">
        <f t="shared" si="30"/>
        <v>0</v>
      </c>
      <c r="AA79" s="377">
        <f t="shared" si="31"/>
        <v>0</v>
      </c>
      <c r="AB79" s="377">
        <f t="shared" si="32"/>
        <v>0</v>
      </c>
      <c r="AC79" s="377">
        <f t="shared" si="33"/>
        <v>0</v>
      </c>
      <c r="AD79" s="376"/>
      <c r="AE79" s="332">
        <v>64</v>
      </c>
      <c r="AF79" s="350">
        <v>616111.35544245376</v>
      </c>
      <c r="AG79" s="350">
        <v>613891.08619919408</v>
      </c>
      <c r="AH79" s="350">
        <v>611489.97386467783</v>
      </c>
      <c r="AI79" s="350">
        <v>608609.32562347676</v>
      </c>
      <c r="AJ79" s="350">
        <v>604984.53216960246</v>
      </c>
      <c r="AK79" s="348">
        <v>3055086.2732994049</v>
      </c>
      <c r="AL79" s="369"/>
      <c r="AM79" s="350">
        <v>15298545.852390554</v>
      </c>
      <c r="AN79" s="350">
        <v>15159698.37309644</v>
      </c>
      <c r="AO79" s="350">
        <v>15007963.16396671</v>
      </c>
      <c r="AP79" s="350">
        <v>14814596.288137482</v>
      </c>
      <c r="AQ79" s="350">
        <v>14555008.819515957</v>
      </c>
      <c r="AR79" s="348">
        <v>74835812.497107133</v>
      </c>
      <c r="AS79" s="369"/>
      <c r="AT79" s="350">
        <f t="shared" si="50"/>
        <v>14682434.496948101</v>
      </c>
      <c r="AU79" s="350">
        <f t="shared" si="34"/>
        <v>14545807.286897246</v>
      </c>
      <c r="AV79" s="350">
        <f t="shared" si="35"/>
        <v>14396473.190102031</v>
      </c>
      <c r="AW79" s="350">
        <f t="shared" si="36"/>
        <v>14205986.962514006</v>
      </c>
      <c r="AX79" s="350">
        <f t="shared" si="37"/>
        <v>13950024.287346354</v>
      </c>
      <c r="AY79" s="350">
        <f t="shared" si="38"/>
        <v>71780726.223807722</v>
      </c>
      <c r="AZ79" s="365"/>
      <c r="BA79" s="377">
        <f t="shared" si="51"/>
        <v>0</v>
      </c>
      <c r="BB79" s="377">
        <f t="shared" si="39"/>
        <v>0</v>
      </c>
      <c r="BC79" s="377">
        <f t="shared" si="40"/>
        <v>0</v>
      </c>
      <c r="BD79" s="377">
        <f t="shared" si="41"/>
        <v>0</v>
      </c>
      <c r="BE79" s="377">
        <f t="shared" si="42"/>
        <v>0</v>
      </c>
      <c r="BF79" s="377">
        <f t="shared" si="43"/>
        <v>0</v>
      </c>
      <c r="BG79" s="328"/>
    </row>
    <row r="80" spans="2:59">
      <c r="B80" s="332">
        <v>65</v>
      </c>
      <c r="C80" s="350">
        <v>4393692.2972884355</v>
      </c>
      <c r="D80" s="350">
        <v>4377858.8285723608</v>
      </c>
      <c r="E80" s="350">
        <v>4360735.7084157569</v>
      </c>
      <c r="F80" s="350">
        <v>4340192.8603140982</v>
      </c>
      <c r="G80" s="350">
        <v>4314343.2684556395</v>
      </c>
      <c r="H80" s="348">
        <v>21786822.96304629</v>
      </c>
      <c r="I80" s="369"/>
      <c r="J80" s="350">
        <v>14451191.641860016</v>
      </c>
      <c r="K80" s="350">
        <v>14143185.504743097</v>
      </c>
      <c r="L80" s="350">
        <v>13826616.729267649</v>
      </c>
      <c r="M80" s="350">
        <v>13480045.051343918</v>
      </c>
      <c r="N80" s="350">
        <v>13085481.205906484</v>
      </c>
      <c r="O80" s="348">
        <v>68986520.133121163</v>
      </c>
      <c r="P80" s="369"/>
      <c r="Q80" s="350">
        <f t="shared" si="44"/>
        <v>10057499.344571579</v>
      </c>
      <c r="R80" s="350">
        <f t="shared" si="45"/>
        <v>9765326.6761707366</v>
      </c>
      <c r="S80" s="350">
        <f t="shared" si="46"/>
        <v>9465881.0208518915</v>
      </c>
      <c r="T80" s="350">
        <f t="shared" si="47"/>
        <v>9139852.1910298206</v>
      </c>
      <c r="U80" s="350">
        <f t="shared" si="48"/>
        <v>8771137.9374508448</v>
      </c>
      <c r="V80" s="350">
        <f t="shared" si="49"/>
        <v>47199697.170074873</v>
      </c>
      <c r="W80" s="365"/>
      <c r="X80" s="377">
        <f t="shared" ref="X80:X143" si="52">IF(Q80&lt;Q$8,1,0)</f>
        <v>0</v>
      </c>
      <c r="Y80" s="377">
        <f t="shared" ref="Y80:Y143" si="53">IF(R80&lt;R$8,1,0)</f>
        <v>0</v>
      </c>
      <c r="Z80" s="377">
        <f t="shared" ref="Z80:Z143" si="54">IF(S80&lt;S$8,1,0)</f>
        <v>0</v>
      </c>
      <c r="AA80" s="377">
        <f t="shared" ref="AA80:AA143" si="55">IF(T80&lt;T$8,1,0)</f>
        <v>0</v>
      </c>
      <c r="AB80" s="377">
        <f t="shared" ref="AB80:AB143" si="56">IF(U80&lt;U$8,1,0)</f>
        <v>0</v>
      </c>
      <c r="AC80" s="377">
        <f t="shared" ref="AC80:AC143" si="57">IF(V80&lt;V$8,1,0)</f>
        <v>0</v>
      </c>
      <c r="AD80" s="376"/>
      <c r="AE80" s="332">
        <v>65</v>
      </c>
      <c r="AF80" s="350">
        <v>536710.29833645606</v>
      </c>
      <c r="AG80" s="350">
        <v>534776.16523306386</v>
      </c>
      <c r="AH80" s="350">
        <v>532684.49510555551</v>
      </c>
      <c r="AI80" s="350">
        <v>530175.08903264359</v>
      </c>
      <c r="AJ80" s="350">
        <v>527017.43910645472</v>
      </c>
      <c r="AK80" s="348">
        <v>2661363.4868141739</v>
      </c>
      <c r="AL80" s="369"/>
      <c r="AM80" s="350">
        <v>13158051.189463019</v>
      </c>
      <c r="AN80" s="350">
        <v>13038314.94995988</v>
      </c>
      <c r="AO80" s="350">
        <v>12907500.610596947</v>
      </c>
      <c r="AP80" s="350">
        <v>12740896.132383008</v>
      </c>
      <c r="AQ80" s="350">
        <v>12517362.293497048</v>
      </c>
      <c r="AR80" s="348">
        <v>64362125.1758999</v>
      </c>
      <c r="AS80" s="369"/>
      <c r="AT80" s="350">
        <f t="shared" si="50"/>
        <v>12621340.891126564</v>
      </c>
      <c r="AU80" s="350">
        <f t="shared" ref="AU80:AU143" si="58">AN80-AG80</f>
        <v>12503538.784726815</v>
      </c>
      <c r="AV80" s="350">
        <f t="shared" ref="AV80:AV143" si="59">AO80-AH80</f>
        <v>12374816.115491392</v>
      </c>
      <c r="AW80" s="350">
        <f t="shared" ref="AW80:AW143" si="60">AP80-AI80</f>
        <v>12210721.043350363</v>
      </c>
      <c r="AX80" s="350">
        <f t="shared" ref="AX80:AX143" si="61">AQ80-AJ80</f>
        <v>11990344.854390593</v>
      </c>
      <c r="AY80" s="350">
        <f t="shared" ref="AY80:AY143" si="62">AR80-AK80</f>
        <v>61700761.689085729</v>
      </c>
      <c r="AZ80" s="365"/>
      <c r="BA80" s="377">
        <f t="shared" ref="BA80:BA143" si="63">IF(AT80&lt;AT$8,1,0)</f>
        <v>0</v>
      </c>
      <c r="BB80" s="377">
        <f t="shared" ref="BB80:BB143" si="64">IF(AU80&lt;AU$8,1,0)</f>
        <v>0</v>
      </c>
      <c r="BC80" s="377">
        <f t="shared" ref="BC80:BC143" si="65">IF(AV80&lt;AV$8,1,0)</f>
        <v>0</v>
      </c>
      <c r="BD80" s="377">
        <f t="shared" ref="BD80:BD143" si="66">IF(AW80&lt;AW$8,1,0)</f>
        <v>0</v>
      </c>
      <c r="BE80" s="377">
        <f t="shared" ref="BE80:BE143" si="67">IF(AX80&lt;AX$8,1,0)</f>
        <v>0</v>
      </c>
      <c r="BF80" s="377">
        <f t="shared" ref="BF80:BF143" si="68">IF(AY80&lt;AY$8,1,0)</f>
        <v>0</v>
      </c>
      <c r="BG80" s="328"/>
    </row>
    <row r="81" spans="2:59">
      <c r="B81" s="332">
        <v>66</v>
      </c>
      <c r="C81" s="350">
        <v>7674751.033883784</v>
      </c>
      <c r="D81" s="350">
        <v>7647093.6737009473</v>
      </c>
      <c r="E81" s="350">
        <v>7617183.5946072638</v>
      </c>
      <c r="F81" s="350">
        <v>7581300.05201043</v>
      </c>
      <c r="G81" s="350">
        <v>7536146.8714011256</v>
      </c>
      <c r="H81" s="348">
        <v>38056475.225603551</v>
      </c>
      <c r="I81" s="369"/>
      <c r="J81" s="350">
        <v>24353604.972513679</v>
      </c>
      <c r="K81" s="350">
        <v>23821999.497771222</v>
      </c>
      <c r="L81" s="350">
        <v>23276220.139083795</v>
      </c>
      <c r="M81" s="350">
        <v>22680540.206286568</v>
      </c>
      <c r="N81" s="350">
        <v>22005015.130246691</v>
      </c>
      <c r="O81" s="348">
        <v>116137379.94590196</v>
      </c>
      <c r="P81" s="369"/>
      <c r="Q81" s="350">
        <f t="shared" ref="Q81:Q144" si="69">J81-C81</f>
        <v>16678853.938629895</v>
      </c>
      <c r="R81" s="350">
        <f t="shared" ref="R81:R144" si="70">K81-D81</f>
        <v>16174905.824070275</v>
      </c>
      <c r="S81" s="350">
        <f t="shared" ref="S81:S144" si="71">L81-E81</f>
        <v>15659036.544476531</v>
      </c>
      <c r="T81" s="350">
        <f t="shared" ref="T81:T144" si="72">M81-F81</f>
        <v>15099240.154276138</v>
      </c>
      <c r="U81" s="350">
        <f t="shared" ref="U81:U144" si="73">N81-G81</f>
        <v>14468868.258845566</v>
      </c>
      <c r="V81" s="350">
        <f t="shared" ref="V81:V144" si="74">O81-H81</f>
        <v>78080904.720298409</v>
      </c>
      <c r="W81" s="365"/>
      <c r="X81" s="377">
        <f t="shared" si="52"/>
        <v>0</v>
      </c>
      <c r="Y81" s="377">
        <f t="shared" si="53"/>
        <v>0</v>
      </c>
      <c r="Z81" s="377">
        <f t="shared" si="54"/>
        <v>0</v>
      </c>
      <c r="AA81" s="377">
        <f t="shared" si="55"/>
        <v>0</v>
      </c>
      <c r="AB81" s="377">
        <f t="shared" si="56"/>
        <v>0</v>
      </c>
      <c r="AC81" s="377">
        <f t="shared" si="57"/>
        <v>0</v>
      </c>
      <c r="AD81" s="376"/>
      <c r="AE81" s="332">
        <v>66</v>
      </c>
      <c r="AF81" s="350">
        <v>454999.26923564204</v>
      </c>
      <c r="AG81" s="350">
        <v>453359.59667602164</v>
      </c>
      <c r="AH81" s="350">
        <v>451586.37119022768</v>
      </c>
      <c r="AI81" s="350">
        <v>449459.00763314794</v>
      </c>
      <c r="AJ81" s="350">
        <v>446782.09158854984</v>
      </c>
      <c r="AK81" s="348">
        <v>2256186.3363235896</v>
      </c>
      <c r="AL81" s="369"/>
      <c r="AM81" s="350">
        <v>11421054.530144302</v>
      </c>
      <c r="AN81" s="350">
        <v>11317628.547850089</v>
      </c>
      <c r="AO81" s="350">
        <v>11204576.598869028</v>
      </c>
      <c r="AP81" s="350">
        <v>11060432.612084558</v>
      </c>
      <c r="AQ81" s="350">
        <v>10866833.035425544</v>
      </c>
      <c r="AR81" s="348">
        <v>55870525.324373521</v>
      </c>
      <c r="AS81" s="369"/>
      <c r="AT81" s="350">
        <f t="shared" ref="AT81:AT144" si="75">AM81-AF81</f>
        <v>10966055.26090866</v>
      </c>
      <c r="AU81" s="350">
        <f t="shared" si="58"/>
        <v>10864268.951174067</v>
      </c>
      <c r="AV81" s="350">
        <f t="shared" si="59"/>
        <v>10752990.2276788</v>
      </c>
      <c r="AW81" s="350">
        <f t="shared" si="60"/>
        <v>10610973.60445141</v>
      </c>
      <c r="AX81" s="350">
        <f t="shared" si="61"/>
        <v>10420050.943836994</v>
      </c>
      <c r="AY81" s="350">
        <f t="shared" si="62"/>
        <v>53614338.988049932</v>
      </c>
      <c r="AZ81" s="365"/>
      <c r="BA81" s="377">
        <f t="shared" si="63"/>
        <v>0</v>
      </c>
      <c r="BB81" s="377">
        <f t="shared" si="64"/>
        <v>0</v>
      </c>
      <c r="BC81" s="377">
        <f t="shared" si="65"/>
        <v>0</v>
      </c>
      <c r="BD81" s="377">
        <f t="shared" si="66"/>
        <v>0</v>
      </c>
      <c r="BE81" s="377">
        <f t="shared" si="67"/>
        <v>0</v>
      </c>
      <c r="BF81" s="377">
        <f t="shared" si="68"/>
        <v>0</v>
      </c>
      <c r="BG81" s="328"/>
    </row>
    <row r="82" spans="2:59">
      <c r="B82" s="332">
        <v>67</v>
      </c>
      <c r="C82" s="350">
        <v>6400541.615457084</v>
      </c>
      <c r="D82" s="350">
        <v>6377476.1004921868</v>
      </c>
      <c r="E82" s="350">
        <v>6352531.8768795207</v>
      </c>
      <c r="F82" s="350">
        <v>6322605.9409518186</v>
      </c>
      <c r="G82" s="350">
        <v>6284949.3693856318</v>
      </c>
      <c r="H82" s="348">
        <v>31738104.903166242</v>
      </c>
      <c r="I82" s="369"/>
      <c r="J82" s="350">
        <v>23645771.893125795</v>
      </c>
      <c r="K82" s="350">
        <v>23178386.654377308</v>
      </c>
      <c r="L82" s="350">
        <v>22696243.623322599</v>
      </c>
      <c r="M82" s="350">
        <v>22163079.424720176</v>
      </c>
      <c r="N82" s="350">
        <v>21548375.427185252</v>
      </c>
      <c r="O82" s="348">
        <v>113231857.02273111</v>
      </c>
      <c r="P82" s="369"/>
      <c r="Q82" s="350">
        <f t="shared" si="69"/>
        <v>17245230.277668711</v>
      </c>
      <c r="R82" s="350">
        <f t="shared" si="70"/>
        <v>16800910.553885121</v>
      </c>
      <c r="S82" s="350">
        <f t="shared" si="71"/>
        <v>16343711.746443078</v>
      </c>
      <c r="T82" s="350">
        <f t="shared" si="72"/>
        <v>15840473.483768357</v>
      </c>
      <c r="U82" s="350">
        <f t="shared" si="73"/>
        <v>15263426.057799621</v>
      </c>
      <c r="V82" s="350">
        <f t="shared" si="74"/>
        <v>81493752.119564861</v>
      </c>
      <c r="W82" s="365"/>
      <c r="X82" s="377">
        <f t="shared" si="52"/>
        <v>0</v>
      </c>
      <c r="Y82" s="377">
        <f t="shared" si="53"/>
        <v>0</v>
      </c>
      <c r="Z82" s="377">
        <f t="shared" si="54"/>
        <v>0</v>
      </c>
      <c r="AA82" s="377">
        <f t="shared" si="55"/>
        <v>0</v>
      </c>
      <c r="AB82" s="377">
        <f t="shared" si="56"/>
        <v>0</v>
      </c>
      <c r="AC82" s="377">
        <f t="shared" si="57"/>
        <v>0</v>
      </c>
      <c r="AD82" s="376"/>
      <c r="AE82" s="332">
        <v>67</v>
      </c>
      <c r="AF82" s="350">
        <v>386309.19262101466</v>
      </c>
      <c r="AG82" s="350">
        <v>384917.05723641528</v>
      </c>
      <c r="AH82" s="350">
        <v>383411.53106952092</v>
      </c>
      <c r="AI82" s="350">
        <v>381605.33015072061</v>
      </c>
      <c r="AJ82" s="350">
        <v>379332.54127868538</v>
      </c>
      <c r="AK82" s="348">
        <v>1915575.6523563568</v>
      </c>
      <c r="AL82" s="369"/>
      <c r="AM82" s="350">
        <v>12924053.783751959</v>
      </c>
      <c r="AN82" s="350">
        <v>12812982.106173532</v>
      </c>
      <c r="AO82" s="350">
        <v>12690895.887612386</v>
      </c>
      <c r="AP82" s="350">
        <v>12533311.493139561</v>
      </c>
      <c r="AQ82" s="350">
        <v>12319272.078868736</v>
      </c>
      <c r="AR82" s="348">
        <v>63280515.349546164</v>
      </c>
      <c r="AS82" s="369"/>
      <c r="AT82" s="350">
        <f t="shared" si="75"/>
        <v>12537744.591130944</v>
      </c>
      <c r="AU82" s="350">
        <f t="shared" si="58"/>
        <v>12428065.048937118</v>
      </c>
      <c r="AV82" s="350">
        <f t="shared" si="59"/>
        <v>12307484.356542865</v>
      </c>
      <c r="AW82" s="350">
        <f t="shared" si="60"/>
        <v>12151706.162988842</v>
      </c>
      <c r="AX82" s="350">
        <f t="shared" si="61"/>
        <v>11939939.537590051</v>
      </c>
      <c r="AY82" s="350">
        <f t="shared" si="62"/>
        <v>61364939.697189808</v>
      </c>
      <c r="AZ82" s="365"/>
      <c r="BA82" s="377">
        <f t="shared" si="63"/>
        <v>0</v>
      </c>
      <c r="BB82" s="377">
        <f t="shared" si="64"/>
        <v>0</v>
      </c>
      <c r="BC82" s="377">
        <f t="shared" si="65"/>
        <v>0</v>
      </c>
      <c r="BD82" s="377">
        <f t="shared" si="66"/>
        <v>0</v>
      </c>
      <c r="BE82" s="377">
        <f t="shared" si="67"/>
        <v>0</v>
      </c>
      <c r="BF82" s="377">
        <f t="shared" si="68"/>
        <v>0</v>
      </c>
      <c r="BG82" s="328"/>
    </row>
    <row r="83" spans="2:59">
      <c r="B83" s="332">
        <v>68</v>
      </c>
      <c r="C83" s="350">
        <v>8177023.807707062</v>
      </c>
      <c r="D83" s="350">
        <v>8147556.416299196</v>
      </c>
      <c r="E83" s="350">
        <v>8115688.8771751691</v>
      </c>
      <c r="F83" s="350">
        <v>8077456.9422467612</v>
      </c>
      <c r="G83" s="350">
        <v>8029348.7194254734</v>
      </c>
      <c r="H83" s="348">
        <v>40547074.76285366</v>
      </c>
      <c r="I83" s="369"/>
      <c r="J83" s="350">
        <v>25387309.069870189</v>
      </c>
      <c r="K83" s="350">
        <v>24824949.706494994</v>
      </c>
      <c r="L83" s="350">
        <v>24247982.070927359</v>
      </c>
      <c r="M83" s="350">
        <v>23619427.525199689</v>
      </c>
      <c r="N83" s="350">
        <v>22908313.03388511</v>
      </c>
      <c r="O83" s="348">
        <v>120987981.40637733</v>
      </c>
      <c r="P83" s="369"/>
      <c r="Q83" s="350">
        <f t="shared" si="69"/>
        <v>17210285.262163125</v>
      </c>
      <c r="R83" s="350">
        <f t="shared" si="70"/>
        <v>16677393.290195799</v>
      </c>
      <c r="S83" s="350">
        <f t="shared" si="71"/>
        <v>16132293.19375219</v>
      </c>
      <c r="T83" s="350">
        <f t="shared" si="72"/>
        <v>15541970.582952928</v>
      </c>
      <c r="U83" s="350">
        <f t="shared" si="73"/>
        <v>14878964.314459637</v>
      </c>
      <c r="V83" s="350">
        <f t="shared" si="74"/>
        <v>80440906.643523663</v>
      </c>
      <c r="W83" s="365"/>
      <c r="X83" s="377">
        <f t="shared" si="52"/>
        <v>0</v>
      </c>
      <c r="Y83" s="377">
        <f t="shared" si="53"/>
        <v>0</v>
      </c>
      <c r="Z83" s="377">
        <f t="shared" si="54"/>
        <v>0</v>
      </c>
      <c r="AA83" s="377">
        <f t="shared" si="55"/>
        <v>0</v>
      </c>
      <c r="AB83" s="377">
        <f t="shared" si="56"/>
        <v>0</v>
      </c>
      <c r="AC83" s="377">
        <f t="shared" si="57"/>
        <v>0</v>
      </c>
      <c r="AD83" s="376"/>
      <c r="AE83" s="332">
        <v>68</v>
      </c>
      <c r="AF83" s="350">
        <v>406970.63507205254</v>
      </c>
      <c r="AG83" s="350">
        <v>405504.04242450843</v>
      </c>
      <c r="AH83" s="350">
        <v>403917.99437811959</v>
      </c>
      <c r="AI83" s="350">
        <v>402015.190227888</v>
      </c>
      <c r="AJ83" s="350">
        <v>399620.84303578205</v>
      </c>
      <c r="AK83" s="348">
        <v>2018028.7051383506</v>
      </c>
      <c r="AL83" s="369"/>
      <c r="AM83" s="350">
        <v>14158449.914004577</v>
      </c>
      <c r="AN83" s="350">
        <v>14037522.879970113</v>
      </c>
      <c r="AO83" s="350">
        <v>13904513.907516541</v>
      </c>
      <c r="AP83" s="350">
        <v>13732576.564366652</v>
      </c>
      <c r="AQ83" s="350">
        <v>13498730.076904425</v>
      </c>
      <c r="AR83" s="348">
        <v>69331793.342762306</v>
      </c>
      <c r="AS83" s="369"/>
      <c r="AT83" s="350">
        <f t="shared" si="75"/>
        <v>13751479.278932525</v>
      </c>
      <c r="AU83" s="350">
        <f t="shared" si="58"/>
        <v>13632018.837545604</v>
      </c>
      <c r="AV83" s="350">
        <f t="shared" si="59"/>
        <v>13500595.913138421</v>
      </c>
      <c r="AW83" s="350">
        <f t="shared" si="60"/>
        <v>13330561.374138763</v>
      </c>
      <c r="AX83" s="350">
        <f t="shared" si="61"/>
        <v>13099109.233868644</v>
      </c>
      <c r="AY83" s="350">
        <f t="shared" si="62"/>
        <v>67313764.637623951</v>
      </c>
      <c r="AZ83" s="365"/>
      <c r="BA83" s="377">
        <f t="shared" si="63"/>
        <v>0</v>
      </c>
      <c r="BB83" s="377">
        <f t="shared" si="64"/>
        <v>0</v>
      </c>
      <c r="BC83" s="377">
        <f t="shared" si="65"/>
        <v>0</v>
      </c>
      <c r="BD83" s="377">
        <f t="shared" si="66"/>
        <v>0</v>
      </c>
      <c r="BE83" s="377">
        <f t="shared" si="67"/>
        <v>0</v>
      </c>
      <c r="BF83" s="377">
        <f t="shared" si="68"/>
        <v>0</v>
      </c>
      <c r="BG83" s="328"/>
    </row>
    <row r="84" spans="2:59">
      <c r="B84" s="332">
        <v>69</v>
      </c>
      <c r="C84" s="350">
        <v>4880361.9217474982</v>
      </c>
      <c r="D84" s="350">
        <v>4862774.650590891</v>
      </c>
      <c r="E84" s="350">
        <v>4843754.8790776767</v>
      </c>
      <c r="F84" s="350">
        <v>4820936.5916656386</v>
      </c>
      <c r="G84" s="350">
        <v>4792223.7562500611</v>
      </c>
      <c r="H84" s="348">
        <v>24200051.799331766</v>
      </c>
      <c r="I84" s="369"/>
      <c r="J84" s="350">
        <v>17033671.369612098</v>
      </c>
      <c r="K84" s="350">
        <v>16684472.683619656</v>
      </c>
      <c r="L84" s="350">
        <v>16324898.382762309</v>
      </c>
      <c r="M84" s="350">
        <v>15929229.468671916</v>
      </c>
      <c r="N84" s="350">
        <v>15475851.757530771</v>
      </c>
      <c r="O84" s="348">
        <v>81448123.662196755</v>
      </c>
      <c r="P84" s="369"/>
      <c r="Q84" s="350">
        <f t="shared" si="69"/>
        <v>12153309.4478646</v>
      </c>
      <c r="R84" s="350">
        <f t="shared" si="70"/>
        <v>11821698.033028765</v>
      </c>
      <c r="S84" s="350">
        <f t="shared" si="71"/>
        <v>11481143.503684632</v>
      </c>
      <c r="T84" s="350">
        <f t="shared" si="72"/>
        <v>11108292.877006277</v>
      </c>
      <c r="U84" s="350">
        <f t="shared" si="73"/>
        <v>10683628.00128071</v>
      </c>
      <c r="V84" s="350">
        <f t="shared" si="74"/>
        <v>57248071.862864986</v>
      </c>
      <c r="W84" s="365"/>
      <c r="X84" s="377">
        <f t="shared" si="52"/>
        <v>0</v>
      </c>
      <c r="Y84" s="377">
        <f t="shared" si="53"/>
        <v>0</v>
      </c>
      <c r="Z84" s="377">
        <f t="shared" si="54"/>
        <v>0</v>
      </c>
      <c r="AA84" s="377">
        <f t="shared" si="55"/>
        <v>0</v>
      </c>
      <c r="AB84" s="377">
        <f t="shared" si="56"/>
        <v>0</v>
      </c>
      <c r="AC84" s="377">
        <f t="shared" si="57"/>
        <v>0</v>
      </c>
      <c r="AD84" s="376"/>
      <c r="AE84" s="332">
        <v>69</v>
      </c>
      <c r="AF84" s="350">
        <v>575885.00223307847</v>
      </c>
      <c r="AG84" s="350">
        <v>573809.69596446678</v>
      </c>
      <c r="AH84" s="350">
        <v>571565.35398000234</v>
      </c>
      <c r="AI84" s="350">
        <v>568872.78533285356</v>
      </c>
      <c r="AJ84" s="350">
        <v>565484.65724879992</v>
      </c>
      <c r="AK84" s="348">
        <v>2855617.4947592011</v>
      </c>
      <c r="AL84" s="369"/>
      <c r="AM84" s="350">
        <v>16560447.518971246</v>
      </c>
      <c r="AN84" s="350">
        <v>16414371.410368327</v>
      </c>
      <c r="AO84" s="350">
        <v>16254258.267931283</v>
      </c>
      <c r="AP84" s="350">
        <v>16048856.781738561</v>
      </c>
      <c r="AQ84" s="350">
        <v>15771424.697962129</v>
      </c>
      <c r="AR84" s="348">
        <v>81049358.676971555</v>
      </c>
      <c r="AS84" s="369"/>
      <c r="AT84" s="350">
        <f t="shared" si="75"/>
        <v>15984562.516738167</v>
      </c>
      <c r="AU84" s="350">
        <f t="shared" si="58"/>
        <v>15840561.71440386</v>
      </c>
      <c r="AV84" s="350">
        <f t="shared" si="59"/>
        <v>15682692.91395128</v>
      </c>
      <c r="AW84" s="350">
        <f t="shared" si="60"/>
        <v>15479983.996405708</v>
      </c>
      <c r="AX84" s="350">
        <f t="shared" si="61"/>
        <v>15205940.040713329</v>
      </c>
      <c r="AY84" s="350">
        <f t="shared" si="62"/>
        <v>78193741.182212353</v>
      </c>
      <c r="AZ84" s="365"/>
      <c r="BA84" s="377">
        <f t="shared" si="63"/>
        <v>0</v>
      </c>
      <c r="BB84" s="377">
        <f t="shared" si="64"/>
        <v>0</v>
      </c>
      <c r="BC84" s="377">
        <f t="shared" si="65"/>
        <v>0</v>
      </c>
      <c r="BD84" s="377">
        <f t="shared" si="66"/>
        <v>0</v>
      </c>
      <c r="BE84" s="377">
        <f t="shared" si="67"/>
        <v>0</v>
      </c>
      <c r="BF84" s="377">
        <f t="shared" si="68"/>
        <v>0</v>
      </c>
      <c r="BG84" s="328"/>
    </row>
    <row r="85" spans="2:59">
      <c r="B85" s="332">
        <v>70</v>
      </c>
      <c r="C85" s="350">
        <v>5250262.6360718841</v>
      </c>
      <c r="D85" s="350">
        <v>5231342.3604643457</v>
      </c>
      <c r="E85" s="350">
        <v>5210881.0099900141</v>
      </c>
      <c r="F85" s="350">
        <v>5186333.2400214151</v>
      </c>
      <c r="G85" s="350">
        <v>5155444.152413724</v>
      </c>
      <c r="H85" s="348">
        <v>26034263.39896138</v>
      </c>
      <c r="I85" s="369"/>
      <c r="J85" s="350">
        <v>18854014.484222509</v>
      </c>
      <c r="K85" s="350">
        <v>18474533.892468564</v>
      </c>
      <c r="L85" s="350">
        <v>18083425.195490651</v>
      </c>
      <c r="M85" s="350">
        <v>17651993.634990335</v>
      </c>
      <c r="N85" s="350">
        <v>17156106.791148275</v>
      </c>
      <c r="O85" s="348">
        <v>90220073.998320341</v>
      </c>
      <c r="P85" s="369"/>
      <c r="Q85" s="350">
        <f t="shared" si="69"/>
        <v>13603751.848150626</v>
      </c>
      <c r="R85" s="350">
        <f t="shared" si="70"/>
        <v>13243191.532004219</v>
      </c>
      <c r="S85" s="350">
        <f t="shared" si="71"/>
        <v>12872544.185500637</v>
      </c>
      <c r="T85" s="350">
        <f t="shared" si="72"/>
        <v>12465660.394968919</v>
      </c>
      <c r="U85" s="350">
        <f t="shared" si="73"/>
        <v>12000662.638734551</v>
      </c>
      <c r="V85" s="350">
        <f t="shared" si="74"/>
        <v>64185810.599358961</v>
      </c>
      <c r="W85" s="365"/>
      <c r="X85" s="377">
        <f t="shared" si="52"/>
        <v>0</v>
      </c>
      <c r="Y85" s="377">
        <f t="shared" si="53"/>
        <v>0</v>
      </c>
      <c r="Z85" s="377">
        <f t="shared" si="54"/>
        <v>0</v>
      </c>
      <c r="AA85" s="377">
        <f t="shared" si="55"/>
        <v>0</v>
      </c>
      <c r="AB85" s="377">
        <f t="shared" si="56"/>
        <v>0</v>
      </c>
      <c r="AC85" s="377">
        <f t="shared" si="57"/>
        <v>0</v>
      </c>
      <c r="AD85" s="376"/>
      <c r="AE85" s="332">
        <v>70</v>
      </c>
      <c r="AF85" s="350">
        <v>287290.61757104599</v>
      </c>
      <c r="AG85" s="350">
        <v>286255.31361757149</v>
      </c>
      <c r="AH85" s="350">
        <v>285135.68314923631</v>
      </c>
      <c r="AI85" s="350">
        <v>283792.44672791561</v>
      </c>
      <c r="AJ85" s="350">
        <v>282102.21793934994</v>
      </c>
      <c r="AK85" s="348">
        <v>1424576.2790051196</v>
      </c>
      <c r="AL85" s="369"/>
      <c r="AM85" s="350">
        <v>9991500.7203591093</v>
      </c>
      <c r="AN85" s="350">
        <v>9906159.1159718782</v>
      </c>
      <c r="AO85" s="350">
        <v>9812291.4776390977</v>
      </c>
      <c r="AP85" s="350">
        <v>9690952.6427530441</v>
      </c>
      <c r="AQ85" s="350">
        <v>9525925.4001866505</v>
      </c>
      <c r="AR85" s="348">
        <v>48926829.356909782</v>
      </c>
      <c r="AS85" s="369"/>
      <c r="AT85" s="350">
        <f t="shared" si="75"/>
        <v>9704210.1027880628</v>
      </c>
      <c r="AU85" s="350">
        <f t="shared" si="58"/>
        <v>9619903.802354306</v>
      </c>
      <c r="AV85" s="350">
        <f t="shared" si="59"/>
        <v>9527155.7944898605</v>
      </c>
      <c r="AW85" s="350">
        <f t="shared" si="60"/>
        <v>9407160.1960251294</v>
      </c>
      <c r="AX85" s="350">
        <f t="shared" si="61"/>
        <v>9243823.1822472997</v>
      </c>
      <c r="AY85" s="350">
        <f t="shared" si="62"/>
        <v>47502253.077904664</v>
      </c>
      <c r="AZ85" s="365"/>
      <c r="BA85" s="377">
        <f t="shared" si="63"/>
        <v>0</v>
      </c>
      <c r="BB85" s="377">
        <f t="shared" si="64"/>
        <v>0</v>
      </c>
      <c r="BC85" s="377">
        <f t="shared" si="65"/>
        <v>0</v>
      </c>
      <c r="BD85" s="377">
        <f t="shared" si="66"/>
        <v>0</v>
      </c>
      <c r="BE85" s="377">
        <f t="shared" si="67"/>
        <v>0</v>
      </c>
      <c r="BF85" s="377">
        <f t="shared" si="68"/>
        <v>0</v>
      </c>
      <c r="BG85" s="328"/>
    </row>
    <row r="86" spans="2:59">
      <c r="B86" s="332">
        <v>71</v>
      </c>
      <c r="C86" s="350">
        <v>3298950.0825466029</v>
      </c>
      <c r="D86" s="350">
        <v>3287061.7163630789</v>
      </c>
      <c r="E86" s="350">
        <v>3274205.0311807906</v>
      </c>
      <c r="F86" s="350">
        <v>3258780.6851284886</v>
      </c>
      <c r="G86" s="350">
        <v>3239371.8354810318</v>
      </c>
      <c r="H86" s="348">
        <v>16358369.350699995</v>
      </c>
      <c r="I86" s="369"/>
      <c r="J86" s="350">
        <v>10656874.555572625</v>
      </c>
      <c r="K86" s="350">
        <v>10427007.449082218</v>
      </c>
      <c r="L86" s="350">
        <v>10190881.691493686</v>
      </c>
      <c r="M86" s="350">
        <v>9932774.6046594586</v>
      </c>
      <c r="N86" s="350">
        <v>9639501.0935509484</v>
      </c>
      <c r="O86" s="348">
        <v>50847039.39435894</v>
      </c>
      <c r="P86" s="369"/>
      <c r="Q86" s="350">
        <f t="shared" si="69"/>
        <v>7357924.4730260223</v>
      </c>
      <c r="R86" s="350">
        <f t="shared" si="70"/>
        <v>7139945.7327191392</v>
      </c>
      <c r="S86" s="350">
        <f t="shared" si="71"/>
        <v>6916676.6603128957</v>
      </c>
      <c r="T86" s="350">
        <f t="shared" si="72"/>
        <v>6673993.91953097</v>
      </c>
      <c r="U86" s="350">
        <f t="shared" si="73"/>
        <v>6400129.2580699166</v>
      </c>
      <c r="V86" s="350">
        <f t="shared" si="74"/>
        <v>34488670.043658942</v>
      </c>
      <c r="W86" s="365"/>
      <c r="X86" s="377">
        <f t="shared" si="52"/>
        <v>0</v>
      </c>
      <c r="Y86" s="377">
        <f t="shared" si="53"/>
        <v>0</v>
      </c>
      <c r="Z86" s="377">
        <f t="shared" si="54"/>
        <v>0</v>
      </c>
      <c r="AA86" s="377">
        <f t="shared" si="55"/>
        <v>0</v>
      </c>
      <c r="AB86" s="377">
        <f t="shared" si="56"/>
        <v>0</v>
      </c>
      <c r="AC86" s="377">
        <f t="shared" si="57"/>
        <v>0</v>
      </c>
      <c r="AD86" s="376"/>
      <c r="AE86" s="332">
        <v>71</v>
      </c>
      <c r="AF86" s="350">
        <v>461660.25172506919</v>
      </c>
      <c r="AG86" s="350">
        <v>459996.57510446128</v>
      </c>
      <c r="AH86" s="350">
        <v>458197.39040354476</v>
      </c>
      <c r="AI86" s="350">
        <v>456038.88321094628</v>
      </c>
      <c r="AJ86" s="350">
        <v>453322.77833220194</v>
      </c>
      <c r="AK86" s="348">
        <v>2289215.8787762234</v>
      </c>
      <c r="AL86" s="369"/>
      <c r="AM86" s="350">
        <v>15193694.72560391</v>
      </c>
      <c r="AN86" s="350">
        <v>15062768.909055682</v>
      </c>
      <c r="AO86" s="350">
        <v>14918901.362160981</v>
      </c>
      <c r="AP86" s="350">
        <v>14733320.041279294</v>
      </c>
      <c r="AQ86" s="350">
        <v>14481398.113013687</v>
      </c>
      <c r="AR86" s="348">
        <v>74390083.151113555</v>
      </c>
      <c r="AS86" s="369"/>
      <c r="AT86" s="350">
        <f t="shared" si="75"/>
        <v>14732034.473878842</v>
      </c>
      <c r="AU86" s="350">
        <f t="shared" si="58"/>
        <v>14602772.33395122</v>
      </c>
      <c r="AV86" s="350">
        <f t="shared" si="59"/>
        <v>14460703.971757436</v>
      </c>
      <c r="AW86" s="350">
        <f t="shared" si="60"/>
        <v>14277281.158068348</v>
      </c>
      <c r="AX86" s="350">
        <f t="shared" si="61"/>
        <v>14028075.334681485</v>
      </c>
      <c r="AY86" s="350">
        <f t="shared" si="62"/>
        <v>72100867.272337332</v>
      </c>
      <c r="AZ86" s="365"/>
      <c r="BA86" s="377">
        <f t="shared" si="63"/>
        <v>0</v>
      </c>
      <c r="BB86" s="377">
        <f t="shared" si="64"/>
        <v>0</v>
      </c>
      <c r="BC86" s="377">
        <f t="shared" si="65"/>
        <v>0</v>
      </c>
      <c r="BD86" s="377">
        <f t="shared" si="66"/>
        <v>0</v>
      </c>
      <c r="BE86" s="377">
        <f t="shared" si="67"/>
        <v>0</v>
      </c>
      <c r="BF86" s="377">
        <f t="shared" si="68"/>
        <v>0</v>
      </c>
      <c r="BG86" s="328"/>
    </row>
    <row r="87" spans="2:59">
      <c r="B87" s="332">
        <v>72</v>
      </c>
      <c r="C87" s="350">
        <v>4955483.2907947991</v>
      </c>
      <c r="D87" s="350">
        <v>4937625.3061320465</v>
      </c>
      <c r="E87" s="350">
        <v>4918312.7712340783</v>
      </c>
      <c r="F87" s="350">
        <v>4895143.2514714105</v>
      </c>
      <c r="G87" s="350">
        <v>4865988.4513941463</v>
      </c>
      <c r="H87" s="348">
        <v>24572553.071026482</v>
      </c>
      <c r="I87" s="369"/>
      <c r="J87" s="350">
        <v>18492605.470526308</v>
      </c>
      <c r="K87" s="350">
        <v>18129406.361220241</v>
      </c>
      <c r="L87" s="350">
        <v>17754618.114324987</v>
      </c>
      <c r="M87" s="350">
        <v>17339805.111976616</v>
      </c>
      <c r="N87" s="350">
        <v>16861030.75559742</v>
      </c>
      <c r="O87" s="348">
        <v>88577465.813645571</v>
      </c>
      <c r="P87" s="369"/>
      <c r="Q87" s="350">
        <f t="shared" si="69"/>
        <v>13537122.179731509</v>
      </c>
      <c r="R87" s="350">
        <f t="shared" si="70"/>
        <v>13191781.055088194</v>
      </c>
      <c r="S87" s="350">
        <f t="shared" si="71"/>
        <v>12836305.343090909</v>
      </c>
      <c r="T87" s="350">
        <f t="shared" si="72"/>
        <v>12444661.860505205</v>
      </c>
      <c r="U87" s="350">
        <f t="shared" si="73"/>
        <v>11995042.304203274</v>
      </c>
      <c r="V87" s="350">
        <f t="shared" si="74"/>
        <v>64004912.74261909</v>
      </c>
      <c r="W87" s="365"/>
      <c r="X87" s="377">
        <f t="shared" si="52"/>
        <v>0</v>
      </c>
      <c r="Y87" s="377">
        <f t="shared" si="53"/>
        <v>0</v>
      </c>
      <c r="Z87" s="377">
        <f t="shared" si="54"/>
        <v>0</v>
      </c>
      <c r="AA87" s="377">
        <f t="shared" si="55"/>
        <v>0</v>
      </c>
      <c r="AB87" s="377">
        <f t="shared" si="56"/>
        <v>0</v>
      </c>
      <c r="AC87" s="377">
        <f t="shared" si="57"/>
        <v>0</v>
      </c>
      <c r="AD87" s="376"/>
      <c r="AE87" s="332">
        <v>72</v>
      </c>
      <c r="AF87" s="350">
        <v>536724.18504233297</v>
      </c>
      <c r="AG87" s="350">
        <v>534790.00189567206</v>
      </c>
      <c r="AH87" s="350">
        <v>532698.2776488224</v>
      </c>
      <c r="AI87" s="350">
        <v>530188.80664817546</v>
      </c>
      <c r="AJ87" s="350">
        <v>527031.07502175495</v>
      </c>
      <c r="AK87" s="348">
        <v>2661432.3462567581</v>
      </c>
      <c r="AL87" s="369"/>
      <c r="AM87" s="350">
        <v>20565667.269563548</v>
      </c>
      <c r="AN87" s="350">
        <v>20392541.004114419</v>
      </c>
      <c r="AO87" s="350">
        <v>20201813.726297989</v>
      </c>
      <c r="AP87" s="350">
        <v>19954408.471185789</v>
      </c>
      <c r="AQ87" s="350">
        <v>19616870.049682792</v>
      </c>
      <c r="AR87" s="348">
        <v>100731300.52084455</v>
      </c>
      <c r="AS87" s="369"/>
      <c r="AT87" s="350">
        <f t="shared" si="75"/>
        <v>20028943.084521215</v>
      </c>
      <c r="AU87" s="350">
        <f t="shared" si="58"/>
        <v>19857751.002218746</v>
      </c>
      <c r="AV87" s="350">
        <f t="shared" si="59"/>
        <v>19669115.448649168</v>
      </c>
      <c r="AW87" s="350">
        <f t="shared" si="60"/>
        <v>19424219.664537612</v>
      </c>
      <c r="AX87" s="350">
        <f t="shared" si="61"/>
        <v>19089838.974661037</v>
      </c>
      <c r="AY87" s="350">
        <f t="shared" si="62"/>
        <v>98069868.174587786</v>
      </c>
      <c r="AZ87" s="365"/>
      <c r="BA87" s="377">
        <f t="shared" si="63"/>
        <v>0</v>
      </c>
      <c r="BB87" s="377">
        <f t="shared" si="64"/>
        <v>0</v>
      </c>
      <c r="BC87" s="377">
        <f t="shared" si="65"/>
        <v>0</v>
      </c>
      <c r="BD87" s="377">
        <f t="shared" si="66"/>
        <v>0</v>
      </c>
      <c r="BE87" s="377">
        <f t="shared" si="67"/>
        <v>0</v>
      </c>
      <c r="BF87" s="377">
        <f t="shared" si="68"/>
        <v>0</v>
      </c>
      <c r="BG87" s="328"/>
    </row>
    <row r="88" spans="2:59">
      <c r="B88" s="332">
        <v>73</v>
      </c>
      <c r="C88" s="350">
        <v>9305037.8316149153</v>
      </c>
      <c r="D88" s="350">
        <v>9271505.4366632495</v>
      </c>
      <c r="E88" s="350">
        <v>9235241.7954995725</v>
      </c>
      <c r="F88" s="350">
        <v>9191735.7951196581</v>
      </c>
      <c r="G88" s="350">
        <v>9136991.0806745403</v>
      </c>
      <c r="H88" s="348">
        <v>46140511.939571932</v>
      </c>
      <c r="I88" s="369"/>
      <c r="J88" s="350">
        <v>30386814.303949043</v>
      </c>
      <c r="K88" s="350">
        <v>29736085.991450153</v>
      </c>
      <c r="L88" s="350">
        <v>29067415.688989654</v>
      </c>
      <c r="M88" s="350">
        <v>28335819.911671802</v>
      </c>
      <c r="N88" s="350">
        <v>27503563.413951814</v>
      </c>
      <c r="O88" s="348">
        <v>145029699.31001246</v>
      </c>
      <c r="P88" s="369"/>
      <c r="Q88" s="350">
        <f t="shared" si="69"/>
        <v>21081776.472334128</v>
      </c>
      <c r="R88" s="350">
        <f t="shared" si="70"/>
        <v>20464580.554786906</v>
      </c>
      <c r="S88" s="350">
        <f t="shared" si="71"/>
        <v>19832173.893490084</v>
      </c>
      <c r="T88" s="350">
        <f t="shared" si="72"/>
        <v>19144084.116552144</v>
      </c>
      <c r="U88" s="350">
        <f t="shared" si="73"/>
        <v>18366572.333277274</v>
      </c>
      <c r="V88" s="350">
        <f t="shared" si="74"/>
        <v>98889187.370440528</v>
      </c>
      <c r="W88" s="365"/>
      <c r="X88" s="377">
        <f t="shared" si="52"/>
        <v>0</v>
      </c>
      <c r="Y88" s="377">
        <f t="shared" si="53"/>
        <v>0</v>
      </c>
      <c r="Z88" s="377">
        <f t="shared" si="54"/>
        <v>0</v>
      </c>
      <c r="AA88" s="377">
        <f t="shared" si="55"/>
        <v>0</v>
      </c>
      <c r="AB88" s="377">
        <f t="shared" si="56"/>
        <v>0</v>
      </c>
      <c r="AC88" s="377">
        <f t="shared" si="57"/>
        <v>0</v>
      </c>
      <c r="AD88" s="376"/>
      <c r="AE88" s="332">
        <v>73</v>
      </c>
      <c r="AF88" s="350">
        <v>414574.45145547646</v>
      </c>
      <c r="AG88" s="350">
        <v>413080.45707365422</v>
      </c>
      <c r="AH88" s="350">
        <v>411464.7753950553</v>
      </c>
      <c r="AI88" s="350">
        <v>409526.41935944167</v>
      </c>
      <c r="AJ88" s="350">
        <v>407087.33631949319</v>
      </c>
      <c r="AK88" s="348">
        <v>2055733.4396031208</v>
      </c>
      <c r="AL88" s="369"/>
      <c r="AM88" s="350">
        <v>12047371.648120601</v>
      </c>
      <c r="AN88" s="350">
        <v>11941307.133410838</v>
      </c>
      <c r="AO88" s="350">
        <v>11825026.836773962</v>
      </c>
      <c r="AP88" s="350">
        <v>11675789.550583439</v>
      </c>
      <c r="AQ88" s="350">
        <v>11474134.852385104</v>
      </c>
      <c r="AR88" s="348">
        <v>58963630.021273941</v>
      </c>
      <c r="AS88" s="369"/>
      <c r="AT88" s="350">
        <f t="shared" si="75"/>
        <v>11632797.196665125</v>
      </c>
      <c r="AU88" s="350">
        <f t="shared" si="58"/>
        <v>11528226.676337183</v>
      </c>
      <c r="AV88" s="350">
        <f t="shared" si="59"/>
        <v>11413562.061378907</v>
      </c>
      <c r="AW88" s="350">
        <f t="shared" si="60"/>
        <v>11266263.131223997</v>
      </c>
      <c r="AX88" s="350">
        <f t="shared" si="61"/>
        <v>11067047.516065611</v>
      </c>
      <c r="AY88" s="350">
        <f t="shared" si="62"/>
        <v>56907896.581670821</v>
      </c>
      <c r="AZ88" s="365"/>
      <c r="BA88" s="377">
        <f t="shared" si="63"/>
        <v>0</v>
      </c>
      <c r="BB88" s="377">
        <f t="shared" si="64"/>
        <v>0</v>
      </c>
      <c r="BC88" s="377">
        <f t="shared" si="65"/>
        <v>0</v>
      </c>
      <c r="BD88" s="377">
        <f t="shared" si="66"/>
        <v>0</v>
      </c>
      <c r="BE88" s="377">
        <f t="shared" si="67"/>
        <v>0</v>
      </c>
      <c r="BF88" s="377">
        <f t="shared" si="68"/>
        <v>0</v>
      </c>
      <c r="BG88" s="328"/>
    </row>
    <row r="89" spans="2:59">
      <c r="B89" s="332">
        <v>74</v>
      </c>
      <c r="C89" s="350">
        <v>5190755.1428298289</v>
      </c>
      <c r="D89" s="350">
        <v>5172049.3132892586</v>
      </c>
      <c r="E89" s="350">
        <v>5151819.8757228097</v>
      </c>
      <c r="F89" s="350">
        <v>5127550.3349318299</v>
      </c>
      <c r="G89" s="350">
        <v>5097011.3502236474</v>
      </c>
      <c r="H89" s="348">
        <v>25739186.016997375</v>
      </c>
      <c r="I89" s="369"/>
      <c r="J89" s="350">
        <v>19141215.805755604</v>
      </c>
      <c r="K89" s="350">
        <v>18762426.178278841</v>
      </c>
      <c r="L89" s="350">
        <v>18371699.166376445</v>
      </c>
      <c r="M89" s="350">
        <v>17939693.898848906</v>
      </c>
      <c r="N89" s="350">
        <v>17441718.681416657</v>
      </c>
      <c r="O89" s="348">
        <v>91656753.730676457</v>
      </c>
      <c r="P89" s="369"/>
      <c r="Q89" s="350">
        <f t="shared" si="69"/>
        <v>13950460.662925776</v>
      </c>
      <c r="R89" s="350">
        <f t="shared" si="70"/>
        <v>13590376.864989582</v>
      </c>
      <c r="S89" s="350">
        <f t="shared" si="71"/>
        <v>13219879.290653635</v>
      </c>
      <c r="T89" s="350">
        <f t="shared" si="72"/>
        <v>12812143.563917076</v>
      </c>
      <c r="U89" s="350">
        <f t="shared" si="73"/>
        <v>12344707.331193009</v>
      </c>
      <c r="V89" s="350">
        <f t="shared" si="74"/>
        <v>65917567.713679083</v>
      </c>
      <c r="W89" s="365"/>
      <c r="X89" s="377">
        <f t="shared" si="52"/>
        <v>0</v>
      </c>
      <c r="Y89" s="377">
        <f t="shared" si="53"/>
        <v>0</v>
      </c>
      <c r="Z89" s="377">
        <f t="shared" si="54"/>
        <v>0</v>
      </c>
      <c r="AA89" s="377">
        <f t="shared" si="55"/>
        <v>0</v>
      </c>
      <c r="AB89" s="377">
        <f t="shared" si="56"/>
        <v>0</v>
      </c>
      <c r="AC89" s="377">
        <f t="shared" si="57"/>
        <v>0</v>
      </c>
      <c r="AD89" s="376"/>
      <c r="AE89" s="332">
        <v>74</v>
      </c>
      <c r="AF89" s="350">
        <v>471911.95882342855</v>
      </c>
      <c r="AG89" s="350">
        <v>470211.3383131157</v>
      </c>
      <c r="AH89" s="350">
        <v>468372.20060671371</v>
      </c>
      <c r="AI89" s="350">
        <v>466165.76123146457</v>
      </c>
      <c r="AJ89" s="350">
        <v>463389.34205977147</v>
      </c>
      <c r="AK89" s="348">
        <v>2340050.6010344941</v>
      </c>
      <c r="AL89" s="369"/>
      <c r="AM89" s="350">
        <v>14231794.588202124</v>
      </c>
      <c r="AN89" s="350">
        <v>14107325.89411616</v>
      </c>
      <c r="AO89" s="350">
        <v>13970772.202860495</v>
      </c>
      <c r="AP89" s="350">
        <v>13795242.161771767</v>
      </c>
      <c r="AQ89" s="350">
        <v>13557722.290561942</v>
      </c>
      <c r="AR89" s="348">
        <v>69662857.13751249</v>
      </c>
      <c r="AS89" s="369"/>
      <c r="AT89" s="350">
        <f t="shared" si="75"/>
        <v>13759882.629378695</v>
      </c>
      <c r="AU89" s="350">
        <f t="shared" si="58"/>
        <v>13637114.555803044</v>
      </c>
      <c r="AV89" s="350">
        <f t="shared" si="59"/>
        <v>13502400.002253782</v>
      </c>
      <c r="AW89" s="350">
        <f t="shared" si="60"/>
        <v>13329076.400540302</v>
      </c>
      <c r="AX89" s="350">
        <f t="shared" si="61"/>
        <v>13094332.948502172</v>
      </c>
      <c r="AY89" s="350">
        <f t="shared" si="62"/>
        <v>67322806.536477998</v>
      </c>
      <c r="AZ89" s="365"/>
      <c r="BA89" s="377">
        <f t="shared" si="63"/>
        <v>0</v>
      </c>
      <c r="BB89" s="377">
        <f t="shared" si="64"/>
        <v>0</v>
      </c>
      <c r="BC89" s="377">
        <f t="shared" si="65"/>
        <v>0</v>
      </c>
      <c r="BD89" s="377">
        <f t="shared" si="66"/>
        <v>0</v>
      </c>
      <c r="BE89" s="377">
        <f t="shared" si="67"/>
        <v>0</v>
      </c>
      <c r="BF89" s="377">
        <f t="shared" si="68"/>
        <v>0</v>
      </c>
      <c r="BG89" s="328"/>
    </row>
    <row r="90" spans="2:59">
      <c r="B90" s="332">
        <v>75</v>
      </c>
      <c r="C90" s="350">
        <v>5486260.4231226556</v>
      </c>
      <c r="D90" s="350">
        <v>5466489.6865985338</v>
      </c>
      <c r="E90" s="350">
        <v>5445108.6043380573</v>
      </c>
      <c r="F90" s="350">
        <v>5419457.419208888</v>
      </c>
      <c r="G90" s="350">
        <v>5387179.8760467358</v>
      </c>
      <c r="H90" s="348">
        <v>27204496.009314869</v>
      </c>
      <c r="I90" s="369"/>
      <c r="J90" s="350">
        <v>16441981.787787126</v>
      </c>
      <c r="K90" s="350">
        <v>16068936.163980512</v>
      </c>
      <c r="L90" s="350">
        <v>15686609.986793986</v>
      </c>
      <c r="M90" s="350">
        <v>15271339.571673075</v>
      </c>
      <c r="N90" s="350">
        <v>14803327.060370447</v>
      </c>
      <c r="O90" s="348">
        <v>78272194.570605144</v>
      </c>
      <c r="P90" s="369"/>
      <c r="Q90" s="350">
        <f t="shared" si="69"/>
        <v>10955721.364664471</v>
      </c>
      <c r="R90" s="350">
        <f t="shared" si="70"/>
        <v>10602446.477381978</v>
      </c>
      <c r="S90" s="350">
        <f t="shared" si="71"/>
        <v>10241501.382455928</v>
      </c>
      <c r="T90" s="350">
        <f t="shared" si="72"/>
        <v>9851882.1524641868</v>
      </c>
      <c r="U90" s="350">
        <f t="shared" si="73"/>
        <v>9416147.1843237113</v>
      </c>
      <c r="V90" s="350">
        <f t="shared" si="74"/>
        <v>51067698.561290279</v>
      </c>
      <c r="W90" s="365"/>
      <c r="X90" s="377">
        <f t="shared" si="52"/>
        <v>0</v>
      </c>
      <c r="Y90" s="377">
        <f t="shared" si="53"/>
        <v>0</v>
      </c>
      <c r="Z90" s="377">
        <f t="shared" si="54"/>
        <v>0</v>
      </c>
      <c r="AA90" s="377">
        <f t="shared" si="55"/>
        <v>0</v>
      </c>
      <c r="AB90" s="377">
        <f t="shared" si="56"/>
        <v>0</v>
      </c>
      <c r="AC90" s="377">
        <f t="shared" si="57"/>
        <v>0</v>
      </c>
      <c r="AD90" s="376"/>
      <c r="AE90" s="332">
        <v>75</v>
      </c>
      <c r="AF90" s="350">
        <v>285859.03917971795</v>
      </c>
      <c r="AG90" s="350">
        <v>284828.89417915605</v>
      </c>
      <c r="AH90" s="350">
        <v>283714.84286547016</v>
      </c>
      <c r="AI90" s="350">
        <v>282378.2998344574</v>
      </c>
      <c r="AJ90" s="350">
        <v>280696.49351033068</v>
      </c>
      <c r="AK90" s="348">
        <v>1417477.5695691323</v>
      </c>
      <c r="AL90" s="369"/>
      <c r="AM90" s="350">
        <v>6752037.4786045905</v>
      </c>
      <c r="AN90" s="350">
        <v>6690110.2832668433</v>
      </c>
      <c r="AO90" s="350">
        <v>6622508.272344253</v>
      </c>
      <c r="AP90" s="350">
        <v>6536566.1479162984</v>
      </c>
      <c r="AQ90" s="350">
        <v>6421450.6999584176</v>
      </c>
      <c r="AR90" s="348">
        <v>33022672.882090405</v>
      </c>
      <c r="AS90" s="369"/>
      <c r="AT90" s="350">
        <f t="shared" si="75"/>
        <v>6466178.4394248724</v>
      </c>
      <c r="AU90" s="350">
        <f t="shared" si="58"/>
        <v>6405281.3890876872</v>
      </c>
      <c r="AV90" s="350">
        <f t="shared" si="59"/>
        <v>6338793.4294787832</v>
      </c>
      <c r="AW90" s="350">
        <f t="shared" si="60"/>
        <v>6254187.8480818411</v>
      </c>
      <c r="AX90" s="350">
        <f t="shared" si="61"/>
        <v>6140754.2064480865</v>
      </c>
      <c r="AY90" s="350">
        <f t="shared" si="62"/>
        <v>31605195.312521271</v>
      </c>
      <c r="AZ90" s="365"/>
      <c r="BA90" s="377">
        <f t="shared" si="63"/>
        <v>0</v>
      </c>
      <c r="BB90" s="377">
        <f t="shared" si="64"/>
        <v>0</v>
      </c>
      <c r="BC90" s="377">
        <f t="shared" si="65"/>
        <v>0</v>
      </c>
      <c r="BD90" s="377">
        <f t="shared" si="66"/>
        <v>0</v>
      </c>
      <c r="BE90" s="377">
        <f t="shared" si="67"/>
        <v>0</v>
      </c>
      <c r="BF90" s="377">
        <f t="shared" si="68"/>
        <v>0</v>
      </c>
      <c r="BG90" s="328"/>
    </row>
    <row r="91" spans="2:59">
      <c r="B91" s="332">
        <v>76</v>
      </c>
      <c r="C91" s="350">
        <v>5386552.2377327569</v>
      </c>
      <c r="D91" s="350">
        <v>5367140.8177759526</v>
      </c>
      <c r="E91" s="350">
        <v>5346148.3187669888</v>
      </c>
      <c r="F91" s="350">
        <v>5320963.3224303797</v>
      </c>
      <c r="G91" s="350">
        <v>5289272.3965647714</v>
      </c>
      <c r="H91" s="348">
        <v>26710077.093270849</v>
      </c>
      <c r="I91" s="369"/>
      <c r="J91" s="350">
        <v>19319018.283293843</v>
      </c>
      <c r="K91" s="350">
        <v>18929862.904403839</v>
      </c>
      <c r="L91" s="350">
        <v>18528799.074626602</v>
      </c>
      <c r="M91" s="350">
        <v>18086434.515738931</v>
      </c>
      <c r="N91" s="350">
        <v>17578050.965276401</v>
      </c>
      <c r="O91" s="348">
        <v>92442165.743339613</v>
      </c>
      <c r="P91" s="369"/>
      <c r="Q91" s="350">
        <f t="shared" si="69"/>
        <v>13932466.045561086</v>
      </c>
      <c r="R91" s="350">
        <f t="shared" si="70"/>
        <v>13562722.086627886</v>
      </c>
      <c r="S91" s="350">
        <f t="shared" si="71"/>
        <v>13182650.755859613</v>
      </c>
      <c r="T91" s="350">
        <f t="shared" si="72"/>
        <v>12765471.193308551</v>
      </c>
      <c r="U91" s="350">
        <f t="shared" si="73"/>
        <v>12288778.568711631</v>
      </c>
      <c r="V91" s="350">
        <f t="shared" si="74"/>
        <v>65732088.65006876</v>
      </c>
      <c r="W91" s="365"/>
      <c r="X91" s="377">
        <f t="shared" si="52"/>
        <v>0</v>
      </c>
      <c r="Y91" s="377">
        <f t="shared" si="53"/>
        <v>0</v>
      </c>
      <c r="Z91" s="377">
        <f t="shared" si="54"/>
        <v>0</v>
      </c>
      <c r="AA91" s="377">
        <f t="shared" si="55"/>
        <v>0</v>
      </c>
      <c r="AB91" s="377">
        <f t="shared" si="56"/>
        <v>0</v>
      </c>
      <c r="AC91" s="377">
        <f t="shared" si="57"/>
        <v>0</v>
      </c>
      <c r="AD91" s="376"/>
      <c r="AE91" s="332">
        <v>76</v>
      </c>
      <c r="AF91" s="350">
        <v>591285.14555307897</v>
      </c>
      <c r="AG91" s="350">
        <v>589154.34206914541</v>
      </c>
      <c r="AH91" s="350">
        <v>586849.98256714549</v>
      </c>
      <c r="AI91" s="350">
        <v>584085.41006001725</v>
      </c>
      <c r="AJ91" s="350">
        <v>580606.67767496849</v>
      </c>
      <c r="AK91" s="348">
        <v>2931981.5579243554</v>
      </c>
      <c r="AL91" s="369"/>
      <c r="AM91" s="350">
        <v>15651787.000571366</v>
      </c>
      <c r="AN91" s="350">
        <v>15511545.428659253</v>
      </c>
      <c r="AO91" s="350">
        <v>15358081.552575437</v>
      </c>
      <c r="AP91" s="350">
        <v>15161929.225019205</v>
      </c>
      <c r="AQ91" s="350">
        <v>14897878.103034677</v>
      </c>
      <c r="AR91" s="348">
        <v>76581221.309859931</v>
      </c>
      <c r="AS91" s="369"/>
      <c r="AT91" s="350">
        <f t="shared" si="75"/>
        <v>15060501.855018288</v>
      </c>
      <c r="AU91" s="350">
        <f t="shared" si="58"/>
        <v>14922391.086590108</v>
      </c>
      <c r="AV91" s="350">
        <f t="shared" si="59"/>
        <v>14771231.570008293</v>
      </c>
      <c r="AW91" s="350">
        <f t="shared" si="60"/>
        <v>14577843.814959189</v>
      </c>
      <c r="AX91" s="350">
        <f t="shared" si="61"/>
        <v>14317271.425359709</v>
      </c>
      <c r="AY91" s="350">
        <f t="shared" si="62"/>
        <v>73649239.751935571</v>
      </c>
      <c r="AZ91" s="365"/>
      <c r="BA91" s="377">
        <f t="shared" si="63"/>
        <v>0</v>
      </c>
      <c r="BB91" s="377">
        <f t="shared" si="64"/>
        <v>0</v>
      </c>
      <c r="BC91" s="377">
        <f t="shared" si="65"/>
        <v>0</v>
      </c>
      <c r="BD91" s="377">
        <f t="shared" si="66"/>
        <v>0</v>
      </c>
      <c r="BE91" s="377">
        <f t="shared" si="67"/>
        <v>0</v>
      </c>
      <c r="BF91" s="377">
        <f t="shared" si="68"/>
        <v>0</v>
      </c>
      <c r="BG91" s="328"/>
    </row>
    <row r="92" spans="2:59">
      <c r="B92" s="332">
        <v>77</v>
      </c>
      <c r="C92" s="350">
        <v>4229540.465294539</v>
      </c>
      <c r="D92" s="350">
        <v>4214298.5475385012</v>
      </c>
      <c r="E92" s="350">
        <v>4197815.1607434917</v>
      </c>
      <c r="F92" s="350">
        <v>4178039.8097540773</v>
      </c>
      <c r="G92" s="350">
        <v>4153155.9791671755</v>
      </c>
      <c r="H92" s="348">
        <v>20972849.962497782</v>
      </c>
      <c r="I92" s="369"/>
      <c r="J92" s="350">
        <v>15606607.960381698</v>
      </c>
      <c r="K92" s="350">
        <v>15297890.358519211</v>
      </c>
      <c r="L92" s="350">
        <v>14979437.173268607</v>
      </c>
      <c r="M92" s="350">
        <v>14627321.570577718</v>
      </c>
      <c r="N92" s="350">
        <v>14221407.713213887</v>
      </c>
      <c r="O92" s="348">
        <v>74732664.775961116</v>
      </c>
      <c r="P92" s="369"/>
      <c r="Q92" s="350">
        <f t="shared" si="69"/>
        <v>11377067.495087158</v>
      </c>
      <c r="R92" s="350">
        <f t="shared" si="70"/>
        <v>11083591.810980711</v>
      </c>
      <c r="S92" s="350">
        <f t="shared" si="71"/>
        <v>10781622.012525115</v>
      </c>
      <c r="T92" s="350">
        <f t="shared" si="72"/>
        <v>10449281.760823641</v>
      </c>
      <c r="U92" s="350">
        <f t="shared" si="73"/>
        <v>10068251.734046713</v>
      </c>
      <c r="V92" s="350">
        <f t="shared" si="74"/>
        <v>53759814.81346333</v>
      </c>
      <c r="W92" s="365"/>
      <c r="X92" s="377">
        <f t="shared" si="52"/>
        <v>0</v>
      </c>
      <c r="Y92" s="377">
        <f t="shared" si="53"/>
        <v>0</v>
      </c>
      <c r="Z92" s="377">
        <f t="shared" si="54"/>
        <v>0</v>
      </c>
      <c r="AA92" s="377">
        <f t="shared" si="55"/>
        <v>0</v>
      </c>
      <c r="AB92" s="377">
        <f t="shared" si="56"/>
        <v>0</v>
      </c>
      <c r="AC92" s="377">
        <f t="shared" si="57"/>
        <v>0</v>
      </c>
      <c r="AD92" s="376"/>
      <c r="AE92" s="332">
        <v>77</v>
      </c>
      <c r="AF92" s="350">
        <v>457631.4467166111</v>
      </c>
      <c r="AG92" s="350">
        <v>455982.28862705821</v>
      </c>
      <c r="AH92" s="350">
        <v>454198.80500568467</v>
      </c>
      <c r="AI92" s="350">
        <v>452059.13461906166</v>
      </c>
      <c r="AJ92" s="350">
        <v>449366.73257567751</v>
      </c>
      <c r="AK92" s="348">
        <v>2269238.4075440932</v>
      </c>
      <c r="AL92" s="369"/>
      <c r="AM92" s="350">
        <v>11897552.758932887</v>
      </c>
      <c r="AN92" s="350">
        <v>11790570.357359245</v>
      </c>
      <c r="AO92" s="350">
        <v>11673544.892742304</v>
      </c>
      <c r="AP92" s="350">
        <v>11524090.206475113</v>
      </c>
      <c r="AQ92" s="350">
        <v>11323054.132058235</v>
      </c>
      <c r="AR92" s="348">
        <v>58208812.347567782</v>
      </c>
      <c r="AS92" s="369"/>
      <c r="AT92" s="350">
        <f t="shared" si="75"/>
        <v>11439921.312216276</v>
      </c>
      <c r="AU92" s="350">
        <f t="shared" si="58"/>
        <v>11334588.068732187</v>
      </c>
      <c r="AV92" s="350">
        <f t="shared" si="59"/>
        <v>11219346.08773662</v>
      </c>
      <c r="AW92" s="350">
        <f t="shared" si="60"/>
        <v>11072031.071856052</v>
      </c>
      <c r="AX92" s="350">
        <f t="shared" si="61"/>
        <v>10873687.399482558</v>
      </c>
      <c r="AY92" s="350">
        <f t="shared" si="62"/>
        <v>55939573.94002369</v>
      </c>
      <c r="AZ92" s="365"/>
      <c r="BA92" s="377">
        <f t="shared" si="63"/>
        <v>0</v>
      </c>
      <c r="BB92" s="377">
        <f t="shared" si="64"/>
        <v>0</v>
      </c>
      <c r="BC92" s="377">
        <f t="shared" si="65"/>
        <v>0</v>
      </c>
      <c r="BD92" s="377">
        <f t="shared" si="66"/>
        <v>0</v>
      </c>
      <c r="BE92" s="377">
        <f t="shared" si="67"/>
        <v>0</v>
      </c>
      <c r="BF92" s="377">
        <f t="shared" si="68"/>
        <v>0</v>
      </c>
      <c r="BG92" s="328"/>
    </row>
    <row r="93" spans="2:59">
      <c r="B93" s="332">
        <v>78</v>
      </c>
      <c r="C93" s="350">
        <v>5251409.8809046848</v>
      </c>
      <c r="D93" s="350">
        <v>5232485.4709918872</v>
      </c>
      <c r="E93" s="350">
        <v>5212019.6494691093</v>
      </c>
      <c r="F93" s="350">
        <v>5187466.5155208018</v>
      </c>
      <c r="G93" s="350">
        <v>5156570.6782800732</v>
      </c>
      <c r="H93" s="348">
        <v>26039952.195166558</v>
      </c>
      <c r="I93" s="369"/>
      <c r="J93" s="350">
        <v>17636574.353199184</v>
      </c>
      <c r="K93" s="350">
        <v>17265815.067055568</v>
      </c>
      <c r="L93" s="350">
        <v>16884500.804053746</v>
      </c>
      <c r="M93" s="350">
        <v>16466299.400920682</v>
      </c>
      <c r="N93" s="350">
        <v>15989104.144030724</v>
      </c>
      <c r="O93" s="348">
        <v>84242293.7692599</v>
      </c>
      <c r="P93" s="369"/>
      <c r="Q93" s="350">
        <f t="shared" si="69"/>
        <v>12385164.472294498</v>
      </c>
      <c r="R93" s="350">
        <f t="shared" si="70"/>
        <v>12033329.596063681</v>
      </c>
      <c r="S93" s="350">
        <f t="shared" si="71"/>
        <v>11672481.154584637</v>
      </c>
      <c r="T93" s="350">
        <f t="shared" si="72"/>
        <v>11278832.88539988</v>
      </c>
      <c r="U93" s="350">
        <f t="shared" si="73"/>
        <v>10832533.46575065</v>
      </c>
      <c r="V93" s="350">
        <f t="shared" si="74"/>
        <v>58202341.574093342</v>
      </c>
      <c r="W93" s="365"/>
      <c r="X93" s="377">
        <f t="shared" si="52"/>
        <v>0</v>
      </c>
      <c r="Y93" s="377">
        <f t="shared" si="53"/>
        <v>0</v>
      </c>
      <c r="Z93" s="377">
        <f t="shared" si="54"/>
        <v>0</v>
      </c>
      <c r="AA93" s="377">
        <f t="shared" si="55"/>
        <v>0</v>
      </c>
      <c r="AB93" s="377">
        <f t="shared" si="56"/>
        <v>0</v>
      </c>
      <c r="AC93" s="377">
        <f t="shared" si="57"/>
        <v>0</v>
      </c>
      <c r="AD93" s="376"/>
      <c r="AE93" s="332">
        <v>78</v>
      </c>
      <c r="AF93" s="350">
        <v>393441.21186217997</v>
      </c>
      <c r="AG93" s="350">
        <v>392023.37495005055</v>
      </c>
      <c r="AH93" s="350">
        <v>390490.05384118878</v>
      </c>
      <c r="AI93" s="350">
        <v>388650.50693955313</v>
      </c>
      <c r="AJ93" s="350">
        <v>386335.75796334207</v>
      </c>
      <c r="AK93" s="348">
        <v>1950940.9055563146</v>
      </c>
      <c r="AL93" s="369"/>
      <c r="AM93" s="350">
        <v>11633123.912717558</v>
      </c>
      <c r="AN93" s="350">
        <v>11531025.536520069</v>
      </c>
      <c r="AO93" s="350">
        <v>11419056.130642336</v>
      </c>
      <c r="AP93" s="350">
        <v>11275246.135269072</v>
      </c>
      <c r="AQ93" s="350">
        <v>11080794.821365012</v>
      </c>
      <c r="AR93" s="348">
        <v>56939246.536514059</v>
      </c>
      <c r="AS93" s="369"/>
      <c r="AT93" s="350">
        <f t="shared" si="75"/>
        <v>11239682.700855378</v>
      </c>
      <c r="AU93" s="350">
        <f t="shared" si="58"/>
        <v>11139002.161570018</v>
      </c>
      <c r="AV93" s="350">
        <f t="shared" si="59"/>
        <v>11028566.076801147</v>
      </c>
      <c r="AW93" s="350">
        <f t="shared" si="60"/>
        <v>10886595.628329519</v>
      </c>
      <c r="AX93" s="350">
        <f t="shared" si="61"/>
        <v>10694459.063401669</v>
      </c>
      <c r="AY93" s="350">
        <f t="shared" si="62"/>
        <v>54988305.630957745</v>
      </c>
      <c r="AZ93" s="365"/>
      <c r="BA93" s="377">
        <f t="shared" si="63"/>
        <v>0</v>
      </c>
      <c r="BB93" s="377">
        <f t="shared" si="64"/>
        <v>0</v>
      </c>
      <c r="BC93" s="377">
        <f t="shared" si="65"/>
        <v>0</v>
      </c>
      <c r="BD93" s="377">
        <f t="shared" si="66"/>
        <v>0</v>
      </c>
      <c r="BE93" s="377">
        <f t="shared" si="67"/>
        <v>0</v>
      </c>
      <c r="BF93" s="377">
        <f t="shared" si="68"/>
        <v>0</v>
      </c>
      <c r="BG93" s="328"/>
    </row>
    <row r="94" spans="2:59">
      <c r="B94" s="332">
        <v>79</v>
      </c>
      <c r="C94" s="350">
        <v>4428260.68116247</v>
      </c>
      <c r="D94" s="350">
        <v>4412302.6389925443</v>
      </c>
      <c r="E94" s="350">
        <v>4395044.7987530036</v>
      </c>
      <c r="F94" s="350">
        <v>4374340.3250729032</v>
      </c>
      <c r="G94" s="350">
        <v>4348287.3556099394</v>
      </c>
      <c r="H94" s="348">
        <v>21958235.79959086</v>
      </c>
      <c r="I94" s="369"/>
      <c r="J94" s="350">
        <v>14295607.391691793</v>
      </c>
      <c r="K94" s="350">
        <v>13987118.761078682</v>
      </c>
      <c r="L94" s="350">
        <v>13670237.245558409</v>
      </c>
      <c r="M94" s="350">
        <v>13323876.090663545</v>
      </c>
      <c r="N94" s="350">
        <v>12930352.208487853</v>
      </c>
      <c r="O94" s="348">
        <v>68207191.697480291</v>
      </c>
      <c r="P94" s="369"/>
      <c r="Q94" s="350">
        <f t="shared" si="69"/>
        <v>9867346.7105293237</v>
      </c>
      <c r="R94" s="350">
        <f t="shared" si="70"/>
        <v>9574816.1220861375</v>
      </c>
      <c r="S94" s="350">
        <f t="shared" si="71"/>
        <v>9275192.4468054064</v>
      </c>
      <c r="T94" s="350">
        <f t="shared" si="72"/>
        <v>8949535.7655906416</v>
      </c>
      <c r="U94" s="350">
        <f t="shared" si="73"/>
        <v>8582064.8528779149</v>
      </c>
      <c r="V94" s="350">
        <f t="shared" si="74"/>
        <v>46248955.897889435</v>
      </c>
      <c r="W94" s="365"/>
      <c r="X94" s="377">
        <f t="shared" si="52"/>
        <v>0</v>
      </c>
      <c r="Y94" s="377">
        <f t="shared" si="53"/>
        <v>0</v>
      </c>
      <c r="Z94" s="377">
        <f t="shared" si="54"/>
        <v>0</v>
      </c>
      <c r="AA94" s="377">
        <f t="shared" si="55"/>
        <v>0</v>
      </c>
      <c r="AB94" s="377">
        <f t="shared" si="56"/>
        <v>0</v>
      </c>
      <c r="AC94" s="377">
        <f t="shared" si="57"/>
        <v>0</v>
      </c>
      <c r="AD94" s="376"/>
      <c r="AE94" s="332">
        <v>79</v>
      </c>
      <c r="AF94" s="350">
        <v>477597.88760107721</v>
      </c>
      <c r="AG94" s="350">
        <v>475876.77681303635</v>
      </c>
      <c r="AH94" s="350">
        <v>474015.47987583844</v>
      </c>
      <c r="AI94" s="350">
        <v>471782.45575971698</v>
      </c>
      <c r="AJ94" s="350">
        <v>468972.58432776236</v>
      </c>
      <c r="AK94" s="348">
        <v>2368245.1843774314</v>
      </c>
      <c r="AL94" s="369"/>
      <c r="AM94" s="350">
        <v>13881254.976911329</v>
      </c>
      <c r="AN94" s="350">
        <v>13759048.943059014</v>
      </c>
      <c r="AO94" s="350">
        <v>13625071.973691903</v>
      </c>
      <c r="AP94" s="350">
        <v>13453121.007195456</v>
      </c>
      <c r="AQ94" s="350">
        <v>13220773.187542431</v>
      </c>
      <c r="AR94" s="348">
        <v>67939270.088400126</v>
      </c>
      <c r="AS94" s="369"/>
      <c r="AT94" s="350">
        <f t="shared" si="75"/>
        <v>13403657.089310251</v>
      </c>
      <c r="AU94" s="350">
        <f t="shared" si="58"/>
        <v>13283172.166245978</v>
      </c>
      <c r="AV94" s="350">
        <f t="shared" si="59"/>
        <v>13151056.493816065</v>
      </c>
      <c r="AW94" s="350">
        <f t="shared" si="60"/>
        <v>12981338.551435739</v>
      </c>
      <c r="AX94" s="350">
        <f t="shared" si="61"/>
        <v>12751800.603214668</v>
      </c>
      <c r="AY94" s="350">
        <f t="shared" si="62"/>
        <v>65571024.904022694</v>
      </c>
      <c r="AZ94" s="365"/>
      <c r="BA94" s="377">
        <f t="shared" si="63"/>
        <v>0</v>
      </c>
      <c r="BB94" s="377">
        <f t="shared" si="64"/>
        <v>0</v>
      </c>
      <c r="BC94" s="377">
        <f t="shared" si="65"/>
        <v>0</v>
      </c>
      <c r="BD94" s="377">
        <f t="shared" si="66"/>
        <v>0</v>
      </c>
      <c r="BE94" s="377">
        <f t="shared" si="67"/>
        <v>0</v>
      </c>
      <c r="BF94" s="377">
        <f t="shared" si="68"/>
        <v>0</v>
      </c>
      <c r="BG94" s="328"/>
    </row>
    <row r="95" spans="2:59">
      <c r="B95" s="332">
        <v>80</v>
      </c>
      <c r="C95" s="350">
        <v>6146970.7053686418</v>
      </c>
      <c r="D95" s="350">
        <v>6124818.9792629806</v>
      </c>
      <c r="E95" s="350">
        <v>6100862.9735016981</v>
      </c>
      <c r="F95" s="350">
        <v>6072122.6164303422</v>
      </c>
      <c r="G95" s="350">
        <v>6035957.8891011775</v>
      </c>
      <c r="H95" s="348">
        <v>30480733.16366484</v>
      </c>
      <c r="I95" s="369"/>
      <c r="J95" s="350">
        <v>21264621.226369161</v>
      </c>
      <c r="K95" s="350">
        <v>20826162.562636063</v>
      </c>
      <c r="L95" s="350">
        <v>20374802.639946051</v>
      </c>
      <c r="M95" s="350">
        <v>19878515.68143025</v>
      </c>
      <c r="N95" s="350">
        <v>19310393.547517907</v>
      </c>
      <c r="O95" s="348">
        <v>101654495.65789942</v>
      </c>
      <c r="P95" s="369"/>
      <c r="Q95" s="350">
        <f t="shared" si="69"/>
        <v>15117650.521000519</v>
      </c>
      <c r="R95" s="350">
        <f t="shared" si="70"/>
        <v>14701343.583373081</v>
      </c>
      <c r="S95" s="350">
        <f t="shared" si="71"/>
        <v>14273939.666444354</v>
      </c>
      <c r="T95" s="350">
        <f t="shared" si="72"/>
        <v>13806393.064999908</v>
      </c>
      <c r="U95" s="350">
        <f t="shared" si="73"/>
        <v>13274435.658416729</v>
      </c>
      <c r="V95" s="350">
        <f t="shared" si="74"/>
        <v>71173762.494234592</v>
      </c>
      <c r="W95" s="365"/>
      <c r="X95" s="377">
        <f t="shared" si="52"/>
        <v>0</v>
      </c>
      <c r="Y95" s="377">
        <f t="shared" si="53"/>
        <v>0</v>
      </c>
      <c r="Z95" s="377">
        <f t="shared" si="54"/>
        <v>0</v>
      </c>
      <c r="AA95" s="377">
        <f t="shared" si="55"/>
        <v>0</v>
      </c>
      <c r="AB95" s="377">
        <f t="shared" si="56"/>
        <v>0</v>
      </c>
      <c r="AC95" s="377">
        <f t="shared" si="57"/>
        <v>0</v>
      </c>
      <c r="AD95" s="376"/>
      <c r="AE95" s="332">
        <v>80</v>
      </c>
      <c r="AF95" s="350">
        <v>523546.46394873149</v>
      </c>
      <c r="AG95" s="350">
        <v>521659.76911499008</v>
      </c>
      <c r="AH95" s="350">
        <v>519619.40115037607</v>
      </c>
      <c r="AI95" s="350">
        <v>517171.54300389247</v>
      </c>
      <c r="AJ95" s="350">
        <v>514091.34040974034</v>
      </c>
      <c r="AK95" s="348">
        <v>2596088.5176277305</v>
      </c>
      <c r="AL95" s="369"/>
      <c r="AM95" s="350">
        <v>13896186.22337541</v>
      </c>
      <c r="AN95" s="350">
        <v>13771740.729830854</v>
      </c>
      <c r="AO95" s="350">
        <v>13635554.685129432</v>
      </c>
      <c r="AP95" s="350">
        <v>13461464.923897617</v>
      </c>
      <c r="AQ95" s="350">
        <v>13227086.903994545</v>
      </c>
      <c r="AR95" s="348">
        <v>67992033.466227859</v>
      </c>
      <c r="AS95" s="369"/>
      <c r="AT95" s="350">
        <f t="shared" si="75"/>
        <v>13372639.759426678</v>
      </c>
      <c r="AU95" s="350">
        <f t="shared" si="58"/>
        <v>13250080.960715864</v>
      </c>
      <c r="AV95" s="350">
        <f t="shared" si="59"/>
        <v>13115935.283979056</v>
      </c>
      <c r="AW95" s="350">
        <f t="shared" si="60"/>
        <v>12944293.380893724</v>
      </c>
      <c r="AX95" s="350">
        <f t="shared" si="61"/>
        <v>12712995.563584805</v>
      </c>
      <c r="AY95" s="350">
        <f t="shared" si="62"/>
        <v>65395944.948600128</v>
      </c>
      <c r="AZ95" s="365"/>
      <c r="BA95" s="377">
        <f t="shared" si="63"/>
        <v>0</v>
      </c>
      <c r="BB95" s="377">
        <f t="shared" si="64"/>
        <v>0</v>
      </c>
      <c r="BC95" s="377">
        <f t="shared" si="65"/>
        <v>0</v>
      </c>
      <c r="BD95" s="377">
        <f t="shared" si="66"/>
        <v>0</v>
      </c>
      <c r="BE95" s="377">
        <f t="shared" si="67"/>
        <v>0</v>
      </c>
      <c r="BF95" s="377">
        <f t="shared" si="68"/>
        <v>0</v>
      </c>
      <c r="BG95" s="328"/>
    </row>
    <row r="96" spans="2:59">
      <c r="B96" s="332">
        <v>81</v>
      </c>
      <c r="C96" s="350">
        <v>7610097.9594768276</v>
      </c>
      <c r="D96" s="350">
        <v>7582673.5883978624</v>
      </c>
      <c r="E96" s="350">
        <v>7553015.4755973676</v>
      </c>
      <c r="F96" s="350">
        <v>7517434.2205065712</v>
      </c>
      <c r="G96" s="350">
        <v>7472661.4160075476</v>
      </c>
      <c r="H96" s="348">
        <v>37735882.659986176</v>
      </c>
      <c r="I96" s="369"/>
      <c r="J96" s="350">
        <v>25354959.170276117</v>
      </c>
      <c r="K96" s="350">
        <v>24819136.236468658</v>
      </c>
      <c r="L96" s="350">
        <v>24268196.40280278</v>
      </c>
      <c r="M96" s="350">
        <v>23664374.261205111</v>
      </c>
      <c r="N96" s="350">
        <v>22975971.538792118</v>
      </c>
      <c r="O96" s="348">
        <v>121082637.60954478</v>
      </c>
      <c r="P96" s="369"/>
      <c r="Q96" s="350">
        <f t="shared" si="69"/>
        <v>17744861.210799288</v>
      </c>
      <c r="R96" s="350">
        <f t="shared" si="70"/>
        <v>17236462.648070797</v>
      </c>
      <c r="S96" s="350">
        <f t="shared" si="71"/>
        <v>16715180.927205414</v>
      </c>
      <c r="T96" s="350">
        <f t="shared" si="72"/>
        <v>16146940.040698539</v>
      </c>
      <c r="U96" s="350">
        <f t="shared" si="73"/>
        <v>15503310.12278457</v>
      </c>
      <c r="V96" s="350">
        <f t="shared" si="74"/>
        <v>83346754.949558616</v>
      </c>
      <c r="W96" s="365"/>
      <c r="X96" s="377">
        <f t="shared" si="52"/>
        <v>0</v>
      </c>
      <c r="Y96" s="377">
        <f t="shared" si="53"/>
        <v>0</v>
      </c>
      <c r="Z96" s="377">
        <f t="shared" si="54"/>
        <v>0</v>
      </c>
      <c r="AA96" s="377">
        <f t="shared" si="55"/>
        <v>0</v>
      </c>
      <c r="AB96" s="377">
        <f t="shared" si="56"/>
        <v>0</v>
      </c>
      <c r="AC96" s="377">
        <f t="shared" si="57"/>
        <v>0</v>
      </c>
      <c r="AD96" s="376"/>
      <c r="AE96" s="332">
        <v>81</v>
      </c>
      <c r="AF96" s="350">
        <v>324057.36399722792</v>
      </c>
      <c r="AG96" s="350">
        <v>322889.56439090829</v>
      </c>
      <c r="AH96" s="350">
        <v>321626.64636982122</v>
      </c>
      <c r="AI96" s="350">
        <v>320111.5058560152</v>
      </c>
      <c r="AJ96" s="350">
        <v>318204.96574549668</v>
      </c>
      <c r="AK96" s="348">
        <v>1606890.0463594692</v>
      </c>
      <c r="AL96" s="369"/>
      <c r="AM96" s="350">
        <v>9680188.9939214867</v>
      </c>
      <c r="AN96" s="350">
        <v>9595385.2846356891</v>
      </c>
      <c r="AO96" s="350">
        <v>9502364.5065856334</v>
      </c>
      <c r="AP96" s="350">
        <v>9382840.289671557</v>
      </c>
      <c r="AQ96" s="350">
        <v>9221163.5349991266</v>
      </c>
      <c r="AR96" s="348">
        <v>47381942.609813489</v>
      </c>
      <c r="AS96" s="369"/>
      <c r="AT96" s="350">
        <f t="shared" si="75"/>
        <v>9356131.6299242582</v>
      </c>
      <c r="AU96" s="350">
        <f t="shared" si="58"/>
        <v>9272495.7202447802</v>
      </c>
      <c r="AV96" s="350">
        <f t="shared" si="59"/>
        <v>9180737.8602158129</v>
      </c>
      <c r="AW96" s="350">
        <f t="shared" si="60"/>
        <v>9062728.7838155422</v>
      </c>
      <c r="AX96" s="350">
        <f t="shared" si="61"/>
        <v>8902958.5692536291</v>
      </c>
      <c r="AY96" s="350">
        <f t="shared" si="62"/>
        <v>45775052.563454017</v>
      </c>
      <c r="AZ96" s="365"/>
      <c r="BA96" s="377">
        <f t="shared" si="63"/>
        <v>0</v>
      </c>
      <c r="BB96" s="377">
        <f t="shared" si="64"/>
        <v>0</v>
      </c>
      <c r="BC96" s="377">
        <f t="shared" si="65"/>
        <v>0</v>
      </c>
      <c r="BD96" s="377">
        <f t="shared" si="66"/>
        <v>0</v>
      </c>
      <c r="BE96" s="377">
        <f t="shared" si="67"/>
        <v>0</v>
      </c>
      <c r="BF96" s="377">
        <f t="shared" si="68"/>
        <v>0</v>
      </c>
      <c r="BG96" s="328"/>
    </row>
    <row r="97" spans="2:59">
      <c r="B97" s="332">
        <v>82</v>
      </c>
      <c r="C97" s="350">
        <v>4792991.1094778273</v>
      </c>
      <c r="D97" s="350">
        <v>4775718.6949222665</v>
      </c>
      <c r="E97" s="350">
        <v>4757039.4253867613</v>
      </c>
      <c r="F97" s="350">
        <v>4734629.6429868033</v>
      </c>
      <c r="G97" s="350">
        <v>4706430.8398895338</v>
      </c>
      <c r="H97" s="348">
        <v>23766809.712663192</v>
      </c>
      <c r="I97" s="369"/>
      <c r="J97" s="350">
        <v>14471774.926243125</v>
      </c>
      <c r="K97" s="350">
        <v>14145094.443143938</v>
      </c>
      <c r="L97" s="350">
        <v>13810211.498323016</v>
      </c>
      <c r="M97" s="350">
        <v>13446244.236985072</v>
      </c>
      <c r="N97" s="350">
        <v>13035717.855574409</v>
      </c>
      <c r="O97" s="348">
        <v>68909042.960269555</v>
      </c>
      <c r="P97" s="369"/>
      <c r="Q97" s="350">
        <f t="shared" si="69"/>
        <v>9678783.8167652972</v>
      </c>
      <c r="R97" s="350">
        <f t="shared" si="70"/>
        <v>9369375.7482216712</v>
      </c>
      <c r="S97" s="350">
        <f t="shared" si="71"/>
        <v>9053172.0729362555</v>
      </c>
      <c r="T97" s="350">
        <f t="shared" si="72"/>
        <v>8711614.5939982682</v>
      </c>
      <c r="U97" s="350">
        <f t="shared" si="73"/>
        <v>8329287.0156848747</v>
      </c>
      <c r="V97" s="350">
        <f t="shared" si="74"/>
        <v>45142233.247606367</v>
      </c>
      <c r="W97" s="365"/>
      <c r="X97" s="377">
        <f t="shared" si="52"/>
        <v>0</v>
      </c>
      <c r="Y97" s="377">
        <f t="shared" si="53"/>
        <v>0</v>
      </c>
      <c r="Z97" s="377">
        <f t="shared" si="54"/>
        <v>0</v>
      </c>
      <c r="AA97" s="377">
        <f t="shared" si="55"/>
        <v>0</v>
      </c>
      <c r="AB97" s="377">
        <f t="shared" si="56"/>
        <v>0</v>
      </c>
      <c r="AC97" s="377">
        <f t="shared" si="57"/>
        <v>0</v>
      </c>
      <c r="AD97" s="376"/>
      <c r="AE97" s="332">
        <v>82</v>
      </c>
      <c r="AF97" s="350">
        <v>385245.05514012778</v>
      </c>
      <c r="AG97" s="350">
        <v>383856.75456834026</v>
      </c>
      <c r="AH97" s="350">
        <v>382355.37556349457</v>
      </c>
      <c r="AI97" s="350">
        <v>380554.15005333687</v>
      </c>
      <c r="AJ97" s="350">
        <v>378287.62186541455</v>
      </c>
      <c r="AK97" s="348">
        <v>1910298.9571907138</v>
      </c>
      <c r="AL97" s="369"/>
      <c r="AM97" s="350">
        <v>14175962.902826132</v>
      </c>
      <c r="AN97" s="350">
        <v>14055917.633236341</v>
      </c>
      <c r="AO97" s="350">
        <v>13923754.420672979</v>
      </c>
      <c r="AP97" s="350">
        <v>13752560.316996902</v>
      </c>
      <c r="AQ97" s="350">
        <v>13519295.577797696</v>
      </c>
      <c r="AR97" s="348">
        <v>69427490.851530045</v>
      </c>
      <c r="AS97" s="369"/>
      <c r="AT97" s="350">
        <f t="shared" si="75"/>
        <v>13790717.847686004</v>
      </c>
      <c r="AU97" s="350">
        <f t="shared" si="58"/>
        <v>13672060.878668001</v>
      </c>
      <c r="AV97" s="350">
        <f t="shared" si="59"/>
        <v>13541399.045109484</v>
      </c>
      <c r="AW97" s="350">
        <f t="shared" si="60"/>
        <v>13372006.166943565</v>
      </c>
      <c r="AX97" s="350">
        <f t="shared" si="61"/>
        <v>13141007.955932282</v>
      </c>
      <c r="AY97" s="350">
        <f t="shared" si="62"/>
        <v>67517191.894339338</v>
      </c>
      <c r="AZ97" s="365"/>
      <c r="BA97" s="377">
        <f t="shared" si="63"/>
        <v>0</v>
      </c>
      <c r="BB97" s="377">
        <f t="shared" si="64"/>
        <v>0</v>
      </c>
      <c r="BC97" s="377">
        <f t="shared" si="65"/>
        <v>0</v>
      </c>
      <c r="BD97" s="377">
        <f t="shared" si="66"/>
        <v>0</v>
      </c>
      <c r="BE97" s="377">
        <f t="shared" si="67"/>
        <v>0</v>
      </c>
      <c r="BF97" s="377">
        <f t="shared" si="68"/>
        <v>0</v>
      </c>
      <c r="BG97" s="328"/>
    </row>
    <row r="98" spans="2:59">
      <c r="B98" s="332">
        <v>83</v>
      </c>
      <c r="C98" s="350">
        <v>6117519.3727155421</v>
      </c>
      <c r="D98" s="350">
        <v>6095473.7798396694</v>
      </c>
      <c r="E98" s="350">
        <v>6071632.551963062</v>
      </c>
      <c r="F98" s="350">
        <v>6043029.8955343859</v>
      </c>
      <c r="G98" s="350">
        <v>6007038.4404503554</v>
      </c>
      <c r="H98" s="348">
        <v>30334694.040503014</v>
      </c>
      <c r="I98" s="369"/>
      <c r="J98" s="350">
        <v>24594464.156636368</v>
      </c>
      <c r="K98" s="350">
        <v>24133372.537956443</v>
      </c>
      <c r="L98" s="350">
        <v>23656419.597370774</v>
      </c>
      <c r="M98" s="350">
        <v>23125078.151700314</v>
      </c>
      <c r="N98" s="350">
        <v>22506863.3572281</v>
      </c>
      <c r="O98" s="348">
        <v>118016197.800892</v>
      </c>
      <c r="P98" s="369"/>
      <c r="Q98" s="350">
        <f t="shared" si="69"/>
        <v>18476944.783920825</v>
      </c>
      <c r="R98" s="350">
        <f t="shared" si="70"/>
        <v>18037898.758116774</v>
      </c>
      <c r="S98" s="350">
        <f t="shared" si="71"/>
        <v>17584787.045407712</v>
      </c>
      <c r="T98" s="350">
        <f t="shared" si="72"/>
        <v>17082048.256165929</v>
      </c>
      <c r="U98" s="350">
        <f t="shared" si="73"/>
        <v>16499824.916777745</v>
      </c>
      <c r="V98" s="350">
        <f t="shared" si="74"/>
        <v>87681503.760388985</v>
      </c>
      <c r="W98" s="365"/>
      <c r="X98" s="377">
        <f t="shared" si="52"/>
        <v>0</v>
      </c>
      <c r="Y98" s="377">
        <f t="shared" si="53"/>
        <v>0</v>
      </c>
      <c r="Z98" s="377">
        <f t="shared" si="54"/>
        <v>0</v>
      </c>
      <c r="AA98" s="377">
        <f t="shared" si="55"/>
        <v>0</v>
      </c>
      <c r="AB98" s="377">
        <f t="shared" si="56"/>
        <v>0</v>
      </c>
      <c r="AC98" s="377">
        <f t="shared" si="57"/>
        <v>0</v>
      </c>
      <c r="AD98" s="376"/>
      <c r="AE98" s="332">
        <v>83</v>
      </c>
      <c r="AF98" s="350">
        <v>360579.89139896521</v>
      </c>
      <c r="AG98" s="350">
        <v>359280.47622743988</v>
      </c>
      <c r="AH98" s="350">
        <v>357875.22242523578</v>
      </c>
      <c r="AI98" s="350">
        <v>356189.31967276183</v>
      </c>
      <c r="AJ98" s="350">
        <v>354067.90506419149</v>
      </c>
      <c r="AK98" s="348">
        <v>1787992.8147885941</v>
      </c>
      <c r="AL98" s="369"/>
      <c r="AM98" s="350">
        <v>10928206.58205664</v>
      </c>
      <c r="AN98" s="350">
        <v>10832713.445571359</v>
      </c>
      <c r="AO98" s="350">
        <v>10727938.875265073</v>
      </c>
      <c r="AP98" s="350">
        <v>10593231.055637714</v>
      </c>
      <c r="AQ98" s="350">
        <v>10410916.105870638</v>
      </c>
      <c r="AR98" s="348">
        <v>53493006.064401418</v>
      </c>
      <c r="AS98" s="369"/>
      <c r="AT98" s="350">
        <f t="shared" si="75"/>
        <v>10567626.690657675</v>
      </c>
      <c r="AU98" s="350">
        <f t="shared" si="58"/>
        <v>10473432.969343919</v>
      </c>
      <c r="AV98" s="350">
        <f t="shared" si="59"/>
        <v>10370063.652839838</v>
      </c>
      <c r="AW98" s="350">
        <f t="shared" si="60"/>
        <v>10237041.735964952</v>
      </c>
      <c r="AX98" s="350">
        <f t="shared" si="61"/>
        <v>10056848.200806446</v>
      </c>
      <c r="AY98" s="350">
        <f t="shared" si="62"/>
        <v>51705013.249612823</v>
      </c>
      <c r="AZ98" s="365"/>
      <c r="BA98" s="377">
        <f t="shared" si="63"/>
        <v>0</v>
      </c>
      <c r="BB98" s="377">
        <f t="shared" si="64"/>
        <v>0</v>
      </c>
      <c r="BC98" s="377">
        <f t="shared" si="65"/>
        <v>0</v>
      </c>
      <c r="BD98" s="377">
        <f t="shared" si="66"/>
        <v>0</v>
      </c>
      <c r="BE98" s="377">
        <f t="shared" si="67"/>
        <v>0</v>
      </c>
      <c r="BF98" s="377">
        <f t="shared" si="68"/>
        <v>0</v>
      </c>
      <c r="BG98" s="328"/>
    </row>
    <row r="99" spans="2:59">
      <c r="B99" s="332">
        <v>84</v>
      </c>
      <c r="C99" s="350">
        <v>5704374.0414695991</v>
      </c>
      <c r="D99" s="350">
        <v>5683817.2928811423</v>
      </c>
      <c r="E99" s="350">
        <v>5661586.1771085225</v>
      </c>
      <c r="F99" s="350">
        <v>5634915.1948184595</v>
      </c>
      <c r="G99" s="350">
        <v>5601354.4147722609</v>
      </c>
      <c r="H99" s="348">
        <v>28286047.121049985</v>
      </c>
      <c r="I99" s="369"/>
      <c r="J99" s="350">
        <v>18759407.404209577</v>
      </c>
      <c r="K99" s="350">
        <v>18359539.582780655</v>
      </c>
      <c r="L99" s="350">
        <v>17948557.196232043</v>
      </c>
      <c r="M99" s="350">
        <v>17498629.407526884</v>
      </c>
      <c r="N99" s="350">
        <v>16986405.094106652</v>
      </c>
      <c r="O99" s="348">
        <v>89552538.684855819</v>
      </c>
      <c r="P99" s="369"/>
      <c r="Q99" s="350">
        <f t="shared" si="69"/>
        <v>13055033.362739976</v>
      </c>
      <c r="R99" s="350">
        <f t="shared" si="70"/>
        <v>12675722.289899513</v>
      </c>
      <c r="S99" s="350">
        <f t="shared" si="71"/>
        <v>12286971.019123521</v>
      </c>
      <c r="T99" s="350">
        <f t="shared" si="72"/>
        <v>11863714.212708425</v>
      </c>
      <c r="U99" s="350">
        <f t="shared" si="73"/>
        <v>11385050.679334391</v>
      </c>
      <c r="V99" s="350">
        <f t="shared" si="74"/>
        <v>61266491.563805833</v>
      </c>
      <c r="W99" s="365"/>
      <c r="X99" s="377">
        <f t="shared" si="52"/>
        <v>0</v>
      </c>
      <c r="Y99" s="377">
        <f t="shared" si="53"/>
        <v>0</v>
      </c>
      <c r="Z99" s="377">
        <f t="shared" si="54"/>
        <v>0</v>
      </c>
      <c r="AA99" s="377">
        <f t="shared" si="55"/>
        <v>0</v>
      </c>
      <c r="AB99" s="377">
        <f t="shared" si="56"/>
        <v>0</v>
      </c>
      <c r="AC99" s="377">
        <f t="shared" si="57"/>
        <v>0</v>
      </c>
      <c r="AD99" s="376"/>
      <c r="AE99" s="332">
        <v>84</v>
      </c>
      <c r="AF99" s="350">
        <v>465958.42127935542</v>
      </c>
      <c r="AG99" s="350">
        <v>464279.25542359642</v>
      </c>
      <c r="AH99" s="350">
        <v>462463.31987424725</v>
      </c>
      <c r="AI99" s="350">
        <v>460284.71645317052</v>
      </c>
      <c r="AJ99" s="350">
        <v>457543.32397547778</v>
      </c>
      <c r="AK99" s="348">
        <v>2310529.0370058473</v>
      </c>
      <c r="AL99" s="369"/>
      <c r="AM99" s="350">
        <v>11833072.375223951</v>
      </c>
      <c r="AN99" s="350">
        <v>11726168.366251485</v>
      </c>
      <c r="AO99" s="350">
        <v>11609285.962837577</v>
      </c>
      <c r="AP99" s="350">
        <v>11460176.525043657</v>
      </c>
      <c r="AQ99" s="350">
        <v>11259806.5344283</v>
      </c>
      <c r="AR99" s="348">
        <v>57888509.763784967</v>
      </c>
      <c r="AS99" s="369"/>
      <c r="AT99" s="350">
        <f t="shared" si="75"/>
        <v>11367113.953944596</v>
      </c>
      <c r="AU99" s="350">
        <f t="shared" si="58"/>
        <v>11261889.110827889</v>
      </c>
      <c r="AV99" s="350">
        <f t="shared" si="59"/>
        <v>11146822.642963329</v>
      </c>
      <c r="AW99" s="350">
        <f t="shared" si="60"/>
        <v>10999891.808590487</v>
      </c>
      <c r="AX99" s="350">
        <f t="shared" si="61"/>
        <v>10802263.210452823</v>
      </c>
      <c r="AY99" s="350">
        <f t="shared" si="62"/>
        <v>55577980.726779118</v>
      </c>
      <c r="AZ99" s="365"/>
      <c r="BA99" s="377">
        <f t="shared" si="63"/>
        <v>0</v>
      </c>
      <c r="BB99" s="377">
        <f t="shared" si="64"/>
        <v>0</v>
      </c>
      <c r="BC99" s="377">
        <f t="shared" si="65"/>
        <v>0</v>
      </c>
      <c r="BD99" s="377">
        <f t="shared" si="66"/>
        <v>0</v>
      </c>
      <c r="BE99" s="377">
        <f t="shared" si="67"/>
        <v>0</v>
      </c>
      <c r="BF99" s="377">
        <f t="shared" si="68"/>
        <v>0</v>
      </c>
      <c r="BG99" s="328"/>
    </row>
    <row r="100" spans="2:59">
      <c r="B100" s="332">
        <v>85</v>
      </c>
      <c r="C100" s="350">
        <v>5558386.7197735151</v>
      </c>
      <c r="D100" s="350">
        <v>5538356.0630309628</v>
      </c>
      <c r="E100" s="350">
        <v>5516693.8897972377</v>
      </c>
      <c r="F100" s="350">
        <v>5490705.4758736994</v>
      </c>
      <c r="G100" s="350">
        <v>5458003.5890833363</v>
      </c>
      <c r="H100" s="348">
        <v>27562145.737558752</v>
      </c>
      <c r="I100" s="369"/>
      <c r="J100" s="350">
        <v>19817232.943324644</v>
      </c>
      <c r="K100" s="350">
        <v>19416514.262969453</v>
      </c>
      <c r="L100" s="350">
        <v>19003611.217321619</v>
      </c>
      <c r="M100" s="350">
        <v>18548422.867107272</v>
      </c>
      <c r="N100" s="350">
        <v>18025638.73330804</v>
      </c>
      <c r="O100" s="348">
        <v>94811420.024031043</v>
      </c>
      <c r="P100" s="369"/>
      <c r="Q100" s="350">
        <f t="shared" si="69"/>
        <v>14258846.223551128</v>
      </c>
      <c r="R100" s="350">
        <f t="shared" si="70"/>
        <v>13878158.199938491</v>
      </c>
      <c r="S100" s="350">
        <f t="shared" si="71"/>
        <v>13486917.327524383</v>
      </c>
      <c r="T100" s="350">
        <f t="shared" si="72"/>
        <v>13057717.391233573</v>
      </c>
      <c r="U100" s="350">
        <f t="shared" si="73"/>
        <v>12567635.144224703</v>
      </c>
      <c r="V100" s="350">
        <f t="shared" si="74"/>
        <v>67249274.286472291</v>
      </c>
      <c r="W100" s="365"/>
      <c r="X100" s="377">
        <f t="shared" si="52"/>
        <v>0</v>
      </c>
      <c r="Y100" s="377">
        <f t="shared" si="53"/>
        <v>0</v>
      </c>
      <c r="Z100" s="377">
        <f t="shared" si="54"/>
        <v>0</v>
      </c>
      <c r="AA100" s="377">
        <f t="shared" si="55"/>
        <v>0</v>
      </c>
      <c r="AB100" s="377">
        <f t="shared" si="56"/>
        <v>0</v>
      </c>
      <c r="AC100" s="377">
        <f t="shared" si="57"/>
        <v>0</v>
      </c>
      <c r="AD100" s="376"/>
      <c r="AE100" s="332">
        <v>85</v>
      </c>
      <c r="AF100" s="350">
        <v>415269.40799182019</v>
      </c>
      <c r="AG100" s="350">
        <v>413772.90920781589</v>
      </c>
      <c r="AH100" s="350">
        <v>412154.51914103905</v>
      </c>
      <c r="AI100" s="350">
        <v>410212.91381403268</v>
      </c>
      <c r="AJ100" s="350">
        <v>407769.74210751208</v>
      </c>
      <c r="AK100" s="348">
        <v>2059179.49226222</v>
      </c>
      <c r="AL100" s="369"/>
      <c r="AM100" s="350">
        <v>11548981.431115905</v>
      </c>
      <c r="AN100" s="350">
        <v>11446476.75243333</v>
      </c>
      <c r="AO100" s="350">
        <v>11334195.817788098</v>
      </c>
      <c r="AP100" s="350">
        <v>11190364.945781577</v>
      </c>
      <c r="AQ100" s="350">
        <v>10996353.298128605</v>
      </c>
      <c r="AR100" s="348">
        <v>56516372.245247513</v>
      </c>
      <c r="AS100" s="369"/>
      <c r="AT100" s="350">
        <f t="shared" si="75"/>
        <v>11133712.023124084</v>
      </c>
      <c r="AU100" s="350">
        <f t="shared" si="58"/>
        <v>11032703.843225515</v>
      </c>
      <c r="AV100" s="350">
        <f t="shared" si="59"/>
        <v>10922041.298647059</v>
      </c>
      <c r="AW100" s="350">
        <f t="shared" si="60"/>
        <v>10780152.031967545</v>
      </c>
      <c r="AX100" s="350">
        <f t="shared" si="61"/>
        <v>10588583.556021092</v>
      </c>
      <c r="AY100" s="350">
        <f t="shared" si="62"/>
        <v>54457192.752985291</v>
      </c>
      <c r="AZ100" s="365"/>
      <c r="BA100" s="377">
        <f t="shared" si="63"/>
        <v>0</v>
      </c>
      <c r="BB100" s="377">
        <f t="shared" si="64"/>
        <v>0</v>
      </c>
      <c r="BC100" s="377">
        <f t="shared" si="65"/>
        <v>0</v>
      </c>
      <c r="BD100" s="377">
        <f t="shared" si="66"/>
        <v>0</v>
      </c>
      <c r="BE100" s="377">
        <f t="shared" si="67"/>
        <v>0</v>
      </c>
      <c r="BF100" s="377">
        <f t="shared" si="68"/>
        <v>0</v>
      </c>
      <c r="BG100" s="328"/>
    </row>
    <row r="101" spans="2:59">
      <c r="B101" s="332">
        <v>86</v>
      </c>
      <c r="C101" s="350">
        <v>5314756.5275999298</v>
      </c>
      <c r="D101" s="350">
        <v>5295603.8365329569</v>
      </c>
      <c r="E101" s="350">
        <v>5274891.1401337683</v>
      </c>
      <c r="F101" s="350">
        <v>5250041.8269237457</v>
      </c>
      <c r="G101" s="350">
        <v>5218773.2997329999</v>
      </c>
      <c r="H101" s="348">
        <v>26354066.630923398</v>
      </c>
      <c r="I101" s="369"/>
      <c r="J101" s="350">
        <v>17646400.655010797</v>
      </c>
      <c r="K101" s="350">
        <v>17272631.495957717</v>
      </c>
      <c r="L101" s="350">
        <v>16888358.722858172</v>
      </c>
      <c r="M101" s="350">
        <v>16467326.03819268</v>
      </c>
      <c r="N101" s="350">
        <v>15987497.43675483</v>
      </c>
      <c r="O101" s="348">
        <v>84262214.348774195</v>
      </c>
      <c r="P101" s="369"/>
      <c r="Q101" s="350">
        <f t="shared" si="69"/>
        <v>12331644.127410866</v>
      </c>
      <c r="R101" s="350">
        <f t="shared" si="70"/>
        <v>11977027.659424759</v>
      </c>
      <c r="S101" s="350">
        <f t="shared" si="71"/>
        <v>11613467.582724404</v>
      </c>
      <c r="T101" s="350">
        <f t="shared" si="72"/>
        <v>11217284.211268935</v>
      </c>
      <c r="U101" s="350">
        <f t="shared" si="73"/>
        <v>10768724.13702183</v>
      </c>
      <c r="V101" s="350">
        <f t="shared" si="74"/>
        <v>57908147.717850797</v>
      </c>
      <c r="W101" s="365"/>
      <c r="X101" s="377">
        <f t="shared" si="52"/>
        <v>0</v>
      </c>
      <c r="Y101" s="377">
        <f t="shared" si="53"/>
        <v>0</v>
      </c>
      <c r="Z101" s="377">
        <f t="shared" si="54"/>
        <v>0</v>
      </c>
      <c r="AA101" s="377">
        <f t="shared" si="55"/>
        <v>0</v>
      </c>
      <c r="AB101" s="377">
        <f t="shared" si="56"/>
        <v>0</v>
      </c>
      <c r="AC101" s="377">
        <f t="shared" si="57"/>
        <v>0</v>
      </c>
      <c r="AD101" s="376"/>
      <c r="AE101" s="332">
        <v>86</v>
      </c>
      <c r="AF101" s="350">
        <v>347461.30097148975</v>
      </c>
      <c r="AG101" s="350">
        <v>346209.16102478164</v>
      </c>
      <c r="AH101" s="350">
        <v>344855.03306047781</v>
      </c>
      <c r="AI101" s="350">
        <v>343230.46669485699</v>
      </c>
      <c r="AJ101" s="350">
        <v>341186.23323265818</v>
      </c>
      <c r="AK101" s="348">
        <v>1722942.1949842644</v>
      </c>
      <c r="AL101" s="369"/>
      <c r="AM101" s="350">
        <v>11519284.180986471</v>
      </c>
      <c r="AN101" s="350">
        <v>11420139.587693825</v>
      </c>
      <c r="AO101" s="350">
        <v>11311180.646536712</v>
      </c>
      <c r="AP101" s="350">
        <v>11170589.659144361</v>
      </c>
      <c r="AQ101" s="350">
        <v>10979691.985905051</v>
      </c>
      <c r="AR101" s="348">
        <v>56400886.06026642</v>
      </c>
      <c r="AS101" s="369"/>
      <c r="AT101" s="350">
        <f t="shared" si="75"/>
        <v>11171822.880014982</v>
      </c>
      <c r="AU101" s="350">
        <f t="shared" si="58"/>
        <v>11073930.426669044</v>
      </c>
      <c r="AV101" s="350">
        <f t="shared" si="59"/>
        <v>10966325.613476234</v>
      </c>
      <c r="AW101" s="350">
        <f t="shared" si="60"/>
        <v>10827359.192449503</v>
      </c>
      <c r="AX101" s="350">
        <f t="shared" si="61"/>
        <v>10638505.752672393</v>
      </c>
      <c r="AY101" s="350">
        <f t="shared" si="62"/>
        <v>54677943.865282156</v>
      </c>
      <c r="AZ101" s="365"/>
      <c r="BA101" s="377">
        <f t="shared" si="63"/>
        <v>0</v>
      </c>
      <c r="BB101" s="377">
        <f t="shared" si="64"/>
        <v>0</v>
      </c>
      <c r="BC101" s="377">
        <f t="shared" si="65"/>
        <v>0</v>
      </c>
      <c r="BD101" s="377">
        <f t="shared" si="66"/>
        <v>0</v>
      </c>
      <c r="BE101" s="377">
        <f t="shared" si="67"/>
        <v>0</v>
      </c>
      <c r="BF101" s="377">
        <f t="shared" si="68"/>
        <v>0</v>
      </c>
      <c r="BG101" s="328"/>
    </row>
    <row r="102" spans="2:59">
      <c r="B102" s="332">
        <v>87</v>
      </c>
      <c r="C102" s="350">
        <v>6604504.172252303</v>
      </c>
      <c r="D102" s="350">
        <v>6580703.6411452275</v>
      </c>
      <c r="E102" s="350">
        <v>6554964.5336100757</v>
      </c>
      <c r="F102" s="350">
        <v>6524084.9642599225</v>
      </c>
      <c r="G102" s="350">
        <v>6485228.4113361826</v>
      </c>
      <c r="H102" s="348">
        <v>32749485.722603712</v>
      </c>
      <c r="I102" s="369"/>
      <c r="J102" s="350">
        <v>23305274.646094274</v>
      </c>
      <c r="K102" s="350">
        <v>22830880.383073539</v>
      </c>
      <c r="L102" s="350">
        <v>22342221.396636121</v>
      </c>
      <c r="M102" s="350">
        <v>21804000.23361624</v>
      </c>
      <c r="N102" s="350">
        <v>21186544.645738617</v>
      </c>
      <c r="O102" s="348">
        <v>111468921.30515878</v>
      </c>
      <c r="P102" s="369"/>
      <c r="Q102" s="350">
        <f t="shared" si="69"/>
        <v>16700770.473841971</v>
      </c>
      <c r="R102" s="350">
        <f t="shared" si="70"/>
        <v>16250176.741928311</v>
      </c>
      <c r="S102" s="350">
        <f t="shared" si="71"/>
        <v>15787256.863026045</v>
      </c>
      <c r="T102" s="350">
        <f t="shared" si="72"/>
        <v>15279915.269356318</v>
      </c>
      <c r="U102" s="350">
        <f t="shared" si="73"/>
        <v>14701316.234402433</v>
      </c>
      <c r="V102" s="350">
        <f t="shared" si="74"/>
        <v>78719435.582555071</v>
      </c>
      <c r="W102" s="365"/>
      <c r="X102" s="377">
        <f t="shared" si="52"/>
        <v>0</v>
      </c>
      <c r="Y102" s="377">
        <f t="shared" si="53"/>
        <v>0</v>
      </c>
      <c r="Z102" s="377">
        <f t="shared" si="54"/>
        <v>0</v>
      </c>
      <c r="AA102" s="377">
        <f t="shared" si="55"/>
        <v>0</v>
      </c>
      <c r="AB102" s="377">
        <f t="shared" si="56"/>
        <v>0</v>
      </c>
      <c r="AC102" s="377">
        <f t="shared" si="57"/>
        <v>0</v>
      </c>
      <c r="AD102" s="376"/>
      <c r="AE102" s="332">
        <v>87</v>
      </c>
      <c r="AF102" s="350">
        <v>623842.24717987259</v>
      </c>
      <c r="AG102" s="350">
        <v>621594.11826320179</v>
      </c>
      <c r="AH102" s="350">
        <v>619162.87705775409</v>
      </c>
      <c r="AI102" s="350">
        <v>616246.08278631116</v>
      </c>
      <c r="AJ102" s="350">
        <v>612575.80585690145</v>
      </c>
      <c r="AK102" s="348">
        <v>3093421.1311440412</v>
      </c>
      <c r="AL102" s="369"/>
      <c r="AM102" s="350">
        <v>12930485.044158222</v>
      </c>
      <c r="AN102" s="350">
        <v>12808346.35495251</v>
      </c>
      <c r="AO102" s="350">
        <v>12675412.503954249</v>
      </c>
      <c r="AP102" s="350">
        <v>12507543.31329833</v>
      </c>
      <c r="AQ102" s="350">
        <v>12284097.644754527</v>
      </c>
      <c r="AR102" s="348">
        <v>63205884.86111784</v>
      </c>
      <c r="AS102" s="369"/>
      <c r="AT102" s="350">
        <f t="shared" si="75"/>
        <v>12306642.796978349</v>
      </c>
      <c r="AU102" s="350">
        <f t="shared" si="58"/>
        <v>12186752.236689309</v>
      </c>
      <c r="AV102" s="350">
        <f t="shared" si="59"/>
        <v>12056249.626896495</v>
      </c>
      <c r="AW102" s="350">
        <f t="shared" si="60"/>
        <v>11891297.230512019</v>
      </c>
      <c r="AX102" s="350">
        <f t="shared" si="61"/>
        <v>11671521.838897625</v>
      </c>
      <c r="AY102" s="350">
        <f t="shared" si="62"/>
        <v>60112463.7299738</v>
      </c>
      <c r="AZ102" s="365"/>
      <c r="BA102" s="377">
        <f t="shared" si="63"/>
        <v>0</v>
      </c>
      <c r="BB102" s="377">
        <f t="shared" si="64"/>
        <v>0</v>
      </c>
      <c r="BC102" s="377">
        <f t="shared" si="65"/>
        <v>0</v>
      </c>
      <c r="BD102" s="377">
        <f t="shared" si="66"/>
        <v>0</v>
      </c>
      <c r="BE102" s="377">
        <f t="shared" si="67"/>
        <v>0</v>
      </c>
      <c r="BF102" s="377">
        <f t="shared" si="68"/>
        <v>0</v>
      </c>
      <c r="BG102" s="328"/>
    </row>
    <row r="103" spans="2:59">
      <c r="B103" s="332">
        <v>88</v>
      </c>
      <c r="C103" s="350">
        <v>4782488.6703977352</v>
      </c>
      <c r="D103" s="350">
        <v>4765254.1032901444</v>
      </c>
      <c r="E103" s="350">
        <v>4746615.7639140906</v>
      </c>
      <c r="F103" s="350">
        <v>4724255.0860021412</v>
      </c>
      <c r="G103" s="350">
        <v>4696118.0723396707</v>
      </c>
      <c r="H103" s="348">
        <v>23714731.69594378</v>
      </c>
      <c r="I103" s="369"/>
      <c r="J103" s="350">
        <v>16376145.905543096</v>
      </c>
      <c r="K103" s="350">
        <v>16036227.203089952</v>
      </c>
      <c r="L103" s="350">
        <v>15686419.156492703</v>
      </c>
      <c r="M103" s="350">
        <v>15302131.192392655</v>
      </c>
      <c r="N103" s="350">
        <v>14862707.846898651</v>
      </c>
      <c r="O103" s="348">
        <v>78263631.304417059</v>
      </c>
      <c r="P103" s="369"/>
      <c r="Q103" s="350">
        <f t="shared" si="69"/>
        <v>11593657.23514536</v>
      </c>
      <c r="R103" s="350">
        <f t="shared" si="70"/>
        <v>11270973.099799808</v>
      </c>
      <c r="S103" s="350">
        <f t="shared" si="71"/>
        <v>10939803.392578613</v>
      </c>
      <c r="T103" s="350">
        <f t="shared" si="72"/>
        <v>10577876.106390513</v>
      </c>
      <c r="U103" s="350">
        <f t="shared" si="73"/>
        <v>10166589.77455898</v>
      </c>
      <c r="V103" s="350">
        <f t="shared" si="74"/>
        <v>54548899.608473279</v>
      </c>
      <c r="W103" s="365"/>
      <c r="X103" s="377">
        <f t="shared" si="52"/>
        <v>0</v>
      </c>
      <c r="Y103" s="377">
        <f t="shared" si="53"/>
        <v>0</v>
      </c>
      <c r="Z103" s="377">
        <f t="shared" si="54"/>
        <v>0</v>
      </c>
      <c r="AA103" s="377">
        <f t="shared" si="55"/>
        <v>0</v>
      </c>
      <c r="AB103" s="377">
        <f t="shared" si="56"/>
        <v>0</v>
      </c>
      <c r="AC103" s="377">
        <f t="shared" si="57"/>
        <v>0</v>
      </c>
      <c r="AD103" s="376"/>
      <c r="AE103" s="332">
        <v>88</v>
      </c>
      <c r="AF103" s="350">
        <v>303437.26936377911</v>
      </c>
      <c r="AG103" s="350">
        <v>302343.77801602869</v>
      </c>
      <c r="AH103" s="350">
        <v>301161.22073350934</v>
      </c>
      <c r="AI103" s="350">
        <v>299742.49012809817</v>
      </c>
      <c r="AJ103" s="350">
        <v>297957.26507432282</v>
      </c>
      <c r="AK103" s="348">
        <v>1504642.0233157384</v>
      </c>
      <c r="AL103" s="369"/>
      <c r="AM103" s="350">
        <v>11264061.1702205</v>
      </c>
      <c r="AN103" s="350">
        <v>11168798.614917863</v>
      </c>
      <c r="AO103" s="350">
        <v>11063904.744492183</v>
      </c>
      <c r="AP103" s="350">
        <v>10927990.825100167</v>
      </c>
      <c r="AQ103" s="350">
        <v>10742746.059602069</v>
      </c>
      <c r="AR103" s="348">
        <v>55167501.414332777</v>
      </c>
      <c r="AS103" s="369"/>
      <c r="AT103" s="350">
        <f t="shared" si="75"/>
        <v>10960623.90085672</v>
      </c>
      <c r="AU103" s="350">
        <f t="shared" si="58"/>
        <v>10866454.836901834</v>
      </c>
      <c r="AV103" s="350">
        <f t="shared" si="59"/>
        <v>10762743.523758674</v>
      </c>
      <c r="AW103" s="350">
        <f t="shared" si="60"/>
        <v>10628248.334972069</v>
      </c>
      <c r="AX103" s="350">
        <f t="shared" si="61"/>
        <v>10444788.794527747</v>
      </c>
      <c r="AY103" s="350">
        <f t="shared" si="62"/>
        <v>53662859.391017042</v>
      </c>
      <c r="AZ103" s="365"/>
      <c r="BA103" s="377">
        <f t="shared" si="63"/>
        <v>0</v>
      </c>
      <c r="BB103" s="377">
        <f t="shared" si="64"/>
        <v>0</v>
      </c>
      <c r="BC103" s="377">
        <f t="shared" si="65"/>
        <v>0</v>
      </c>
      <c r="BD103" s="377">
        <f t="shared" si="66"/>
        <v>0</v>
      </c>
      <c r="BE103" s="377">
        <f t="shared" si="67"/>
        <v>0</v>
      </c>
      <c r="BF103" s="377">
        <f t="shared" si="68"/>
        <v>0</v>
      </c>
      <c r="BG103" s="328"/>
    </row>
    <row r="104" spans="2:59">
      <c r="B104" s="332">
        <v>89</v>
      </c>
      <c r="C104" s="350">
        <v>4516311.649046571</v>
      </c>
      <c r="D104" s="350">
        <v>4500036.2992112273</v>
      </c>
      <c r="E104" s="350">
        <v>4482435.3062880263</v>
      </c>
      <c r="F104" s="350">
        <v>4461319.1475066356</v>
      </c>
      <c r="G104" s="350">
        <v>4434748.1441376684</v>
      </c>
      <c r="H104" s="348">
        <v>22394850.546190131</v>
      </c>
      <c r="I104" s="369"/>
      <c r="J104" s="350">
        <v>16195180.744325548</v>
      </c>
      <c r="K104" s="350">
        <v>15868915.957362914</v>
      </c>
      <c r="L104" s="350">
        <v>15532668.998688376</v>
      </c>
      <c r="M104" s="350">
        <v>15161801.375100888</v>
      </c>
      <c r="N104" s="350">
        <v>14735592.738914698</v>
      </c>
      <c r="O104" s="348">
        <v>77494159.814392418</v>
      </c>
      <c r="P104" s="369"/>
      <c r="Q104" s="350">
        <f t="shared" si="69"/>
        <v>11678869.095278978</v>
      </c>
      <c r="R104" s="350">
        <f t="shared" si="70"/>
        <v>11368879.658151686</v>
      </c>
      <c r="S104" s="350">
        <f t="shared" si="71"/>
        <v>11050233.692400349</v>
      </c>
      <c r="T104" s="350">
        <f t="shared" si="72"/>
        <v>10700482.227594253</v>
      </c>
      <c r="U104" s="350">
        <f t="shared" si="73"/>
        <v>10300844.594777029</v>
      </c>
      <c r="V104" s="350">
        <f t="shared" si="74"/>
        <v>55099309.26820229</v>
      </c>
      <c r="W104" s="365"/>
      <c r="X104" s="377">
        <f t="shared" si="52"/>
        <v>0</v>
      </c>
      <c r="Y104" s="377">
        <f t="shared" si="53"/>
        <v>0</v>
      </c>
      <c r="Z104" s="377">
        <f t="shared" si="54"/>
        <v>0</v>
      </c>
      <c r="AA104" s="377">
        <f t="shared" si="55"/>
        <v>0</v>
      </c>
      <c r="AB104" s="377">
        <f t="shared" si="56"/>
        <v>0</v>
      </c>
      <c r="AC104" s="377">
        <f t="shared" si="57"/>
        <v>0</v>
      </c>
      <c r="AD104" s="376"/>
      <c r="AE104" s="332">
        <v>89</v>
      </c>
      <c r="AF104" s="350">
        <v>493657.61750758224</v>
      </c>
      <c r="AG104" s="350">
        <v>491878.63256407995</v>
      </c>
      <c r="AH104" s="350">
        <v>489954.7475651186</v>
      </c>
      <c r="AI104" s="350">
        <v>487646.63567095069</v>
      </c>
      <c r="AJ104" s="350">
        <v>484742.27936491958</v>
      </c>
      <c r="AK104" s="348">
        <v>2447879.912672651</v>
      </c>
      <c r="AL104" s="369"/>
      <c r="AM104" s="350">
        <v>14257047.645444641</v>
      </c>
      <c r="AN104" s="350">
        <v>14131388.024894975</v>
      </c>
      <c r="AO104" s="350">
        <v>13993641.772249041</v>
      </c>
      <c r="AP104" s="350">
        <v>13816901.148311926</v>
      </c>
      <c r="AQ104" s="350">
        <v>13578140.567868248</v>
      </c>
      <c r="AR104" s="348">
        <v>69777119.158768833</v>
      </c>
      <c r="AS104" s="369"/>
      <c r="AT104" s="350">
        <f t="shared" si="75"/>
        <v>13763390.027937058</v>
      </c>
      <c r="AU104" s="350">
        <f t="shared" si="58"/>
        <v>13639509.392330896</v>
      </c>
      <c r="AV104" s="350">
        <f t="shared" si="59"/>
        <v>13503687.024683923</v>
      </c>
      <c r="AW104" s="350">
        <f t="shared" si="60"/>
        <v>13329254.512640975</v>
      </c>
      <c r="AX104" s="350">
        <f t="shared" si="61"/>
        <v>13093398.288503328</v>
      </c>
      <c r="AY104" s="350">
        <f t="shared" si="62"/>
        <v>67329239.246096179</v>
      </c>
      <c r="AZ104" s="365"/>
      <c r="BA104" s="377">
        <f t="shared" si="63"/>
        <v>0</v>
      </c>
      <c r="BB104" s="377">
        <f t="shared" si="64"/>
        <v>0</v>
      </c>
      <c r="BC104" s="377">
        <f t="shared" si="65"/>
        <v>0</v>
      </c>
      <c r="BD104" s="377">
        <f t="shared" si="66"/>
        <v>0</v>
      </c>
      <c r="BE104" s="377">
        <f t="shared" si="67"/>
        <v>0</v>
      </c>
      <c r="BF104" s="377">
        <f t="shared" si="68"/>
        <v>0</v>
      </c>
      <c r="BG104" s="328"/>
    </row>
    <row r="105" spans="2:59">
      <c r="B105" s="332">
        <v>90</v>
      </c>
      <c r="C105" s="350">
        <v>7563241.708744064</v>
      </c>
      <c r="D105" s="350">
        <v>7535986.1926804055</v>
      </c>
      <c r="E105" s="350">
        <v>7506510.6883005956</v>
      </c>
      <c r="F105" s="350">
        <v>7471148.5111006256</v>
      </c>
      <c r="G105" s="350">
        <v>7426651.3779220982</v>
      </c>
      <c r="H105" s="348">
        <v>37503538.478747785</v>
      </c>
      <c r="I105" s="369"/>
      <c r="J105" s="350">
        <v>23789952.201598965</v>
      </c>
      <c r="K105" s="350">
        <v>23267582.799394175</v>
      </c>
      <c r="L105" s="350">
        <v>22731430.203452811</v>
      </c>
      <c r="M105" s="350">
        <v>22146693.676639073</v>
      </c>
      <c r="N105" s="350">
        <v>21484212.558375746</v>
      </c>
      <c r="O105" s="348">
        <v>113419871.43946078</v>
      </c>
      <c r="P105" s="369"/>
      <c r="Q105" s="350">
        <f t="shared" si="69"/>
        <v>16226710.492854901</v>
      </c>
      <c r="R105" s="350">
        <f t="shared" si="70"/>
        <v>15731596.60671377</v>
      </c>
      <c r="S105" s="350">
        <f t="shared" si="71"/>
        <v>15224919.515152216</v>
      </c>
      <c r="T105" s="350">
        <f t="shared" si="72"/>
        <v>14675545.165538447</v>
      </c>
      <c r="U105" s="350">
        <f t="shared" si="73"/>
        <v>14057561.180453647</v>
      </c>
      <c r="V105" s="350">
        <f t="shared" si="74"/>
        <v>75916332.960712999</v>
      </c>
      <c r="W105" s="365"/>
      <c r="X105" s="377">
        <f t="shared" si="52"/>
        <v>0</v>
      </c>
      <c r="Y105" s="377">
        <f t="shared" si="53"/>
        <v>0</v>
      </c>
      <c r="Z105" s="377">
        <f t="shared" si="54"/>
        <v>0</v>
      </c>
      <c r="AA105" s="377">
        <f t="shared" si="55"/>
        <v>0</v>
      </c>
      <c r="AB105" s="377">
        <f t="shared" si="56"/>
        <v>0</v>
      </c>
      <c r="AC105" s="377">
        <f t="shared" si="57"/>
        <v>0</v>
      </c>
      <c r="AD105" s="376"/>
      <c r="AE105" s="332">
        <v>90</v>
      </c>
      <c r="AF105" s="350">
        <v>437600.74774833285</v>
      </c>
      <c r="AG105" s="350">
        <v>436023.77392295137</v>
      </c>
      <c r="AH105" s="350">
        <v>434318.35404433613</v>
      </c>
      <c r="AI105" s="350">
        <v>432272.3378279265</v>
      </c>
      <c r="AJ105" s="350">
        <v>429697.78322535858</v>
      </c>
      <c r="AK105" s="348">
        <v>2169912.9967689053</v>
      </c>
      <c r="AL105" s="369"/>
      <c r="AM105" s="350">
        <v>14037592.735386893</v>
      </c>
      <c r="AN105" s="350">
        <v>13916115.638512641</v>
      </c>
      <c r="AO105" s="350">
        <v>13782692.045870746</v>
      </c>
      <c r="AP105" s="350">
        <v>13610755.790354701</v>
      </c>
      <c r="AQ105" s="350">
        <v>13377569.126237668</v>
      </c>
      <c r="AR105" s="348">
        <v>68724725.336362645</v>
      </c>
      <c r="AS105" s="369"/>
      <c r="AT105" s="350">
        <f t="shared" si="75"/>
        <v>13599991.987638561</v>
      </c>
      <c r="AU105" s="350">
        <f t="shared" si="58"/>
        <v>13480091.864589689</v>
      </c>
      <c r="AV105" s="350">
        <f t="shared" si="59"/>
        <v>13348373.691826409</v>
      </c>
      <c r="AW105" s="350">
        <f t="shared" si="60"/>
        <v>13178483.452526774</v>
      </c>
      <c r="AX105" s="350">
        <f t="shared" si="61"/>
        <v>12947871.343012309</v>
      </c>
      <c r="AY105" s="350">
        <f t="shared" si="62"/>
        <v>66554812.339593738</v>
      </c>
      <c r="AZ105" s="365"/>
      <c r="BA105" s="377">
        <f t="shared" si="63"/>
        <v>0</v>
      </c>
      <c r="BB105" s="377">
        <f t="shared" si="64"/>
        <v>0</v>
      </c>
      <c r="BC105" s="377">
        <f t="shared" si="65"/>
        <v>0</v>
      </c>
      <c r="BD105" s="377">
        <f t="shared" si="66"/>
        <v>0</v>
      </c>
      <c r="BE105" s="377">
        <f t="shared" si="67"/>
        <v>0</v>
      </c>
      <c r="BF105" s="377">
        <f t="shared" si="68"/>
        <v>0</v>
      </c>
      <c r="BG105" s="328"/>
    </row>
    <row r="106" spans="2:59">
      <c r="B106" s="332">
        <v>91</v>
      </c>
      <c r="C106" s="350">
        <v>4493904.2495015226</v>
      </c>
      <c r="D106" s="350">
        <v>4477709.648802829</v>
      </c>
      <c r="E106" s="350">
        <v>4460195.9821120659</v>
      </c>
      <c r="F106" s="350">
        <v>4439184.5898400377</v>
      </c>
      <c r="G106" s="350">
        <v>4412745.4168528216</v>
      </c>
      <c r="H106" s="348">
        <v>22283739.887109276</v>
      </c>
      <c r="I106" s="369"/>
      <c r="J106" s="350">
        <v>18066035.221227653</v>
      </c>
      <c r="K106" s="350">
        <v>17727326.1268612</v>
      </c>
      <c r="L106" s="350">
        <v>17376966.213054795</v>
      </c>
      <c r="M106" s="350">
        <v>16986655.424837399</v>
      </c>
      <c r="N106" s="350">
        <v>16532532.120288897</v>
      </c>
      <c r="O106" s="348">
        <v>86689515.106269941</v>
      </c>
      <c r="P106" s="369"/>
      <c r="Q106" s="350">
        <f t="shared" si="69"/>
        <v>13572130.971726131</v>
      </c>
      <c r="R106" s="350">
        <f t="shared" si="70"/>
        <v>13249616.478058372</v>
      </c>
      <c r="S106" s="350">
        <f t="shared" si="71"/>
        <v>12916770.23094273</v>
      </c>
      <c r="T106" s="350">
        <f t="shared" si="72"/>
        <v>12547470.834997362</v>
      </c>
      <c r="U106" s="350">
        <f t="shared" si="73"/>
        <v>12119786.703436077</v>
      </c>
      <c r="V106" s="350">
        <f t="shared" si="74"/>
        <v>64405775.219160661</v>
      </c>
      <c r="W106" s="365"/>
      <c r="X106" s="377">
        <f t="shared" si="52"/>
        <v>0</v>
      </c>
      <c r="Y106" s="377">
        <f t="shared" si="53"/>
        <v>0</v>
      </c>
      <c r="Z106" s="377">
        <f t="shared" si="54"/>
        <v>0</v>
      </c>
      <c r="AA106" s="377">
        <f t="shared" si="55"/>
        <v>0</v>
      </c>
      <c r="AB106" s="377">
        <f t="shared" si="56"/>
        <v>0</v>
      </c>
      <c r="AC106" s="377">
        <f t="shared" si="57"/>
        <v>0</v>
      </c>
      <c r="AD106" s="376"/>
      <c r="AE106" s="332">
        <v>91</v>
      </c>
      <c r="AF106" s="350">
        <v>270976.629730182</v>
      </c>
      <c r="AG106" s="350">
        <v>270000.11619684513</v>
      </c>
      <c r="AH106" s="350">
        <v>268944.06468559912</v>
      </c>
      <c r="AI106" s="350">
        <v>267677.10483338503</v>
      </c>
      <c r="AJ106" s="350">
        <v>266082.85680513125</v>
      </c>
      <c r="AK106" s="348">
        <v>1343680.7722511427</v>
      </c>
      <c r="AL106" s="369"/>
      <c r="AM106" s="350">
        <v>9386949.9867443554</v>
      </c>
      <c r="AN106" s="350">
        <v>9306722.5082119182</v>
      </c>
      <c r="AO106" s="350">
        <v>9218485.8889531735</v>
      </c>
      <c r="AP106" s="350">
        <v>9104442.8736061752</v>
      </c>
      <c r="AQ106" s="350">
        <v>8949358.9666003659</v>
      </c>
      <c r="AR106" s="348">
        <v>45965960.22411599</v>
      </c>
      <c r="AS106" s="369"/>
      <c r="AT106" s="350">
        <f t="shared" si="75"/>
        <v>9115973.3570141736</v>
      </c>
      <c r="AU106" s="350">
        <f t="shared" si="58"/>
        <v>9036722.3920150734</v>
      </c>
      <c r="AV106" s="350">
        <f t="shared" si="59"/>
        <v>8949541.8242675737</v>
      </c>
      <c r="AW106" s="350">
        <f t="shared" si="60"/>
        <v>8836765.7687727902</v>
      </c>
      <c r="AX106" s="350">
        <f t="shared" si="61"/>
        <v>8683276.1097952351</v>
      </c>
      <c r="AY106" s="350">
        <f t="shared" si="62"/>
        <v>44622279.451864846</v>
      </c>
      <c r="AZ106" s="365"/>
      <c r="BA106" s="377">
        <f t="shared" si="63"/>
        <v>0</v>
      </c>
      <c r="BB106" s="377">
        <f t="shared" si="64"/>
        <v>0</v>
      </c>
      <c r="BC106" s="377">
        <f t="shared" si="65"/>
        <v>0</v>
      </c>
      <c r="BD106" s="377">
        <f t="shared" si="66"/>
        <v>0</v>
      </c>
      <c r="BE106" s="377">
        <f t="shared" si="67"/>
        <v>0</v>
      </c>
      <c r="BF106" s="377">
        <f t="shared" si="68"/>
        <v>0</v>
      </c>
      <c r="BG106" s="328"/>
    </row>
    <row r="107" spans="2:59">
      <c r="B107" s="332">
        <v>92</v>
      </c>
      <c r="C107" s="350">
        <v>8558006.5486152507</v>
      </c>
      <c r="D107" s="350">
        <v>8527166.2166595776</v>
      </c>
      <c r="E107" s="350">
        <v>8493813.9096435905</v>
      </c>
      <c r="F107" s="350">
        <v>8453800.6777908038</v>
      </c>
      <c r="G107" s="350">
        <v>8403451.0034314394</v>
      </c>
      <c r="H107" s="348">
        <v>42436238.356140666</v>
      </c>
      <c r="I107" s="369"/>
      <c r="J107" s="350">
        <v>28722316.113978267</v>
      </c>
      <c r="K107" s="350">
        <v>28118243.946110249</v>
      </c>
      <c r="L107" s="350">
        <v>27496987.747112218</v>
      </c>
      <c r="M107" s="350">
        <v>26815672.468562927</v>
      </c>
      <c r="N107" s="350">
        <v>26038303.769644577</v>
      </c>
      <c r="O107" s="348">
        <v>137191524.04540825</v>
      </c>
      <c r="P107" s="369"/>
      <c r="Q107" s="350">
        <f t="shared" si="69"/>
        <v>20164309.565363016</v>
      </c>
      <c r="R107" s="350">
        <f t="shared" si="70"/>
        <v>19591077.729450673</v>
      </c>
      <c r="S107" s="350">
        <f t="shared" si="71"/>
        <v>19003173.837468628</v>
      </c>
      <c r="T107" s="350">
        <f t="shared" si="72"/>
        <v>18361871.790772125</v>
      </c>
      <c r="U107" s="350">
        <f t="shared" si="73"/>
        <v>17634852.766213138</v>
      </c>
      <c r="V107" s="350">
        <f t="shared" si="74"/>
        <v>94755285.689267576</v>
      </c>
      <c r="W107" s="365"/>
      <c r="X107" s="377">
        <f t="shared" si="52"/>
        <v>0</v>
      </c>
      <c r="Y107" s="377">
        <f t="shared" si="53"/>
        <v>0</v>
      </c>
      <c r="Z107" s="377">
        <f t="shared" si="54"/>
        <v>0</v>
      </c>
      <c r="AA107" s="377">
        <f t="shared" si="55"/>
        <v>0</v>
      </c>
      <c r="AB107" s="377">
        <f t="shared" si="56"/>
        <v>0</v>
      </c>
      <c r="AC107" s="377">
        <f t="shared" si="57"/>
        <v>0</v>
      </c>
      <c r="AD107" s="376"/>
      <c r="AE107" s="332">
        <v>92</v>
      </c>
      <c r="AF107" s="350">
        <v>431865.24514428695</v>
      </c>
      <c r="AG107" s="350">
        <v>430308.94024492655</v>
      </c>
      <c r="AH107" s="350">
        <v>428625.87279647769</v>
      </c>
      <c r="AI107" s="350">
        <v>426606.67310494266</v>
      </c>
      <c r="AJ107" s="350">
        <v>424065.86242238234</v>
      </c>
      <c r="AK107" s="348">
        <v>2141472.5937130162</v>
      </c>
      <c r="AL107" s="369"/>
      <c r="AM107" s="350">
        <v>14714176.16681809</v>
      </c>
      <c r="AN107" s="350">
        <v>14588088.793429095</v>
      </c>
      <c r="AO107" s="350">
        <v>14449453.711192278</v>
      </c>
      <c r="AP107" s="350">
        <v>14270384.119195215</v>
      </c>
      <c r="AQ107" s="350">
        <v>14027009.495183591</v>
      </c>
      <c r="AR107" s="348">
        <v>72049112.285818264</v>
      </c>
      <c r="AS107" s="369"/>
      <c r="AT107" s="350">
        <f t="shared" si="75"/>
        <v>14282310.921673803</v>
      </c>
      <c r="AU107" s="350">
        <f t="shared" si="58"/>
        <v>14157779.853184169</v>
      </c>
      <c r="AV107" s="350">
        <f t="shared" si="59"/>
        <v>14020827.8383958</v>
      </c>
      <c r="AW107" s="350">
        <f t="shared" si="60"/>
        <v>13843777.446090274</v>
      </c>
      <c r="AX107" s="350">
        <f t="shared" si="61"/>
        <v>13602943.632761208</v>
      </c>
      <c r="AY107" s="350">
        <f t="shared" si="62"/>
        <v>69907639.692105249</v>
      </c>
      <c r="AZ107" s="365"/>
      <c r="BA107" s="377">
        <f t="shared" si="63"/>
        <v>0</v>
      </c>
      <c r="BB107" s="377">
        <f t="shared" si="64"/>
        <v>0</v>
      </c>
      <c r="BC107" s="377">
        <f t="shared" si="65"/>
        <v>0</v>
      </c>
      <c r="BD107" s="377">
        <f t="shared" si="66"/>
        <v>0</v>
      </c>
      <c r="BE107" s="377">
        <f t="shared" si="67"/>
        <v>0</v>
      </c>
      <c r="BF107" s="377">
        <f t="shared" si="68"/>
        <v>0</v>
      </c>
      <c r="BG107" s="328"/>
    </row>
    <row r="108" spans="2:59">
      <c r="B108" s="332">
        <v>93</v>
      </c>
      <c r="C108" s="350">
        <v>5577886.1620177915</v>
      </c>
      <c r="D108" s="350">
        <v>5557785.2354912255</v>
      </c>
      <c r="E108" s="350">
        <v>5536047.0689311707</v>
      </c>
      <c r="F108" s="350">
        <v>5509967.4847451318</v>
      </c>
      <c r="G108" s="350">
        <v>5477150.8760786382</v>
      </c>
      <c r="H108" s="348">
        <v>27658836.827263955</v>
      </c>
      <c r="I108" s="369"/>
      <c r="J108" s="350">
        <v>19047875.318923328</v>
      </c>
      <c r="K108" s="350">
        <v>18651796.976289716</v>
      </c>
      <c r="L108" s="350">
        <v>18244230.215791568</v>
      </c>
      <c r="M108" s="350">
        <v>17796595.265314434</v>
      </c>
      <c r="N108" s="350">
        <v>17284887.583062168</v>
      </c>
      <c r="O108" s="348">
        <v>91025385.359381214</v>
      </c>
      <c r="P108" s="369"/>
      <c r="Q108" s="350">
        <f t="shared" si="69"/>
        <v>13469989.156905536</v>
      </c>
      <c r="R108" s="350">
        <f t="shared" si="70"/>
        <v>13094011.74079849</v>
      </c>
      <c r="S108" s="350">
        <f t="shared" si="71"/>
        <v>12708183.146860398</v>
      </c>
      <c r="T108" s="350">
        <f t="shared" si="72"/>
        <v>12286627.780569302</v>
      </c>
      <c r="U108" s="350">
        <f t="shared" si="73"/>
        <v>11807736.706983529</v>
      </c>
      <c r="V108" s="350">
        <f t="shared" si="74"/>
        <v>63366548.532117262</v>
      </c>
      <c r="W108" s="365"/>
      <c r="X108" s="377">
        <f t="shared" si="52"/>
        <v>0</v>
      </c>
      <c r="Y108" s="377">
        <f t="shared" si="53"/>
        <v>0</v>
      </c>
      <c r="Z108" s="377">
        <f t="shared" si="54"/>
        <v>0</v>
      </c>
      <c r="AA108" s="377">
        <f t="shared" si="55"/>
        <v>0</v>
      </c>
      <c r="AB108" s="377">
        <f t="shared" si="56"/>
        <v>0</v>
      </c>
      <c r="AC108" s="377">
        <f t="shared" si="57"/>
        <v>0</v>
      </c>
      <c r="AD108" s="376"/>
      <c r="AE108" s="332">
        <v>93</v>
      </c>
      <c r="AF108" s="350">
        <v>538341.39923831879</v>
      </c>
      <c r="AG108" s="350">
        <v>536401.38816638547</v>
      </c>
      <c r="AH108" s="350">
        <v>534303.36130407639</v>
      </c>
      <c r="AI108" s="350">
        <v>531786.32896701153</v>
      </c>
      <c r="AJ108" s="350">
        <v>528619.0827173345</v>
      </c>
      <c r="AK108" s="348">
        <v>2669451.5603931267</v>
      </c>
      <c r="AL108" s="369"/>
      <c r="AM108" s="350">
        <v>12795256.762221783</v>
      </c>
      <c r="AN108" s="350">
        <v>12678059.636949906</v>
      </c>
      <c r="AO108" s="350">
        <v>12550105.423093833</v>
      </c>
      <c r="AP108" s="350">
        <v>12387388.061502021</v>
      </c>
      <c r="AQ108" s="350">
        <v>12169373.757799735</v>
      </c>
      <c r="AR108" s="348">
        <v>62580183.641567282</v>
      </c>
      <c r="AS108" s="369"/>
      <c r="AT108" s="350">
        <f t="shared" si="75"/>
        <v>12256915.362983465</v>
      </c>
      <c r="AU108" s="350">
        <f t="shared" si="58"/>
        <v>12141658.248783521</v>
      </c>
      <c r="AV108" s="350">
        <f t="shared" si="59"/>
        <v>12015802.061789757</v>
      </c>
      <c r="AW108" s="350">
        <f t="shared" si="60"/>
        <v>11855601.732535008</v>
      </c>
      <c r="AX108" s="350">
        <f t="shared" si="61"/>
        <v>11640754.6750824</v>
      </c>
      <c r="AY108" s="350">
        <f t="shared" si="62"/>
        <v>59910732.081174158</v>
      </c>
      <c r="AZ108" s="365"/>
      <c r="BA108" s="377">
        <f t="shared" si="63"/>
        <v>0</v>
      </c>
      <c r="BB108" s="377">
        <f t="shared" si="64"/>
        <v>0</v>
      </c>
      <c r="BC108" s="377">
        <f t="shared" si="65"/>
        <v>0</v>
      </c>
      <c r="BD108" s="377">
        <f t="shared" si="66"/>
        <v>0</v>
      </c>
      <c r="BE108" s="377">
        <f t="shared" si="67"/>
        <v>0</v>
      </c>
      <c r="BF108" s="377">
        <f t="shared" si="68"/>
        <v>0</v>
      </c>
      <c r="BG108" s="328"/>
    </row>
    <row r="109" spans="2:59">
      <c r="B109" s="332">
        <v>94</v>
      </c>
      <c r="C109" s="350">
        <v>5696106.6812198563</v>
      </c>
      <c r="D109" s="350">
        <v>5675579.7255665939</v>
      </c>
      <c r="E109" s="350">
        <v>5653380.8293927414</v>
      </c>
      <c r="F109" s="350">
        <v>5626748.5014085183</v>
      </c>
      <c r="G109" s="350">
        <v>5593236.3610652704</v>
      </c>
      <c r="H109" s="348">
        <v>28245052.098652981</v>
      </c>
      <c r="I109" s="369"/>
      <c r="J109" s="350">
        <v>17353875.609986715</v>
      </c>
      <c r="K109" s="350">
        <v>16964521.542167164</v>
      </c>
      <c r="L109" s="350">
        <v>16565282.745961739</v>
      </c>
      <c r="M109" s="350">
        <v>16131041.621985875</v>
      </c>
      <c r="N109" s="350">
        <v>15640772.540429078</v>
      </c>
      <c r="O109" s="348">
        <v>82655494.060530573</v>
      </c>
      <c r="P109" s="369"/>
      <c r="Q109" s="350">
        <f t="shared" si="69"/>
        <v>11657768.928766858</v>
      </c>
      <c r="R109" s="350">
        <f t="shared" si="70"/>
        <v>11288941.81660057</v>
      </c>
      <c r="S109" s="350">
        <f t="shared" si="71"/>
        <v>10911901.916568998</v>
      </c>
      <c r="T109" s="350">
        <f t="shared" si="72"/>
        <v>10504293.120577358</v>
      </c>
      <c r="U109" s="350">
        <f t="shared" si="73"/>
        <v>10047536.179363808</v>
      </c>
      <c r="V109" s="350">
        <f t="shared" si="74"/>
        <v>54410441.961877592</v>
      </c>
      <c r="W109" s="365"/>
      <c r="X109" s="377">
        <f t="shared" si="52"/>
        <v>0</v>
      </c>
      <c r="Y109" s="377">
        <f t="shared" si="53"/>
        <v>0</v>
      </c>
      <c r="Z109" s="377">
        <f t="shared" si="54"/>
        <v>0</v>
      </c>
      <c r="AA109" s="377">
        <f t="shared" si="55"/>
        <v>0</v>
      </c>
      <c r="AB109" s="377">
        <f t="shared" si="56"/>
        <v>0</v>
      </c>
      <c r="AC109" s="377">
        <f t="shared" si="57"/>
        <v>0</v>
      </c>
      <c r="AD109" s="376"/>
      <c r="AE109" s="332">
        <v>94</v>
      </c>
      <c r="AF109" s="350">
        <v>553761.3694103373</v>
      </c>
      <c r="AG109" s="350">
        <v>551765.78967341746</v>
      </c>
      <c r="AH109" s="350">
        <v>549607.66802426381</v>
      </c>
      <c r="AI109" s="350">
        <v>547018.53912614239</v>
      </c>
      <c r="AJ109" s="350">
        <v>543760.57192733034</v>
      </c>
      <c r="AK109" s="348">
        <v>2745913.9381614914</v>
      </c>
      <c r="AL109" s="369"/>
      <c r="AM109" s="350">
        <v>12644171.098512359</v>
      </c>
      <c r="AN109" s="350">
        <v>12527347.472692737</v>
      </c>
      <c r="AO109" s="350">
        <v>12399914.408925951</v>
      </c>
      <c r="AP109" s="350">
        <v>12238181.94124637</v>
      </c>
      <c r="AQ109" s="350">
        <v>12021888.660866035</v>
      </c>
      <c r="AR109" s="348">
        <v>61831503.58224345</v>
      </c>
      <c r="AS109" s="369"/>
      <c r="AT109" s="350">
        <f t="shared" si="75"/>
        <v>12090409.729102021</v>
      </c>
      <c r="AU109" s="350">
        <f t="shared" si="58"/>
        <v>11975581.68301932</v>
      </c>
      <c r="AV109" s="350">
        <f t="shared" si="59"/>
        <v>11850306.740901686</v>
      </c>
      <c r="AW109" s="350">
        <f t="shared" si="60"/>
        <v>11691163.402120227</v>
      </c>
      <c r="AX109" s="350">
        <f t="shared" si="61"/>
        <v>11478128.088938706</v>
      </c>
      <c r="AY109" s="350">
        <f t="shared" si="62"/>
        <v>59085589.644081958</v>
      </c>
      <c r="AZ109" s="365"/>
      <c r="BA109" s="377">
        <f t="shared" si="63"/>
        <v>0</v>
      </c>
      <c r="BB109" s="377">
        <f t="shared" si="64"/>
        <v>0</v>
      </c>
      <c r="BC109" s="377">
        <f t="shared" si="65"/>
        <v>0</v>
      </c>
      <c r="BD109" s="377">
        <f t="shared" si="66"/>
        <v>0</v>
      </c>
      <c r="BE109" s="377">
        <f t="shared" si="67"/>
        <v>0</v>
      </c>
      <c r="BF109" s="377">
        <f t="shared" si="68"/>
        <v>0</v>
      </c>
      <c r="BG109" s="328"/>
    </row>
    <row r="110" spans="2:59">
      <c r="B110" s="332">
        <v>95</v>
      </c>
      <c r="C110" s="350">
        <v>3541652.7720787963</v>
      </c>
      <c r="D110" s="350">
        <v>3528889.7826440297</v>
      </c>
      <c r="E110" s="350">
        <v>3515087.2352952543</v>
      </c>
      <c r="F110" s="350">
        <v>3498528.125097543</v>
      </c>
      <c r="G110" s="350">
        <v>3477691.3726651715</v>
      </c>
      <c r="H110" s="348">
        <v>17561849.287780795</v>
      </c>
      <c r="I110" s="369"/>
      <c r="J110" s="350">
        <v>11251340.248676939</v>
      </c>
      <c r="K110" s="350">
        <v>11005928.10063101</v>
      </c>
      <c r="L110" s="350">
        <v>10753963.772893107</v>
      </c>
      <c r="M110" s="350">
        <v>10478935.466636008</v>
      </c>
      <c r="N110" s="350">
        <v>10167003.223468535</v>
      </c>
      <c r="O110" s="348">
        <v>53657170.812305599</v>
      </c>
      <c r="P110" s="369"/>
      <c r="Q110" s="350">
        <f t="shared" si="69"/>
        <v>7709687.4765981426</v>
      </c>
      <c r="R110" s="350">
        <f t="shared" si="70"/>
        <v>7477038.3179869801</v>
      </c>
      <c r="S110" s="350">
        <f t="shared" si="71"/>
        <v>7238876.5375978518</v>
      </c>
      <c r="T110" s="350">
        <f t="shared" si="72"/>
        <v>6980407.3415384647</v>
      </c>
      <c r="U110" s="350">
        <f t="shared" si="73"/>
        <v>6689311.8508033631</v>
      </c>
      <c r="V110" s="350">
        <f t="shared" si="74"/>
        <v>36095321.524524808</v>
      </c>
      <c r="W110" s="365"/>
      <c r="X110" s="377">
        <f t="shared" si="52"/>
        <v>0</v>
      </c>
      <c r="Y110" s="377">
        <f t="shared" si="53"/>
        <v>0</v>
      </c>
      <c r="Z110" s="377">
        <f t="shared" si="54"/>
        <v>0</v>
      </c>
      <c r="AA110" s="377">
        <f t="shared" si="55"/>
        <v>0</v>
      </c>
      <c r="AB110" s="377">
        <f t="shared" si="56"/>
        <v>0</v>
      </c>
      <c r="AC110" s="377">
        <f t="shared" si="57"/>
        <v>0</v>
      </c>
      <c r="AD110" s="376"/>
      <c r="AE110" s="332">
        <v>95</v>
      </c>
      <c r="AF110" s="350">
        <v>494605.19034352148</v>
      </c>
      <c r="AG110" s="350">
        <v>492822.79064909014</v>
      </c>
      <c r="AH110" s="350">
        <v>490895.21276441257</v>
      </c>
      <c r="AI110" s="350">
        <v>488582.67046330741</v>
      </c>
      <c r="AJ110" s="350">
        <v>485672.73926276661</v>
      </c>
      <c r="AK110" s="348">
        <v>2452578.6034830981</v>
      </c>
      <c r="AL110" s="369"/>
      <c r="AM110" s="350">
        <v>13563905.060377894</v>
      </c>
      <c r="AN110" s="350">
        <v>13443197.206495557</v>
      </c>
      <c r="AO110" s="350">
        <v>13311013.978937462</v>
      </c>
      <c r="AP110" s="350">
        <v>13141793.20962576</v>
      </c>
      <c r="AQ110" s="350">
        <v>12913663.042130537</v>
      </c>
      <c r="AR110" s="348">
        <v>66373572.497567207</v>
      </c>
      <c r="AS110" s="369"/>
      <c r="AT110" s="350">
        <f t="shared" si="75"/>
        <v>13069299.870034372</v>
      </c>
      <c r="AU110" s="350">
        <f t="shared" si="58"/>
        <v>12950374.415846467</v>
      </c>
      <c r="AV110" s="350">
        <f t="shared" si="59"/>
        <v>12820118.76617305</v>
      </c>
      <c r="AW110" s="350">
        <f t="shared" si="60"/>
        <v>12653210.539162453</v>
      </c>
      <c r="AX110" s="350">
        <f t="shared" si="61"/>
        <v>12427990.30286777</v>
      </c>
      <c r="AY110" s="350">
        <f t="shared" si="62"/>
        <v>63920993.894084111</v>
      </c>
      <c r="AZ110" s="365"/>
      <c r="BA110" s="377">
        <f t="shared" si="63"/>
        <v>0</v>
      </c>
      <c r="BB110" s="377">
        <f t="shared" si="64"/>
        <v>0</v>
      </c>
      <c r="BC110" s="377">
        <f t="shared" si="65"/>
        <v>0</v>
      </c>
      <c r="BD110" s="377">
        <f t="shared" si="66"/>
        <v>0</v>
      </c>
      <c r="BE110" s="377">
        <f t="shared" si="67"/>
        <v>0</v>
      </c>
      <c r="BF110" s="377">
        <f t="shared" si="68"/>
        <v>0</v>
      </c>
      <c r="BG110" s="328"/>
    </row>
    <row r="111" spans="2:59">
      <c r="B111" s="332">
        <v>96</v>
      </c>
      <c r="C111" s="350">
        <v>6419229.8327985574</v>
      </c>
      <c r="D111" s="350">
        <v>6396096.9714460168</v>
      </c>
      <c r="E111" s="350">
        <v>6371079.9160168711</v>
      </c>
      <c r="F111" s="350">
        <v>6341066.6027345108</v>
      </c>
      <c r="G111" s="350">
        <v>6303300.0820052605</v>
      </c>
      <c r="H111" s="348">
        <v>31830773.405001216</v>
      </c>
      <c r="I111" s="369"/>
      <c r="J111" s="350">
        <v>21084944.0627199</v>
      </c>
      <c r="K111" s="350">
        <v>20635148.576490745</v>
      </c>
      <c r="L111" s="350">
        <v>20172867.99201972</v>
      </c>
      <c r="M111" s="350">
        <v>19666832.928291842</v>
      </c>
      <c r="N111" s="350">
        <v>19090808.095071808</v>
      </c>
      <c r="O111" s="348">
        <v>100650601.65459402</v>
      </c>
      <c r="P111" s="369"/>
      <c r="Q111" s="350">
        <f t="shared" si="69"/>
        <v>14665714.229921343</v>
      </c>
      <c r="R111" s="350">
        <f t="shared" si="70"/>
        <v>14239051.605044728</v>
      </c>
      <c r="S111" s="350">
        <f t="shared" si="71"/>
        <v>13801788.076002849</v>
      </c>
      <c r="T111" s="350">
        <f t="shared" si="72"/>
        <v>13325766.325557332</v>
      </c>
      <c r="U111" s="350">
        <f t="shared" si="73"/>
        <v>12787508.013066547</v>
      </c>
      <c r="V111" s="350">
        <f t="shared" si="74"/>
        <v>68819828.249592811</v>
      </c>
      <c r="W111" s="365"/>
      <c r="X111" s="377">
        <f t="shared" si="52"/>
        <v>0</v>
      </c>
      <c r="Y111" s="377">
        <f t="shared" si="53"/>
        <v>0</v>
      </c>
      <c r="Z111" s="377">
        <f t="shared" si="54"/>
        <v>0</v>
      </c>
      <c r="AA111" s="377">
        <f t="shared" si="55"/>
        <v>0</v>
      </c>
      <c r="AB111" s="377">
        <f t="shared" si="56"/>
        <v>0</v>
      </c>
      <c r="AC111" s="377">
        <f t="shared" si="57"/>
        <v>0</v>
      </c>
      <c r="AD111" s="376"/>
      <c r="AE111" s="332">
        <v>96</v>
      </c>
      <c r="AF111" s="350">
        <v>352069.56967540644</v>
      </c>
      <c r="AG111" s="350">
        <v>350800.82299490314</v>
      </c>
      <c r="AH111" s="350">
        <v>349428.73566217022</v>
      </c>
      <c r="AI111" s="350">
        <v>347782.62318963272</v>
      </c>
      <c r="AJ111" s="350">
        <v>345711.27770931559</v>
      </c>
      <c r="AK111" s="348">
        <v>1745793.0292314282</v>
      </c>
      <c r="AL111" s="369"/>
      <c r="AM111" s="350">
        <v>12589441.257557157</v>
      </c>
      <c r="AN111" s="350">
        <v>12482369.846525164</v>
      </c>
      <c r="AO111" s="350">
        <v>12364546.10518506</v>
      </c>
      <c r="AP111" s="350">
        <v>12212083.977663742</v>
      </c>
      <c r="AQ111" s="350">
        <v>12004535.90138177</v>
      </c>
      <c r="AR111" s="348">
        <v>61652977.088312894</v>
      </c>
      <c r="AS111" s="369"/>
      <c r="AT111" s="350">
        <f t="shared" si="75"/>
        <v>12237371.687881751</v>
      </c>
      <c r="AU111" s="350">
        <f t="shared" si="58"/>
        <v>12131569.023530262</v>
      </c>
      <c r="AV111" s="350">
        <f t="shared" si="59"/>
        <v>12015117.36952289</v>
      </c>
      <c r="AW111" s="350">
        <f t="shared" si="60"/>
        <v>11864301.354474111</v>
      </c>
      <c r="AX111" s="350">
        <f t="shared" si="61"/>
        <v>11658824.623672454</v>
      </c>
      <c r="AY111" s="350">
        <f t="shared" si="62"/>
        <v>59907184.059081465</v>
      </c>
      <c r="AZ111" s="365"/>
      <c r="BA111" s="377">
        <f t="shared" si="63"/>
        <v>0</v>
      </c>
      <c r="BB111" s="377">
        <f t="shared" si="64"/>
        <v>0</v>
      </c>
      <c r="BC111" s="377">
        <f t="shared" si="65"/>
        <v>0</v>
      </c>
      <c r="BD111" s="377">
        <f t="shared" si="66"/>
        <v>0</v>
      </c>
      <c r="BE111" s="377">
        <f t="shared" si="67"/>
        <v>0</v>
      </c>
      <c r="BF111" s="377">
        <f t="shared" si="68"/>
        <v>0</v>
      </c>
      <c r="BG111" s="328"/>
    </row>
    <row r="112" spans="2:59">
      <c r="B112" s="332">
        <v>97</v>
      </c>
      <c r="C112" s="350">
        <v>4720808.47299885</v>
      </c>
      <c r="D112" s="350">
        <v>4703796.1816925295</v>
      </c>
      <c r="E112" s="350">
        <v>4685398.2226981428</v>
      </c>
      <c r="F112" s="350">
        <v>4663325.9325112104</v>
      </c>
      <c r="G112" s="350">
        <v>4635551.8045086004</v>
      </c>
      <c r="H112" s="348">
        <v>23408880.614409331</v>
      </c>
      <c r="I112" s="369"/>
      <c r="J112" s="350">
        <v>16008718.606769228</v>
      </c>
      <c r="K112" s="350">
        <v>15674309.820481697</v>
      </c>
      <c r="L112" s="350">
        <v>15330276.798823774</v>
      </c>
      <c r="M112" s="350">
        <v>14952649.064321833</v>
      </c>
      <c r="N112" s="350">
        <v>14521297.286028679</v>
      </c>
      <c r="O112" s="348">
        <v>76487251.57642521</v>
      </c>
      <c r="P112" s="369"/>
      <c r="Q112" s="350">
        <f t="shared" si="69"/>
        <v>11287910.133770378</v>
      </c>
      <c r="R112" s="350">
        <f t="shared" si="70"/>
        <v>10970513.638789168</v>
      </c>
      <c r="S112" s="350">
        <f t="shared" si="71"/>
        <v>10644878.576125631</v>
      </c>
      <c r="T112" s="350">
        <f t="shared" si="72"/>
        <v>10289323.131810622</v>
      </c>
      <c r="U112" s="350">
        <f t="shared" si="73"/>
        <v>9885745.4815200791</v>
      </c>
      <c r="V112" s="350">
        <f t="shared" si="74"/>
        <v>53078370.962015882</v>
      </c>
      <c r="W112" s="365"/>
      <c r="X112" s="377">
        <f t="shared" si="52"/>
        <v>0</v>
      </c>
      <c r="Y112" s="377">
        <f t="shared" si="53"/>
        <v>0</v>
      </c>
      <c r="Z112" s="377">
        <f t="shared" si="54"/>
        <v>0</v>
      </c>
      <c r="AA112" s="377">
        <f t="shared" si="55"/>
        <v>0</v>
      </c>
      <c r="AB112" s="377">
        <f t="shared" si="56"/>
        <v>0</v>
      </c>
      <c r="AC112" s="377">
        <f t="shared" si="57"/>
        <v>0</v>
      </c>
      <c r="AD112" s="376"/>
      <c r="AE112" s="332">
        <v>97</v>
      </c>
      <c r="AF112" s="350">
        <v>399452.27863925626</v>
      </c>
      <c r="AG112" s="350">
        <v>398012.7797555264</v>
      </c>
      <c r="AH112" s="350">
        <v>396456.03228638973</v>
      </c>
      <c r="AI112" s="350">
        <v>394588.38045082259</v>
      </c>
      <c r="AJ112" s="350">
        <v>392238.26631649217</v>
      </c>
      <c r="AK112" s="348">
        <v>1980747.7374484872</v>
      </c>
      <c r="AL112" s="369"/>
      <c r="AM112" s="350">
        <v>12843222.703122502</v>
      </c>
      <c r="AN112" s="350">
        <v>12732123.813721359</v>
      </c>
      <c r="AO112" s="350">
        <v>12610094.012731079</v>
      </c>
      <c r="AP112" s="350">
        <v>12452826.108024469</v>
      </c>
      <c r="AQ112" s="350">
        <v>12239515.706530288</v>
      </c>
      <c r="AR112" s="348">
        <v>62877782.344129704</v>
      </c>
      <c r="AS112" s="369"/>
      <c r="AT112" s="350">
        <f t="shared" si="75"/>
        <v>12443770.424483245</v>
      </c>
      <c r="AU112" s="350">
        <f t="shared" si="58"/>
        <v>12334111.033965832</v>
      </c>
      <c r="AV112" s="350">
        <f t="shared" si="59"/>
        <v>12213637.980444688</v>
      </c>
      <c r="AW112" s="350">
        <f t="shared" si="60"/>
        <v>12058237.727573646</v>
      </c>
      <c r="AX112" s="350">
        <f t="shared" si="61"/>
        <v>11847277.440213796</v>
      </c>
      <c r="AY112" s="350">
        <f t="shared" si="62"/>
        <v>60897034.60668122</v>
      </c>
      <c r="AZ112" s="365"/>
      <c r="BA112" s="377">
        <f t="shared" si="63"/>
        <v>0</v>
      </c>
      <c r="BB112" s="377">
        <f t="shared" si="64"/>
        <v>0</v>
      </c>
      <c r="BC112" s="377">
        <f t="shared" si="65"/>
        <v>0</v>
      </c>
      <c r="BD112" s="377">
        <f t="shared" si="66"/>
        <v>0</v>
      </c>
      <c r="BE112" s="377">
        <f t="shared" si="67"/>
        <v>0</v>
      </c>
      <c r="BF112" s="377">
        <f t="shared" si="68"/>
        <v>0</v>
      </c>
      <c r="BG112" s="328"/>
    </row>
    <row r="113" spans="2:59">
      <c r="B113" s="332">
        <v>98</v>
      </c>
      <c r="C113" s="350">
        <v>8225620.1390598379</v>
      </c>
      <c r="D113" s="350">
        <v>8195977.6219398975</v>
      </c>
      <c r="E113" s="350">
        <v>8163920.6929440675</v>
      </c>
      <c r="F113" s="350">
        <v>8125461.5443225466</v>
      </c>
      <c r="G113" s="350">
        <v>8077067.4126923811</v>
      </c>
      <c r="H113" s="348">
        <v>40788047.41095873</v>
      </c>
      <c r="I113" s="369"/>
      <c r="J113" s="350">
        <v>30244050.067812949</v>
      </c>
      <c r="K113" s="350">
        <v>29644431.7158527</v>
      </c>
      <c r="L113" s="350">
        <v>29025974.431401469</v>
      </c>
      <c r="M113" s="350">
        <v>28342354.138938349</v>
      </c>
      <c r="N113" s="350">
        <v>27554589.707542807</v>
      </c>
      <c r="O113" s="348">
        <v>144811400.06154829</v>
      </c>
      <c r="P113" s="369"/>
      <c r="Q113" s="350">
        <f t="shared" si="69"/>
        <v>22018429.928753112</v>
      </c>
      <c r="R113" s="350">
        <f t="shared" si="70"/>
        <v>21448454.093912803</v>
      </c>
      <c r="S113" s="350">
        <f t="shared" si="71"/>
        <v>20862053.7384574</v>
      </c>
      <c r="T113" s="350">
        <f t="shared" si="72"/>
        <v>20216892.594615802</v>
      </c>
      <c r="U113" s="350">
        <f t="shared" si="73"/>
        <v>19477522.294850424</v>
      </c>
      <c r="V113" s="350">
        <f t="shared" si="74"/>
        <v>104023352.65058956</v>
      </c>
      <c r="W113" s="365"/>
      <c r="X113" s="377">
        <f t="shared" si="52"/>
        <v>0</v>
      </c>
      <c r="Y113" s="377">
        <f t="shared" si="53"/>
        <v>0</v>
      </c>
      <c r="Z113" s="377">
        <f t="shared" si="54"/>
        <v>0</v>
      </c>
      <c r="AA113" s="377">
        <f t="shared" si="55"/>
        <v>0</v>
      </c>
      <c r="AB113" s="377">
        <f t="shared" si="56"/>
        <v>0</v>
      </c>
      <c r="AC113" s="377">
        <f t="shared" si="57"/>
        <v>0</v>
      </c>
      <c r="AD113" s="376"/>
      <c r="AE113" s="332">
        <v>98</v>
      </c>
      <c r="AF113" s="350">
        <v>459853.86017403827</v>
      </c>
      <c r="AG113" s="350">
        <v>458196.69321368349</v>
      </c>
      <c r="AH113" s="350">
        <v>456404.54839118471</v>
      </c>
      <c r="AI113" s="350">
        <v>454254.48703974544</v>
      </c>
      <c r="AJ113" s="350">
        <v>451549.00977922539</v>
      </c>
      <c r="AK113" s="348">
        <v>2280258.5985978777</v>
      </c>
      <c r="AL113" s="369"/>
      <c r="AM113" s="350">
        <v>15137958.6808623</v>
      </c>
      <c r="AN113" s="350">
        <v>15007518.38416509</v>
      </c>
      <c r="AO113" s="350">
        <v>14864183.725216798</v>
      </c>
      <c r="AP113" s="350">
        <v>14679288.0376831</v>
      </c>
      <c r="AQ113" s="350">
        <v>14428294.673351645</v>
      </c>
      <c r="AR113" s="348">
        <v>74117243.501278937</v>
      </c>
      <c r="AS113" s="369"/>
      <c r="AT113" s="350">
        <f t="shared" si="75"/>
        <v>14678104.820688263</v>
      </c>
      <c r="AU113" s="350">
        <f t="shared" si="58"/>
        <v>14549321.690951407</v>
      </c>
      <c r="AV113" s="350">
        <f t="shared" si="59"/>
        <v>14407779.176825615</v>
      </c>
      <c r="AW113" s="350">
        <f t="shared" si="60"/>
        <v>14225033.550643355</v>
      </c>
      <c r="AX113" s="350">
        <f t="shared" si="61"/>
        <v>13976745.663572419</v>
      </c>
      <c r="AY113" s="350">
        <f t="shared" si="62"/>
        <v>71836984.902681053</v>
      </c>
      <c r="AZ113" s="365"/>
      <c r="BA113" s="377">
        <f t="shared" si="63"/>
        <v>0</v>
      </c>
      <c r="BB113" s="377">
        <f t="shared" si="64"/>
        <v>0</v>
      </c>
      <c r="BC113" s="377">
        <f t="shared" si="65"/>
        <v>0</v>
      </c>
      <c r="BD113" s="377">
        <f t="shared" si="66"/>
        <v>0</v>
      </c>
      <c r="BE113" s="377">
        <f t="shared" si="67"/>
        <v>0</v>
      </c>
      <c r="BF113" s="377">
        <f t="shared" si="68"/>
        <v>0</v>
      </c>
      <c r="BG113" s="328"/>
    </row>
    <row r="114" spans="2:59">
      <c r="B114" s="332">
        <v>99</v>
      </c>
      <c r="C114" s="350">
        <v>5330969.599193872</v>
      </c>
      <c r="D114" s="350">
        <v>5311758.481376797</v>
      </c>
      <c r="E114" s="350">
        <v>5290982.5993118351</v>
      </c>
      <c r="F114" s="350">
        <v>5266057.4813698279</v>
      </c>
      <c r="G114" s="350">
        <v>5234693.5671435045</v>
      </c>
      <c r="H114" s="348">
        <v>26434461.728395835</v>
      </c>
      <c r="I114" s="369"/>
      <c r="J114" s="350">
        <v>16994634.599463806</v>
      </c>
      <c r="K114" s="350">
        <v>16624810.728451282</v>
      </c>
      <c r="L114" s="350">
        <v>16245072.529637346</v>
      </c>
      <c r="M114" s="350">
        <v>15830451.91311758</v>
      </c>
      <c r="N114" s="350">
        <v>15360018.785974622</v>
      </c>
      <c r="O114" s="348">
        <v>81054988.556644633</v>
      </c>
      <c r="P114" s="369"/>
      <c r="Q114" s="350">
        <f t="shared" si="69"/>
        <v>11663665.000269935</v>
      </c>
      <c r="R114" s="350">
        <f t="shared" si="70"/>
        <v>11313052.247074485</v>
      </c>
      <c r="S114" s="350">
        <f t="shared" si="71"/>
        <v>10954089.930325512</v>
      </c>
      <c r="T114" s="350">
        <f t="shared" si="72"/>
        <v>10564394.431747753</v>
      </c>
      <c r="U114" s="350">
        <f t="shared" si="73"/>
        <v>10125325.218831118</v>
      </c>
      <c r="V114" s="350">
        <f t="shared" si="74"/>
        <v>54620526.828248799</v>
      </c>
      <c r="W114" s="365"/>
      <c r="X114" s="377">
        <f t="shared" si="52"/>
        <v>0</v>
      </c>
      <c r="Y114" s="377">
        <f t="shared" si="53"/>
        <v>0</v>
      </c>
      <c r="Z114" s="377">
        <f t="shared" si="54"/>
        <v>0</v>
      </c>
      <c r="AA114" s="377">
        <f t="shared" si="55"/>
        <v>0</v>
      </c>
      <c r="AB114" s="377">
        <f t="shared" si="56"/>
        <v>0</v>
      </c>
      <c r="AC114" s="377">
        <f t="shared" si="57"/>
        <v>0</v>
      </c>
      <c r="AD114" s="376"/>
      <c r="AE114" s="332">
        <v>99</v>
      </c>
      <c r="AF114" s="350">
        <v>565804.68566039042</v>
      </c>
      <c r="AG114" s="350">
        <v>563765.70564457518</v>
      </c>
      <c r="AH114" s="350">
        <v>561560.64872156049</v>
      </c>
      <c r="AI114" s="350">
        <v>558915.21091520751</v>
      </c>
      <c r="AJ114" s="350">
        <v>555586.38877512491</v>
      </c>
      <c r="AK114" s="348">
        <v>2805632.639716858</v>
      </c>
      <c r="AL114" s="369"/>
      <c r="AM114" s="350">
        <v>16506123.419901742</v>
      </c>
      <c r="AN114" s="350">
        <v>16360906.534402704</v>
      </c>
      <c r="AO114" s="350">
        <v>16201690.901007447</v>
      </c>
      <c r="AP114" s="350">
        <v>15997315.451070104</v>
      </c>
      <c r="AQ114" s="350">
        <v>15721114.399084643</v>
      </c>
      <c r="AR114" s="348">
        <v>80787150.705466643</v>
      </c>
      <c r="AS114" s="369"/>
      <c r="AT114" s="350">
        <f t="shared" si="75"/>
        <v>15940318.734241351</v>
      </c>
      <c r="AU114" s="350">
        <f t="shared" si="58"/>
        <v>15797140.828758128</v>
      </c>
      <c r="AV114" s="350">
        <f t="shared" si="59"/>
        <v>15640130.252285887</v>
      </c>
      <c r="AW114" s="350">
        <f t="shared" si="60"/>
        <v>15438400.240154896</v>
      </c>
      <c r="AX114" s="350">
        <f t="shared" si="61"/>
        <v>15165528.010309517</v>
      </c>
      <c r="AY114" s="350">
        <f t="shared" si="62"/>
        <v>77981518.065749779</v>
      </c>
      <c r="AZ114" s="365"/>
      <c r="BA114" s="377">
        <f t="shared" si="63"/>
        <v>0</v>
      </c>
      <c r="BB114" s="377">
        <f t="shared" si="64"/>
        <v>0</v>
      </c>
      <c r="BC114" s="377">
        <f t="shared" si="65"/>
        <v>0</v>
      </c>
      <c r="BD114" s="377">
        <f t="shared" si="66"/>
        <v>0</v>
      </c>
      <c r="BE114" s="377">
        <f t="shared" si="67"/>
        <v>0</v>
      </c>
      <c r="BF114" s="377">
        <f t="shared" si="68"/>
        <v>0</v>
      </c>
      <c r="BG114" s="328"/>
    </row>
    <row r="115" spans="2:59">
      <c r="B115" s="332">
        <v>100</v>
      </c>
      <c r="C115" s="350">
        <v>3607676.5583248171</v>
      </c>
      <c r="D115" s="350">
        <v>3594675.6401769519</v>
      </c>
      <c r="E115" s="350">
        <v>3580615.7845897768</v>
      </c>
      <c r="F115" s="350">
        <v>3563747.9780792207</v>
      </c>
      <c r="G115" s="350">
        <v>3542522.7851708368</v>
      </c>
      <c r="H115" s="348">
        <v>17889238.746341605</v>
      </c>
      <c r="I115" s="369"/>
      <c r="J115" s="350">
        <v>11345733.188321026</v>
      </c>
      <c r="K115" s="350">
        <v>11096577.455449365</v>
      </c>
      <c r="L115" s="350">
        <v>10840848.975201851</v>
      </c>
      <c r="M115" s="350">
        <v>10561951.833294677</v>
      </c>
      <c r="N115" s="350">
        <v>10245979.857010972</v>
      </c>
      <c r="O115" s="348">
        <v>54091091.309277892</v>
      </c>
      <c r="P115" s="369"/>
      <c r="Q115" s="350">
        <f t="shared" si="69"/>
        <v>7738056.6299962085</v>
      </c>
      <c r="R115" s="350">
        <f t="shared" si="70"/>
        <v>7501901.8152724132</v>
      </c>
      <c r="S115" s="350">
        <f t="shared" si="71"/>
        <v>7260233.190612074</v>
      </c>
      <c r="T115" s="350">
        <f t="shared" si="72"/>
        <v>6998203.8552154563</v>
      </c>
      <c r="U115" s="350">
        <f t="shared" si="73"/>
        <v>6703457.0718401354</v>
      </c>
      <c r="V115" s="350">
        <f t="shared" si="74"/>
        <v>36201852.562936291</v>
      </c>
      <c r="W115" s="365"/>
      <c r="X115" s="377">
        <f t="shared" si="52"/>
        <v>0</v>
      </c>
      <c r="Y115" s="377">
        <f t="shared" si="53"/>
        <v>0</v>
      </c>
      <c r="Z115" s="377">
        <f t="shared" si="54"/>
        <v>0</v>
      </c>
      <c r="AA115" s="377">
        <f t="shared" si="55"/>
        <v>0</v>
      </c>
      <c r="AB115" s="377">
        <f t="shared" si="56"/>
        <v>0</v>
      </c>
      <c r="AC115" s="377">
        <f t="shared" si="57"/>
        <v>0</v>
      </c>
      <c r="AD115" s="376"/>
      <c r="AE115" s="332">
        <v>100</v>
      </c>
      <c r="AF115" s="350">
        <v>333784.08705039421</v>
      </c>
      <c r="AG115" s="350">
        <v>332581.23542978859</v>
      </c>
      <c r="AH115" s="350">
        <v>331280.4103737296</v>
      </c>
      <c r="AI115" s="350">
        <v>329719.7922568763</v>
      </c>
      <c r="AJ115" s="350">
        <v>327756.02651378448</v>
      </c>
      <c r="AK115" s="348">
        <v>1655121.5516245733</v>
      </c>
      <c r="AL115" s="369"/>
      <c r="AM115" s="350">
        <v>9183142.9436865952</v>
      </c>
      <c r="AN115" s="350">
        <v>9101470.341815738</v>
      </c>
      <c r="AO115" s="350">
        <v>9012027.5703425519</v>
      </c>
      <c r="AP115" s="350">
        <v>8897506.712314941</v>
      </c>
      <c r="AQ115" s="350">
        <v>8743098.4288896881</v>
      </c>
      <c r="AR115" s="348">
        <v>44937245.99704951</v>
      </c>
      <c r="AS115" s="369"/>
      <c r="AT115" s="350">
        <f t="shared" si="75"/>
        <v>8849358.8566362001</v>
      </c>
      <c r="AU115" s="350">
        <f t="shared" si="58"/>
        <v>8768889.10638595</v>
      </c>
      <c r="AV115" s="350">
        <f t="shared" si="59"/>
        <v>8680747.1599688232</v>
      </c>
      <c r="AW115" s="350">
        <f t="shared" si="60"/>
        <v>8567786.9200580642</v>
      </c>
      <c r="AX115" s="350">
        <f t="shared" si="61"/>
        <v>8415342.402375903</v>
      </c>
      <c r="AY115" s="350">
        <f t="shared" si="62"/>
        <v>43282124.445424937</v>
      </c>
      <c r="AZ115" s="365"/>
      <c r="BA115" s="377">
        <f t="shared" si="63"/>
        <v>0</v>
      </c>
      <c r="BB115" s="377">
        <f t="shared" si="64"/>
        <v>0</v>
      </c>
      <c r="BC115" s="377">
        <f t="shared" si="65"/>
        <v>0</v>
      </c>
      <c r="BD115" s="377">
        <f t="shared" si="66"/>
        <v>0</v>
      </c>
      <c r="BE115" s="377">
        <f t="shared" si="67"/>
        <v>0</v>
      </c>
      <c r="BF115" s="377">
        <f t="shared" si="68"/>
        <v>0</v>
      </c>
      <c r="BG115" s="328"/>
    </row>
    <row r="116" spans="2:59">
      <c r="B116" s="332">
        <v>101</v>
      </c>
      <c r="C116" s="350">
        <v>5838478.3763478789</v>
      </c>
      <c r="D116" s="350">
        <v>5817438.3584161643</v>
      </c>
      <c r="E116" s="350">
        <v>5794684.6105418224</v>
      </c>
      <c r="F116" s="350">
        <v>5767386.6191681093</v>
      </c>
      <c r="G116" s="350">
        <v>5733036.8575345576</v>
      </c>
      <c r="H116" s="348">
        <v>28951024.822008535</v>
      </c>
      <c r="I116" s="369"/>
      <c r="J116" s="350">
        <v>19170569.838016599</v>
      </c>
      <c r="K116" s="350">
        <v>18761516.672074787</v>
      </c>
      <c r="L116" s="350">
        <v>18341113.93609513</v>
      </c>
      <c r="M116" s="350">
        <v>17880934.408513609</v>
      </c>
      <c r="N116" s="350">
        <v>17357127.638576522</v>
      </c>
      <c r="O116" s="348">
        <v>91511262.493276641</v>
      </c>
      <c r="P116" s="369"/>
      <c r="Q116" s="350">
        <f t="shared" si="69"/>
        <v>13332091.46166872</v>
      </c>
      <c r="R116" s="350">
        <f t="shared" si="70"/>
        <v>12944078.313658623</v>
      </c>
      <c r="S116" s="350">
        <f t="shared" si="71"/>
        <v>12546429.325553307</v>
      </c>
      <c r="T116" s="350">
        <f t="shared" si="72"/>
        <v>12113547.789345499</v>
      </c>
      <c r="U116" s="350">
        <f t="shared" si="73"/>
        <v>11624090.781041965</v>
      </c>
      <c r="V116" s="350">
        <f t="shared" si="74"/>
        <v>62560237.671268106</v>
      </c>
      <c r="W116" s="365"/>
      <c r="X116" s="377">
        <f t="shared" si="52"/>
        <v>0</v>
      </c>
      <c r="Y116" s="377">
        <f t="shared" si="53"/>
        <v>0</v>
      </c>
      <c r="Z116" s="377">
        <f t="shared" si="54"/>
        <v>0</v>
      </c>
      <c r="AA116" s="377">
        <f t="shared" si="55"/>
        <v>0</v>
      </c>
      <c r="AB116" s="377">
        <f t="shared" si="56"/>
        <v>0</v>
      </c>
      <c r="AC116" s="377">
        <f t="shared" si="57"/>
        <v>0</v>
      </c>
      <c r="AD116" s="376"/>
      <c r="AE116" s="332">
        <v>101</v>
      </c>
      <c r="AF116" s="350">
        <v>495224.76140743122</v>
      </c>
      <c r="AG116" s="350">
        <v>493440.12897606823</v>
      </c>
      <c r="AH116" s="350">
        <v>491510.13649586251</v>
      </c>
      <c r="AI116" s="350">
        <v>489194.69737053924</v>
      </c>
      <c r="AJ116" s="350">
        <v>486281.12102189841</v>
      </c>
      <c r="AK116" s="348">
        <v>2455650.8452717992</v>
      </c>
      <c r="AL116" s="369"/>
      <c r="AM116" s="350">
        <v>15886638.703958265</v>
      </c>
      <c r="AN116" s="350">
        <v>15749161.31860923</v>
      </c>
      <c r="AO116" s="350">
        <v>15598163.816643208</v>
      </c>
      <c r="AP116" s="350">
        <v>15403580.682672789</v>
      </c>
      <c r="AQ116" s="350">
        <v>15139679.108380197</v>
      </c>
      <c r="AR116" s="348">
        <v>77777223.630263686</v>
      </c>
      <c r="AS116" s="369"/>
      <c r="AT116" s="350">
        <f t="shared" si="75"/>
        <v>15391413.942550834</v>
      </c>
      <c r="AU116" s="350">
        <f t="shared" si="58"/>
        <v>15255721.189633163</v>
      </c>
      <c r="AV116" s="350">
        <f t="shared" si="59"/>
        <v>15106653.680147346</v>
      </c>
      <c r="AW116" s="350">
        <f t="shared" si="60"/>
        <v>14914385.985302251</v>
      </c>
      <c r="AX116" s="350">
        <f t="shared" si="61"/>
        <v>14653397.987358298</v>
      </c>
      <c r="AY116" s="350">
        <f t="shared" si="62"/>
        <v>75321572.78499189</v>
      </c>
      <c r="AZ116" s="365"/>
      <c r="BA116" s="377">
        <f t="shared" si="63"/>
        <v>0</v>
      </c>
      <c r="BB116" s="377">
        <f t="shared" si="64"/>
        <v>0</v>
      </c>
      <c r="BC116" s="377">
        <f t="shared" si="65"/>
        <v>0</v>
      </c>
      <c r="BD116" s="377">
        <f t="shared" si="66"/>
        <v>0</v>
      </c>
      <c r="BE116" s="377">
        <f t="shared" si="67"/>
        <v>0</v>
      </c>
      <c r="BF116" s="377">
        <f t="shared" si="68"/>
        <v>0</v>
      </c>
      <c r="BG116" s="328"/>
    </row>
    <row r="117" spans="2:59">
      <c r="B117" s="332">
        <v>102</v>
      </c>
      <c r="C117" s="350">
        <v>5565643.4005108988</v>
      </c>
      <c r="D117" s="350">
        <v>5545586.5930004576</v>
      </c>
      <c r="E117" s="350">
        <v>5523896.1389933424</v>
      </c>
      <c r="F117" s="350">
        <v>5497873.7962281788</v>
      </c>
      <c r="G117" s="350">
        <v>5465129.2159074955</v>
      </c>
      <c r="H117" s="348">
        <v>27598129.144640371</v>
      </c>
      <c r="I117" s="369"/>
      <c r="J117" s="350">
        <v>18268801.807359226</v>
      </c>
      <c r="K117" s="350">
        <v>17878906.549764976</v>
      </c>
      <c r="L117" s="350">
        <v>17478197.304216336</v>
      </c>
      <c r="M117" s="350">
        <v>17039586.743197903</v>
      </c>
      <c r="N117" s="350">
        <v>16540348.798360053</v>
      </c>
      <c r="O117" s="348">
        <v>87205841.202898487</v>
      </c>
      <c r="P117" s="369"/>
      <c r="Q117" s="350">
        <f t="shared" si="69"/>
        <v>12703158.406848326</v>
      </c>
      <c r="R117" s="350">
        <f t="shared" si="70"/>
        <v>12333319.956764519</v>
      </c>
      <c r="S117" s="350">
        <f t="shared" si="71"/>
        <v>11954301.165222995</v>
      </c>
      <c r="T117" s="350">
        <f t="shared" si="72"/>
        <v>11541712.946969725</v>
      </c>
      <c r="U117" s="350">
        <f t="shared" si="73"/>
        <v>11075219.582452558</v>
      </c>
      <c r="V117" s="350">
        <f t="shared" si="74"/>
        <v>59607712.058258116</v>
      </c>
      <c r="W117" s="365"/>
      <c r="X117" s="377">
        <f t="shared" si="52"/>
        <v>0</v>
      </c>
      <c r="Y117" s="377">
        <f t="shared" si="53"/>
        <v>0</v>
      </c>
      <c r="Z117" s="377">
        <f t="shared" si="54"/>
        <v>0</v>
      </c>
      <c r="AA117" s="377">
        <f t="shared" si="55"/>
        <v>0</v>
      </c>
      <c r="AB117" s="377">
        <f t="shared" si="56"/>
        <v>0</v>
      </c>
      <c r="AC117" s="377">
        <f t="shared" si="57"/>
        <v>0</v>
      </c>
      <c r="AD117" s="376"/>
      <c r="AE117" s="332">
        <v>102</v>
      </c>
      <c r="AF117" s="350">
        <v>375268.52348209807</v>
      </c>
      <c r="AG117" s="350">
        <v>373916.17515530513</v>
      </c>
      <c r="AH117" s="350">
        <v>372453.67674080736</v>
      </c>
      <c r="AI117" s="350">
        <v>370699.09682177566</v>
      </c>
      <c r="AJ117" s="350">
        <v>368491.26397573738</v>
      </c>
      <c r="AK117" s="348">
        <v>1860828.7361757236</v>
      </c>
      <c r="AL117" s="369"/>
      <c r="AM117" s="350">
        <v>10663525.692230638</v>
      </c>
      <c r="AN117" s="350">
        <v>10569258.708677234</v>
      </c>
      <c r="AO117" s="350">
        <v>10465957.277625451</v>
      </c>
      <c r="AP117" s="350">
        <v>10333504.866255937</v>
      </c>
      <c r="AQ117" s="350">
        <v>10154687.83910118</v>
      </c>
      <c r="AR117" s="348">
        <v>52186934.383890443</v>
      </c>
      <c r="AS117" s="369"/>
      <c r="AT117" s="350">
        <f t="shared" si="75"/>
        <v>10288257.168748541</v>
      </c>
      <c r="AU117" s="350">
        <f t="shared" si="58"/>
        <v>10195342.53352193</v>
      </c>
      <c r="AV117" s="350">
        <f t="shared" si="59"/>
        <v>10093503.600884644</v>
      </c>
      <c r="AW117" s="350">
        <f t="shared" si="60"/>
        <v>9962805.7694341615</v>
      </c>
      <c r="AX117" s="350">
        <f t="shared" si="61"/>
        <v>9786196.5751254428</v>
      </c>
      <c r="AY117" s="350">
        <f t="shared" si="62"/>
        <v>50326105.647714719</v>
      </c>
      <c r="AZ117" s="365"/>
      <c r="BA117" s="377">
        <f t="shared" si="63"/>
        <v>0</v>
      </c>
      <c r="BB117" s="377">
        <f t="shared" si="64"/>
        <v>0</v>
      </c>
      <c r="BC117" s="377">
        <f t="shared" si="65"/>
        <v>0</v>
      </c>
      <c r="BD117" s="377">
        <f t="shared" si="66"/>
        <v>0</v>
      </c>
      <c r="BE117" s="377">
        <f t="shared" si="67"/>
        <v>0</v>
      </c>
      <c r="BF117" s="377">
        <f t="shared" si="68"/>
        <v>0</v>
      </c>
      <c r="BG117" s="328"/>
    </row>
    <row r="118" spans="2:59">
      <c r="B118" s="332">
        <v>103</v>
      </c>
      <c r="C118" s="350">
        <v>7011139.6274029333</v>
      </c>
      <c r="D118" s="350">
        <v>6985873.7115300745</v>
      </c>
      <c r="E118" s="350">
        <v>6958549.862213444</v>
      </c>
      <c r="F118" s="350">
        <v>6925769.0558574451</v>
      </c>
      <c r="G118" s="350">
        <v>6884520.1277195122</v>
      </c>
      <c r="H118" s="348">
        <v>34765852.38472341</v>
      </c>
      <c r="I118" s="369"/>
      <c r="J118" s="350">
        <v>23677623.030402362</v>
      </c>
      <c r="K118" s="350">
        <v>23181678.72924073</v>
      </c>
      <c r="L118" s="350">
        <v>22671527.078294728</v>
      </c>
      <c r="M118" s="350">
        <v>22111757.87968193</v>
      </c>
      <c r="N118" s="350">
        <v>21472638.579409372</v>
      </c>
      <c r="O118" s="348">
        <v>113115225.29702912</v>
      </c>
      <c r="P118" s="369"/>
      <c r="Q118" s="350">
        <f t="shared" si="69"/>
        <v>16666483.402999429</v>
      </c>
      <c r="R118" s="350">
        <f t="shared" si="70"/>
        <v>16195805.017710656</v>
      </c>
      <c r="S118" s="350">
        <f t="shared" si="71"/>
        <v>15712977.216081284</v>
      </c>
      <c r="T118" s="350">
        <f t="shared" si="72"/>
        <v>15185988.823824484</v>
      </c>
      <c r="U118" s="350">
        <f t="shared" si="73"/>
        <v>14588118.45168986</v>
      </c>
      <c r="V118" s="350">
        <f t="shared" si="74"/>
        <v>78349372.912305713</v>
      </c>
      <c r="W118" s="365"/>
      <c r="X118" s="377">
        <f t="shared" si="52"/>
        <v>0</v>
      </c>
      <c r="Y118" s="377">
        <f t="shared" si="53"/>
        <v>0</v>
      </c>
      <c r="Z118" s="377">
        <f t="shared" si="54"/>
        <v>0</v>
      </c>
      <c r="AA118" s="377">
        <f t="shared" si="55"/>
        <v>0</v>
      </c>
      <c r="AB118" s="377">
        <f t="shared" si="56"/>
        <v>0</v>
      </c>
      <c r="AC118" s="377">
        <f t="shared" si="57"/>
        <v>0</v>
      </c>
      <c r="AD118" s="376"/>
      <c r="AE118" s="332">
        <v>103</v>
      </c>
      <c r="AF118" s="350">
        <v>684043.51651622169</v>
      </c>
      <c r="AG118" s="350">
        <v>681578.44138433866</v>
      </c>
      <c r="AH118" s="350">
        <v>678912.5834832557</v>
      </c>
      <c r="AI118" s="350">
        <v>675714.31626199617</v>
      </c>
      <c r="AJ118" s="350">
        <v>671689.85471144971</v>
      </c>
      <c r="AK118" s="348">
        <v>3391938.7123572621</v>
      </c>
      <c r="AL118" s="369"/>
      <c r="AM118" s="350">
        <v>19746999.060857195</v>
      </c>
      <c r="AN118" s="350">
        <v>19572938.160174195</v>
      </c>
      <c r="AO118" s="350">
        <v>19382136.714454483</v>
      </c>
      <c r="AP118" s="350">
        <v>19137326.079893686</v>
      </c>
      <c r="AQ118" s="350">
        <v>18806614.628509626</v>
      </c>
      <c r="AR118" s="348">
        <v>96646014.643889174</v>
      </c>
      <c r="AS118" s="369"/>
      <c r="AT118" s="350">
        <f t="shared" si="75"/>
        <v>19062955.544340976</v>
      </c>
      <c r="AU118" s="350">
        <f t="shared" si="58"/>
        <v>18891359.718789857</v>
      </c>
      <c r="AV118" s="350">
        <f t="shared" si="59"/>
        <v>18703224.130971227</v>
      </c>
      <c r="AW118" s="350">
        <f t="shared" si="60"/>
        <v>18461611.76363169</v>
      </c>
      <c r="AX118" s="350">
        <f t="shared" si="61"/>
        <v>18134924.773798175</v>
      </c>
      <c r="AY118" s="350">
        <f t="shared" si="62"/>
        <v>93254075.931531906</v>
      </c>
      <c r="AZ118" s="365"/>
      <c r="BA118" s="377">
        <f t="shared" si="63"/>
        <v>0</v>
      </c>
      <c r="BB118" s="377">
        <f t="shared" si="64"/>
        <v>0</v>
      </c>
      <c r="BC118" s="377">
        <f t="shared" si="65"/>
        <v>0</v>
      </c>
      <c r="BD118" s="377">
        <f t="shared" si="66"/>
        <v>0</v>
      </c>
      <c r="BE118" s="377">
        <f t="shared" si="67"/>
        <v>0</v>
      </c>
      <c r="BF118" s="377">
        <f t="shared" si="68"/>
        <v>0</v>
      </c>
      <c r="BG118" s="328"/>
    </row>
    <row r="119" spans="2:59">
      <c r="B119" s="332">
        <v>104</v>
      </c>
      <c r="C119" s="350">
        <v>9220583.3599008378</v>
      </c>
      <c r="D119" s="350">
        <v>9187355.3119870014</v>
      </c>
      <c r="E119" s="350">
        <v>9151420.8072236627</v>
      </c>
      <c r="F119" s="350">
        <v>9108309.6764127892</v>
      </c>
      <c r="G119" s="350">
        <v>9054061.8364588078</v>
      </c>
      <c r="H119" s="348">
        <v>45721730.991983101</v>
      </c>
      <c r="I119" s="369"/>
      <c r="J119" s="350">
        <v>28296220.129486181</v>
      </c>
      <c r="K119" s="350">
        <v>27664477.865652196</v>
      </c>
      <c r="L119" s="350">
        <v>27016554.513270915</v>
      </c>
      <c r="M119" s="350">
        <v>26311394.14540372</v>
      </c>
      <c r="N119" s="350">
        <v>25514621.311674837</v>
      </c>
      <c r="O119" s="348">
        <v>134803267.96548784</v>
      </c>
      <c r="P119" s="369"/>
      <c r="Q119" s="350">
        <f t="shared" si="69"/>
        <v>19075636.769585341</v>
      </c>
      <c r="R119" s="350">
        <f t="shared" si="70"/>
        <v>18477122.553665195</v>
      </c>
      <c r="S119" s="350">
        <f t="shared" si="71"/>
        <v>17865133.706047252</v>
      </c>
      <c r="T119" s="350">
        <f t="shared" si="72"/>
        <v>17203084.468990929</v>
      </c>
      <c r="U119" s="350">
        <f t="shared" si="73"/>
        <v>16460559.475216029</v>
      </c>
      <c r="V119" s="350">
        <f t="shared" si="74"/>
        <v>89081536.973504737</v>
      </c>
      <c r="W119" s="365"/>
      <c r="X119" s="377">
        <f t="shared" si="52"/>
        <v>0</v>
      </c>
      <c r="Y119" s="377">
        <f t="shared" si="53"/>
        <v>0</v>
      </c>
      <c r="Z119" s="377">
        <f t="shared" si="54"/>
        <v>0</v>
      </c>
      <c r="AA119" s="377">
        <f t="shared" si="55"/>
        <v>0</v>
      </c>
      <c r="AB119" s="377">
        <f t="shared" si="56"/>
        <v>0</v>
      </c>
      <c r="AC119" s="377">
        <f t="shared" si="57"/>
        <v>0</v>
      </c>
      <c r="AD119" s="376"/>
      <c r="AE119" s="332">
        <v>104</v>
      </c>
      <c r="AF119" s="350">
        <v>390820.37634944014</v>
      </c>
      <c r="AG119" s="350">
        <v>389411.98409439938</v>
      </c>
      <c r="AH119" s="350">
        <v>387888.87691914034</v>
      </c>
      <c r="AI119" s="350">
        <v>386061.58381731465</v>
      </c>
      <c r="AJ119" s="350">
        <v>383762.25411121821</v>
      </c>
      <c r="AK119" s="348">
        <v>1937945.0752915128</v>
      </c>
      <c r="AL119" s="369"/>
      <c r="AM119" s="350">
        <v>11524052.155494163</v>
      </c>
      <c r="AN119" s="350">
        <v>11422861.496215587</v>
      </c>
      <c r="AO119" s="350">
        <v>11311893.369572543</v>
      </c>
      <c r="AP119" s="350">
        <v>11169385.801978547</v>
      </c>
      <c r="AQ119" s="350">
        <v>10976715.807000533</v>
      </c>
      <c r="AR119" s="348">
        <v>56404908.630261377</v>
      </c>
      <c r="AS119" s="369"/>
      <c r="AT119" s="350">
        <f t="shared" si="75"/>
        <v>11133231.779144723</v>
      </c>
      <c r="AU119" s="350">
        <f t="shared" si="58"/>
        <v>11033449.512121188</v>
      </c>
      <c r="AV119" s="350">
        <f t="shared" si="59"/>
        <v>10924004.492653402</v>
      </c>
      <c r="AW119" s="350">
        <f t="shared" si="60"/>
        <v>10783324.218161233</v>
      </c>
      <c r="AX119" s="350">
        <f t="shared" si="61"/>
        <v>10592953.552889315</v>
      </c>
      <c r="AY119" s="350">
        <f t="shared" si="62"/>
        <v>54466963.554969862</v>
      </c>
      <c r="AZ119" s="365"/>
      <c r="BA119" s="377">
        <f t="shared" si="63"/>
        <v>0</v>
      </c>
      <c r="BB119" s="377">
        <f t="shared" si="64"/>
        <v>0</v>
      </c>
      <c r="BC119" s="377">
        <f t="shared" si="65"/>
        <v>0</v>
      </c>
      <c r="BD119" s="377">
        <f t="shared" si="66"/>
        <v>0</v>
      </c>
      <c r="BE119" s="377">
        <f t="shared" si="67"/>
        <v>0</v>
      </c>
      <c r="BF119" s="377">
        <f t="shared" si="68"/>
        <v>0</v>
      </c>
      <c r="BG119" s="328"/>
    </row>
    <row r="120" spans="2:59">
      <c r="B120" s="332">
        <v>105</v>
      </c>
      <c r="C120" s="350">
        <v>6470826.1129555684</v>
      </c>
      <c r="D120" s="350">
        <v>6447507.3150302181</v>
      </c>
      <c r="E120" s="350">
        <v>6422289.1783134043</v>
      </c>
      <c r="F120" s="350">
        <v>6392034.6249818634</v>
      </c>
      <c r="G120" s="350">
        <v>6353964.5457206955</v>
      </c>
      <c r="H120" s="348">
        <v>32086621.777001753</v>
      </c>
      <c r="I120" s="369"/>
      <c r="J120" s="350">
        <v>19188263.713407345</v>
      </c>
      <c r="K120" s="350">
        <v>18749744.414437383</v>
      </c>
      <c r="L120" s="350">
        <v>18300459.060427934</v>
      </c>
      <c r="M120" s="350">
        <v>17812893.651745502</v>
      </c>
      <c r="N120" s="350">
        <v>17264037.239730701</v>
      </c>
      <c r="O120" s="348">
        <v>91315398.079748869</v>
      </c>
      <c r="P120" s="369"/>
      <c r="Q120" s="350">
        <f t="shared" si="69"/>
        <v>12717437.600451777</v>
      </c>
      <c r="R120" s="350">
        <f t="shared" si="70"/>
        <v>12302237.099407166</v>
      </c>
      <c r="S120" s="350">
        <f t="shared" si="71"/>
        <v>11878169.88211453</v>
      </c>
      <c r="T120" s="350">
        <f t="shared" si="72"/>
        <v>11420859.026763638</v>
      </c>
      <c r="U120" s="350">
        <f t="shared" si="73"/>
        <v>10910072.694010004</v>
      </c>
      <c r="V120" s="350">
        <f t="shared" si="74"/>
        <v>59228776.302747115</v>
      </c>
      <c r="W120" s="365"/>
      <c r="X120" s="377">
        <f t="shared" si="52"/>
        <v>0</v>
      </c>
      <c r="Y120" s="377">
        <f t="shared" si="53"/>
        <v>0</v>
      </c>
      <c r="Z120" s="377">
        <f t="shared" si="54"/>
        <v>0</v>
      </c>
      <c r="AA120" s="377">
        <f t="shared" si="55"/>
        <v>0</v>
      </c>
      <c r="AB120" s="377">
        <f t="shared" si="56"/>
        <v>0</v>
      </c>
      <c r="AC120" s="377">
        <f t="shared" si="57"/>
        <v>0</v>
      </c>
      <c r="AD120" s="376"/>
      <c r="AE120" s="332">
        <v>105</v>
      </c>
      <c r="AF120" s="350">
        <v>487595.71722880611</v>
      </c>
      <c r="AG120" s="350">
        <v>485838.57744466636</v>
      </c>
      <c r="AH120" s="350">
        <v>483938.31691456365</v>
      </c>
      <c r="AI120" s="350">
        <v>481658.5476279814</v>
      </c>
      <c r="AJ120" s="350">
        <v>478789.85555091547</v>
      </c>
      <c r="AK120" s="348">
        <v>2417821.0147669329</v>
      </c>
      <c r="AL120" s="369"/>
      <c r="AM120" s="350">
        <v>11091912.513370877</v>
      </c>
      <c r="AN120" s="350">
        <v>10989346.422054922</v>
      </c>
      <c r="AO120" s="350">
        <v>10877475.079051957</v>
      </c>
      <c r="AP120" s="350">
        <v>10735519.533552077</v>
      </c>
      <c r="AQ120" s="350">
        <v>10545708.260079198</v>
      </c>
      <c r="AR120" s="348">
        <v>54239961.80810903</v>
      </c>
      <c r="AS120" s="369"/>
      <c r="AT120" s="350">
        <f t="shared" si="75"/>
        <v>10604316.796142071</v>
      </c>
      <c r="AU120" s="350">
        <f t="shared" si="58"/>
        <v>10503507.844610255</v>
      </c>
      <c r="AV120" s="350">
        <f t="shared" si="59"/>
        <v>10393536.762137393</v>
      </c>
      <c r="AW120" s="350">
        <f t="shared" si="60"/>
        <v>10253860.985924095</v>
      </c>
      <c r="AX120" s="350">
        <f t="shared" si="61"/>
        <v>10066918.404528283</v>
      </c>
      <c r="AY120" s="350">
        <f t="shared" si="62"/>
        <v>51822140.793342099</v>
      </c>
      <c r="AZ120" s="365"/>
      <c r="BA120" s="377">
        <f t="shared" si="63"/>
        <v>0</v>
      </c>
      <c r="BB120" s="377">
        <f t="shared" si="64"/>
        <v>0</v>
      </c>
      <c r="BC120" s="377">
        <f t="shared" si="65"/>
        <v>0</v>
      </c>
      <c r="BD120" s="377">
        <f t="shared" si="66"/>
        <v>0</v>
      </c>
      <c r="BE120" s="377">
        <f t="shared" si="67"/>
        <v>0</v>
      </c>
      <c r="BF120" s="377">
        <f t="shared" si="68"/>
        <v>0</v>
      </c>
      <c r="BG120" s="328"/>
    </row>
    <row r="121" spans="2:59">
      <c r="B121" s="332">
        <v>106</v>
      </c>
      <c r="C121" s="350">
        <v>7470594.7328198673</v>
      </c>
      <c r="D121" s="350">
        <v>7443673.0869718892</v>
      </c>
      <c r="E121" s="350">
        <v>7414558.6468618484</v>
      </c>
      <c r="F121" s="350">
        <v>7379629.6435449608</v>
      </c>
      <c r="G121" s="350">
        <v>7335677.5841568839</v>
      </c>
      <c r="H121" s="348">
        <v>37044133.694355451</v>
      </c>
      <c r="I121" s="369"/>
      <c r="J121" s="350">
        <v>23383438.729133889</v>
      </c>
      <c r="K121" s="350">
        <v>22868297.695867628</v>
      </c>
      <c r="L121" s="350">
        <v>22339643.657367855</v>
      </c>
      <c r="M121" s="350">
        <v>21763325.366997182</v>
      </c>
      <c r="N121" s="350">
        <v>21110730.730242886</v>
      </c>
      <c r="O121" s="348">
        <v>111465436.17960945</v>
      </c>
      <c r="P121" s="369"/>
      <c r="Q121" s="350">
        <f t="shared" si="69"/>
        <v>15912843.996314023</v>
      </c>
      <c r="R121" s="350">
        <f t="shared" si="70"/>
        <v>15424624.608895738</v>
      </c>
      <c r="S121" s="350">
        <f t="shared" si="71"/>
        <v>14925085.010506008</v>
      </c>
      <c r="T121" s="350">
        <f t="shared" si="72"/>
        <v>14383695.723452222</v>
      </c>
      <c r="U121" s="350">
        <f t="shared" si="73"/>
        <v>13775053.146086002</v>
      </c>
      <c r="V121" s="350">
        <f t="shared" si="74"/>
        <v>74421302.48525399</v>
      </c>
      <c r="W121" s="365"/>
      <c r="X121" s="377">
        <f t="shared" si="52"/>
        <v>0</v>
      </c>
      <c r="Y121" s="377">
        <f t="shared" si="53"/>
        <v>0</v>
      </c>
      <c r="Z121" s="377">
        <f t="shared" si="54"/>
        <v>0</v>
      </c>
      <c r="AA121" s="377">
        <f t="shared" si="55"/>
        <v>0</v>
      </c>
      <c r="AB121" s="377">
        <f t="shared" si="56"/>
        <v>0</v>
      </c>
      <c r="AC121" s="377">
        <f t="shared" si="57"/>
        <v>0</v>
      </c>
      <c r="AD121" s="376"/>
      <c r="AE121" s="332">
        <v>106</v>
      </c>
      <c r="AF121" s="350">
        <v>477832.53566373204</v>
      </c>
      <c r="AG121" s="350">
        <v>476110.57927875174</v>
      </c>
      <c r="AH121" s="350">
        <v>474248.3678699205</v>
      </c>
      <c r="AI121" s="350">
        <v>472014.24664931785</v>
      </c>
      <c r="AJ121" s="350">
        <v>469202.9947026982</v>
      </c>
      <c r="AK121" s="348">
        <v>2369408.7241644207</v>
      </c>
      <c r="AL121" s="369"/>
      <c r="AM121" s="350">
        <v>13101450.678226979</v>
      </c>
      <c r="AN121" s="350">
        <v>12984854.09059703</v>
      </c>
      <c r="AO121" s="350">
        <v>12857173.462156067</v>
      </c>
      <c r="AP121" s="350">
        <v>12693718.289670186</v>
      </c>
      <c r="AQ121" s="350">
        <v>12473362.551001256</v>
      </c>
      <c r="AR121" s="348">
        <v>64110559.071651518</v>
      </c>
      <c r="AS121" s="369"/>
      <c r="AT121" s="350">
        <f t="shared" si="75"/>
        <v>12623618.142563248</v>
      </c>
      <c r="AU121" s="350">
        <f t="shared" si="58"/>
        <v>12508743.511318278</v>
      </c>
      <c r="AV121" s="350">
        <f t="shared" si="59"/>
        <v>12382925.094286146</v>
      </c>
      <c r="AW121" s="350">
        <f t="shared" si="60"/>
        <v>12221704.043020869</v>
      </c>
      <c r="AX121" s="350">
        <f t="shared" si="61"/>
        <v>12004159.556298558</v>
      </c>
      <c r="AY121" s="350">
        <f t="shared" si="62"/>
        <v>61741150.347487099</v>
      </c>
      <c r="AZ121" s="365"/>
      <c r="BA121" s="377">
        <f t="shared" si="63"/>
        <v>0</v>
      </c>
      <c r="BB121" s="377">
        <f t="shared" si="64"/>
        <v>0</v>
      </c>
      <c r="BC121" s="377">
        <f t="shared" si="65"/>
        <v>0</v>
      </c>
      <c r="BD121" s="377">
        <f t="shared" si="66"/>
        <v>0</v>
      </c>
      <c r="BE121" s="377">
        <f t="shared" si="67"/>
        <v>0</v>
      </c>
      <c r="BF121" s="377">
        <f t="shared" si="68"/>
        <v>0</v>
      </c>
      <c r="BG121" s="328"/>
    </row>
    <row r="122" spans="2:59">
      <c r="B122" s="332">
        <v>107</v>
      </c>
      <c r="C122" s="350">
        <v>5431359.1738816164</v>
      </c>
      <c r="D122" s="350">
        <v>5411786.2839870509</v>
      </c>
      <c r="E122" s="350">
        <v>5390619.1631567096</v>
      </c>
      <c r="F122" s="350">
        <v>5365224.6705648052</v>
      </c>
      <c r="G122" s="350">
        <v>5333270.1301960638</v>
      </c>
      <c r="H122" s="348">
        <v>26932259.421786245</v>
      </c>
      <c r="I122" s="369"/>
      <c r="J122" s="350">
        <v>16752607.5358478</v>
      </c>
      <c r="K122" s="350">
        <v>16379870.335199296</v>
      </c>
      <c r="L122" s="350">
        <v>15997527.039142635</v>
      </c>
      <c r="M122" s="350">
        <v>15581229.327438483</v>
      </c>
      <c r="N122" s="350">
        <v>15110587.451183319</v>
      </c>
      <c r="O122" s="348">
        <v>79821821.688811541</v>
      </c>
      <c r="P122" s="369"/>
      <c r="Q122" s="350">
        <f t="shared" si="69"/>
        <v>11321248.361966183</v>
      </c>
      <c r="R122" s="350">
        <f t="shared" si="70"/>
        <v>10968084.051212246</v>
      </c>
      <c r="S122" s="350">
        <f t="shared" si="71"/>
        <v>10606907.875985924</v>
      </c>
      <c r="T122" s="350">
        <f t="shared" si="72"/>
        <v>10216004.656873677</v>
      </c>
      <c r="U122" s="350">
        <f t="shared" si="73"/>
        <v>9777317.3209872544</v>
      </c>
      <c r="V122" s="350">
        <f t="shared" si="74"/>
        <v>52889562.267025292</v>
      </c>
      <c r="W122" s="365"/>
      <c r="X122" s="377">
        <f t="shared" si="52"/>
        <v>0</v>
      </c>
      <c r="Y122" s="377">
        <f t="shared" si="53"/>
        <v>0</v>
      </c>
      <c r="Z122" s="377">
        <f t="shared" si="54"/>
        <v>0</v>
      </c>
      <c r="AA122" s="377">
        <f t="shared" si="55"/>
        <v>0</v>
      </c>
      <c r="AB122" s="377">
        <f t="shared" si="56"/>
        <v>0</v>
      </c>
      <c r="AC122" s="377">
        <f t="shared" si="57"/>
        <v>0</v>
      </c>
      <c r="AD122" s="376"/>
      <c r="AE122" s="332">
        <v>107</v>
      </c>
      <c r="AF122" s="350">
        <v>397936.6387577448</v>
      </c>
      <c r="AG122" s="350">
        <v>396502.60175778496</v>
      </c>
      <c r="AH122" s="350">
        <v>394951.76104816835</v>
      </c>
      <c r="AI122" s="350">
        <v>393091.19563508045</v>
      </c>
      <c r="AJ122" s="350">
        <v>390749.99852763553</v>
      </c>
      <c r="AK122" s="348">
        <v>1973232.195726414</v>
      </c>
      <c r="AL122" s="369"/>
      <c r="AM122" s="350">
        <v>10093539.759138111</v>
      </c>
      <c r="AN122" s="350">
        <v>10002329.154295795</v>
      </c>
      <c r="AO122" s="350">
        <v>9902607.4906696267</v>
      </c>
      <c r="AP122" s="350">
        <v>9775397.5264491793</v>
      </c>
      <c r="AQ122" s="350">
        <v>9604464.4398874901</v>
      </c>
      <c r="AR122" s="348">
        <v>49378338.3704402</v>
      </c>
      <c r="AS122" s="369"/>
      <c r="AT122" s="350">
        <f t="shared" si="75"/>
        <v>9695603.1203803662</v>
      </c>
      <c r="AU122" s="350">
        <f t="shared" si="58"/>
        <v>9605826.5525380094</v>
      </c>
      <c r="AV122" s="350">
        <f t="shared" si="59"/>
        <v>9507655.7296214588</v>
      </c>
      <c r="AW122" s="350">
        <f t="shared" si="60"/>
        <v>9382306.3308140989</v>
      </c>
      <c r="AX122" s="350">
        <f t="shared" si="61"/>
        <v>9213714.4413598552</v>
      </c>
      <c r="AY122" s="350">
        <f t="shared" si="62"/>
        <v>47405106.174713783</v>
      </c>
      <c r="AZ122" s="365"/>
      <c r="BA122" s="377">
        <f t="shared" si="63"/>
        <v>0</v>
      </c>
      <c r="BB122" s="377">
        <f t="shared" si="64"/>
        <v>0</v>
      </c>
      <c r="BC122" s="377">
        <f t="shared" si="65"/>
        <v>0</v>
      </c>
      <c r="BD122" s="377">
        <f t="shared" si="66"/>
        <v>0</v>
      </c>
      <c r="BE122" s="377">
        <f t="shared" si="67"/>
        <v>0</v>
      </c>
      <c r="BF122" s="377">
        <f t="shared" si="68"/>
        <v>0</v>
      </c>
      <c r="BG122" s="328"/>
    </row>
    <row r="123" spans="2:59">
      <c r="B123" s="332">
        <v>108</v>
      </c>
      <c r="C123" s="350">
        <v>3858580.6131405956</v>
      </c>
      <c r="D123" s="350">
        <v>3844675.5166311478</v>
      </c>
      <c r="E123" s="350">
        <v>3829637.8364746375</v>
      </c>
      <c r="F123" s="350">
        <v>3811596.9200743996</v>
      </c>
      <c r="G123" s="350">
        <v>3788895.5729490668</v>
      </c>
      <c r="H123" s="348">
        <v>19133386.459269848</v>
      </c>
      <c r="I123" s="369"/>
      <c r="J123" s="350">
        <v>15748241.621511728</v>
      </c>
      <c r="K123" s="350">
        <v>15455714.385732731</v>
      </c>
      <c r="L123" s="350">
        <v>15152975.395281754</v>
      </c>
      <c r="M123" s="350">
        <v>14815267.297758907</v>
      </c>
      <c r="N123" s="350">
        <v>14421709.031754525</v>
      </c>
      <c r="O123" s="348">
        <v>75593907.732039645</v>
      </c>
      <c r="P123" s="369"/>
      <c r="Q123" s="350">
        <f t="shared" si="69"/>
        <v>11889661.008371131</v>
      </c>
      <c r="R123" s="350">
        <f t="shared" si="70"/>
        <v>11611038.869101584</v>
      </c>
      <c r="S123" s="350">
        <f t="shared" si="71"/>
        <v>11323337.558807116</v>
      </c>
      <c r="T123" s="350">
        <f t="shared" si="72"/>
        <v>11003670.377684508</v>
      </c>
      <c r="U123" s="350">
        <f t="shared" si="73"/>
        <v>10632813.458805459</v>
      </c>
      <c r="V123" s="350">
        <f t="shared" si="74"/>
        <v>56460521.272769794</v>
      </c>
      <c r="W123" s="365"/>
      <c r="X123" s="377">
        <f t="shared" si="52"/>
        <v>0</v>
      </c>
      <c r="Y123" s="377">
        <f t="shared" si="53"/>
        <v>0</v>
      </c>
      <c r="Z123" s="377">
        <f t="shared" si="54"/>
        <v>0</v>
      </c>
      <c r="AA123" s="377">
        <f t="shared" si="55"/>
        <v>0</v>
      </c>
      <c r="AB123" s="377">
        <f t="shared" si="56"/>
        <v>0</v>
      </c>
      <c r="AC123" s="377">
        <f t="shared" si="57"/>
        <v>0</v>
      </c>
      <c r="AD123" s="376"/>
      <c r="AE123" s="332">
        <v>108</v>
      </c>
      <c r="AF123" s="350">
        <v>675033.84958719206</v>
      </c>
      <c r="AG123" s="350">
        <v>672601.24242753128</v>
      </c>
      <c r="AH123" s="350">
        <v>669970.49704661581</v>
      </c>
      <c r="AI123" s="350">
        <v>666814.35480968549</v>
      </c>
      <c r="AJ123" s="350">
        <v>662842.9002057201</v>
      </c>
      <c r="AK123" s="348">
        <v>3347262.8440767452</v>
      </c>
      <c r="AL123" s="369"/>
      <c r="AM123" s="350">
        <v>21356772.86961925</v>
      </c>
      <c r="AN123" s="350">
        <v>21171527.759340491</v>
      </c>
      <c r="AO123" s="350">
        <v>20968116.049354404</v>
      </c>
      <c r="AP123" s="350">
        <v>20706133.900836609</v>
      </c>
      <c r="AQ123" s="350">
        <v>20351000.877304759</v>
      </c>
      <c r="AR123" s="348">
        <v>104553551.45645553</v>
      </c>
      <c r="AS123" s="369"/>
      <c r="AT123" s="350">
        <f t="shared" si="75"/>
        <v>20681739.020032059</v>
      </c>
      <c r="AU123" s="350">
        <f t="shared" si="58"/>
        <v>20498926.51691296</v>
      </c>
      <c r="AV123" s="350">
        <f t="shared" si="59"/>
        <v>20298145.552307788</v>
      </c>
      <c r="AW123" s="350">
        <f t="shared" si="60"/>
        <v>20039319.546026923</v>
      </c>
      <c r="AX123" s="350">
        <f t="shared" si="61"/>
        <v>19688157.977099039</v>
      </c>
      <c r="AY123" s="350">
        <f t="shared" si="62"/>
        <v>101206288.61237878</v>
      </c>
      <c r="AZ123" s="365"/>
      <c r="BA123" s="377">
        <f t="shared" si="63"/>
        <v>0</v>
      </c>
      <c r="BB123" s="377">
        <f t="shared" si="64"/>
        <v>0</v>
      </c>
      <c r="BC123" s="377">
        <f t="shared" si="65"/>
        <v>0</v>
      </c>
      <c r="BD123" s="377">
        <f t="shared" si="66"/>
        <v>0</v>
      </c>
      <c r="BE123" s="377">
        <f t="shared" si="67"/>
        <v>0</v>
      </c>
      <c r="BF123" s="377">
        <f t="shared" si="68"/>
        <v>0</v>
      </c>
      <c r="BG123" s="328"/>
    </row>
    <row r="124" spans="2:59">
      <c r="B124" s="332">
        <v>109</v>
      </c>
      <c r="C124" s="350">
        <v>5142508.6763429195</v>
      </c>
      <c r="D124" s="350">
        <v>5123976.7117127907</v>
      </c>
      <c r="E124" s="350">
        <v>5103935.3005229961</v>
      </c>
      <c r="F124" s="350">
        <v>5079891.3376208209</v>
      </c>
      <c r="G124" s="350">
        <v>5049636.2033470599</v>
      </c>
      <c r="H124" s="348">
        <v>25499948.229546588</v>
      </c>
      <c r="I124" s="369"/>
      <c r="J124" s="350">
        <v>19294338.201659724</v>
      </c>
      <c r="K124" s="350">
        <v>18916683.423831727</v>
      </c>
      <c r="L124" s="350">
        <v>18526910.717142254</v>
      </c>
      <c r="M124" s="350">
        <v>18095309.979065508</v>
      </c>
      <c r="N124" s="350">
        <v>17596868.635975961</v>
      </c>
      <c r="O124" s="348">
        <v>92430110.957675174</v>
      </c>
      <c r="P124" s="369"/>
      <c r="Q124" s="350">
        <f t="shared" si="69"/>
        <v>14151829.525316805</v>
      </c>
      <c r="R124" s="350">
        <f t="shared" si="70"/>
        <v>13792706.712118937</v>
      </c>
      <c r="S124" s="350">
        <f t="shared" si="71"/>
        <v>13422975.416619258</v>
      </c>
      <c r="T124" s="350">
        <f t="shared" si="72"/>
        <v>13015418.641444687</v>
      </c>
      <c r="U124" s="350">
        <f t="shared" si="73"/>
        <v>12547232.4326289</v>
      </c>
      <c r="V124" s="350">
        <f t="shared" si="74"/>
        <v>66930162.728128582</v>
      </c>
      <c r="W124" s="365"/>
      <c r="X124" s="377">
        <f t="shared" si="52"/>
        <v>0</v>
      </c>
      <c r="Y124" s="377">
        <f t="shared" si="53"/>
        <v>0</v>
      </c>
      <c r="Z124" s="377">
        <f t="shared" si="54"/>
        <v>0</v>
      </c>
      <c r="AA124" s="377">
        <f t="shared" si="55"/>
        <v>0</v>
      </c>
      <c r="AB124" s="377">
        <f t="shared" si="56"/>
        <v>0</v>
      </c>
      <c r="AC124" s="377">
        <f t="shared" si="57"/>
        <v>0</v>
      </c>
      <c r="AD124" s="376"/>
      <c r="AE124" s="332">
        <v>109</v>
      </c>
      <c r="AF124" s="350">
        <v>385772.37243968353</v>
      </c>
      <c r="AG124" s="350">
        <v>384382.17158417089</v>
      </c>
      <c r="AH124" s="350">
        <v>382878.73751564056</v>
      </c>
      <c r="AI124" s="350">
        <v>381075.04651667469</v>
      </c>
      <c r="AJ124" s="350">
        <v>378805.41594104475</v>
      </c>
      <c r="AK124" s="348">
        <v>1912913.7439972144</v>
      </c>
      <c r="AL124" s="369"/>
      <c r="AM124" s="350">
        <v>13031363.293576065</v>
      </c>
      <c r="AN124" s="350">
        <v>12919543.103834812</v>
      </c>
      <c r="AO124" s="350">
        <v>12796613.370967321</v>
      </c>
      <c r="AP124" s="350">
        <v>12637881.559636746</v>
      </c>
      <c r="AQ124" s="350">
        <v>12422211.674296794</v>
      </c>
      <c r="AR124" s="348">
        <v>63807613.002311736</v>
      </c>
      <c r="AS124" s="369"/>
      <c r="AT124" s="350">
        <f t="shared" si="75"/>
        <v>12645590.921136381</v>
      </c>
      <c r="AU124" s="350">
        <f t="shared" si="58"/>
        <v>12535160.932250641</v>
      </c>
      <c r="AV124" s="350">
        <f t="shared" si="59"/>
        <v>12413734.63345168</v>
      </c>
      <c r="AW124" s="350">
        <f t="shared" si="60"/>
        <v>12256806.51312007</v>
      </c>
      <c r="AX124" s="350">
        <f t="shared" si="61"/>
        <v>12043406.25835575</v>
      </c>
      <c r="AY124" s="350">
        <f t="shared" si="62"/>
        <v>61894699.25831452</v>
      </c>
      <c r="AZ124" s="365"/>
      <c r="BA124" s="377">
        <f t="shared" si="63"/>
        <v>0</v>
      </c>
      <c r="BB124" s="377">
        <f t="shared" si="64"/>
        <v>0</v>
      </c>
      <c r="BC124" s="377">
        <f t="shared" si="65"/>
        <v>0</v>
      </c>
      <c r="BD124" s="377">
        <f t="shared" si="66"/>
        <v>0</v>
      </c>
      <c r="BE124" s="377">
        <f t="shared" si="67"/>
        <v>0</v>
      </c>
      <c r="BF124" s="377">
        <f t="shared" si="68"/>
        <v>0</v>
      </c>
      <c r="BG124" s="328"/>
    </row>
    <row r="125" spans="2:59">
      <c r="B125" s="332">
        <v>110</v>
      </c>
      <c r="C125" s="350">
        <v>5128806.5062796492</v>
      </c>
      <c r="D125" s="350">
        <v>5110323.9199096179</v>
      </c>
      <c r="E125" s="350">
        <v>5090335.9088872718</v>
      </c>
      <c r="F125" s="350">
        <v>5066356.0109171011</v>
      </c>
      <c r="G125" s="350">
        <v>5036181.4911879525</v>
      </c>
      <c r="H125" s="348">
        <v>25432003.83718159</v>
      </c>
      <c r="I125" s="369"/>
      <c r="J125" s="350">
        <v>16617683.312766925</v>
      </c>
      <c r="K125" s="350">
        <v>16259955.889892802</v>
      </c>
      <c r="L125" s="350">
        <v>15892454.538935605</v>
      </c>
      <c r="M125" s="350">
        <v>15490639.229954567</v>
      </c>
      <c r="N125" s="350">
        <v>15033928.797652099</v>
      </c>
      <c r="O125" s="348">
        <v>79294661.769201994</v>
      </c>
      <c r="P125" s="369"/>
      <c r="Q125" s="350">
        <f t="shared" si="69"/>
        <v>11488876.806487275</v>
      </c>
      <c r="R125" s="350">
        <f t="shared" si="70"/>
        <v>11149631.969983183</v>
      </c>
      <c r="S125" s="350">
        <f t="shared" si="71"/>
        <v>10802118.630048335</v>
      </c>
      <c r="T125" s="350">
        <f t="shared" si="72"/>
        <v>10424283.219037466</v>
      </c>
      <c r="U125" s="350">
        <f t="shared" si="73"/>
        <v>9997747.3064641468</v>
      </c>
      <c r="V125" s="350">
        <f t="shared" si="74"/>
        <v>53862657.932020403</v>
      </c>
      <c r="W125" s="365"/>
      <c r="X125" s="377">
        <f t="shared" si="52"/>
        <v>0</v>
      </c>
      <c r="Y125" s="377">
        <f t="shared" si="53"/>
        <v>0</v>
      </c>
      <c r="Z125" s="377">
        <f t="shared" si="54"/>
        <v>0</v>
      </c>
      <c r="AA125" s="377">
        <f t="shared" si="55"/>
        <v>0</v>
      </c>
      <c r="AB125" s="377">
        <f t="shared" si="56"/>
        <v>0</v>
      </c>
      <c r="AC125" s="377">
        <f t="shared" si="57"/>
        <v>0</v>
      </c>
      <c r="AD125" s="376"/>
      <c r="AE125" s="332">
        <v>110</v>
      </c>
      <c r="AF125" s="350">
        <v>527536.02775774268</v>
      </c>
      <c r="AG125" s="350">
        <v>525634.95580574009</v>
      </c>
      <c r="AH125" s="350">
        <v>523579.03969258693</v>
      </c>
      <c r="AI125" s="350">
        <v>521112.52821360406</v>
      </c>
      <c r="AJ125" s="350">
        <v>518008.85365346575</v>
      </c>
      <c r="AK125" s="348">
        <v>2615871.4051231397</v>
      </c>
      <c r="AL125" s="369"/>
      <c r="AM125" s="350">
        <v>15739126.321072603</v>
      </c>
      <c r="AN125" s="350">
        <v>15601212.987288844</v>
      </c>
      <c r="AO125" s="350">
        <v>15449940.044067122</v>
      </c>
      <c r="AP125" s="350">
        <v>15255576.450419363</v>
      </c>
      <c r="AQ125" s="350">
        <v>14992679.05326427</v>
      </c>
      <c r="AR125" s="348">
        <v>77038534.856112212</v>
      </c>
      <c r="AS125" s="369"/>
      <c r="AT125" s="350">
        <f t="shared" si="75"/>
        <v>15211590.293314859</v>
      </c>
      <c r="AU125" s="350">
        <f t="shared" si="58"/>
        <v>15075578.031483104</v>
      </c>
      <c r="AV125" s="350">
        <f t="shared" si="59"/>
        <v>14926361.004374536</v>
      </c>
      <c r="AW125" s="350">
        <f t="shared" si="60"/>
        <v>14734463.922205759</v>
      </c>
      <c r="AX125" s="350">
        <f t="shared" si="61"/>
        <v>14474670.199610803</v>
      </c>
      <c r="AY125" s="350">
        <f t="shared" si="62"/>
        <v>74422663.450989068</v>
      </c>
      <c r="AZ125" s="365"/>
      <c r="BA125" s="377">
        <f t="shared" si="63"/>
        <v>0</v>
      </c>
      <c r="BB125" s="377">
        <f t="shared" si="64"/>
        <v>0</v>
      </c>
      <c r="BC125" s="377">
        <f t="shared" si="65"/>
        <v>0</v>
      </c>
      <c r="BD125" s="377">
        <f t="shared" si="66"/>
        <v>0</v>
      </c>
      <c r="BE125" s="377">
        <f t="shared" si="67"/>
        <v>0</v>
      </c>
      <c r="BF125" s="377">
        <f t="shared" si="68"/>
        <v>0</v>
      </c>
      <c r="BG125" s="328"/>
    </row>
    <row r="126" spans="2:59">
      <c r="B126" s="332">
        <v>111</v>
      </c>
      <c r="C126" s="350">
        <v>6059170.1110941814</v>
      </c>
      <c r="D126" s="350">
        <v>6037334.7903871331</v>
      </c>
      <c r="E126" s="350">
        <v>6013720.9615521925</v>
      </c>
      <c r="F126" s="350">
        <v>5985391.1189523498</v>
      </c>
      <c r="G126" s="350">
        <v>5949742.952495764</v>
      </c>
      <c r="H126" s="348">
        <v>30045359.934481621</v>
      </c>
      <c r="I126" s="369"/>
      <c r="J126" s="350">
        <v>21184428.110094603</v>
      </c>
      <c r="K126" s="350">
        <v>20750621.051614679</v>
      </c>
      <c r="L126" s="350">
        <v>20303900.166247606</v>
      </c>
      <c r="M126" s="350">
        <v>19812263.624891173</v>
      </c>
      <c r="N126" s="350">
        <v>19248815.969618842</v>
      </c>
      <c r="O126" s="348">
        <v>101300028.9224669</v>
      </c>
      <c r="P126" s="369"/>
      <c r="Q126" s="350">
        <f t="shared" si="69"/>
        <v>15125257.999000423</v>
      </c>
      <c r="R126" s="350">
        <f t="shared" si="70"/>
        <v>14713286.261227546</v>
      </c>
      <c r="S126" s="350">
        <f t="shared" si="71"/>
        <v>14290179.204695415</v>
      </c>
      <c r="T126" s="350">
        <f t="shared" si="72"/>
        <v>13826872.505938824</v>
      </c>
      <c r="U126" s="350">
        <f t="shared" si="73"/>
        <v>13299073.017123077</v>
      </c>
      <c r="V126" s="350">
        <f t="shared" si="74"/>
        <v>71254668.987985283</v>
      </c>
      <c r="W126" s="365"/>
      <c r="X126" s="377">
        <f t="shared" si="52"/>
        <v>0</v>
      </c>
      <c r="Y126" s="377">
        <f t="shared" si="53"/>
        <v>0</v>
      </c>
      <c r="Z126" s="377">
        <f t="shared" si="54"/>
        <v>0</v>
      </c>
      <c r="AA126" s="377">
        <f t="shared" si="55"/>
        <v>0</v>
      </c>
      <c r="AB126" s="377">
        <f t="shared" si="56"/>
        <v>0</v>
      </c>
      <c r="AC126" s="377">
        <f t="shared" si="57"/>
        <v>0</v>
      </c>
      <c r="AD126" s="376"/>
      <c r="AE126" s="332">
        <v>111</v>
      </c>
      <c r="AF126" s="350">
        <v>371883.9142802977</v>
      </c>
      <c r="AG126" s="350">
        <v>370543.76300789241</v>
      </c>
      <c r="AH126" s="350">
        <v>369094.45510973595</v>
      </c>
      <c r="AI126" s="350">
        <v>367355.7000386935</v>
      </c>
      <c r="AJ126" s="350">
        <v>365167.78000414657</v>
      </c>
      <c r="AK126" s="348">
        <v>1844045.6124407658</v>
      </c>
      <c r="AL126" s="369"/>
      <c r="AM126" s="350">
        <v>10285786.073128216</v>
      </c>
      <c r="AN126" s="350">
        <v>10194398.629718443</v>
      </c>
      <c r="AO126" s="350">
        <v>10094306.158417134</v>
      </c>
      <c r="AP126" s="350">
        <v>9966119.5724250395</v>
      </c>
      <c r="AQ126" s="350">
        <v>9793248.6195908189</v>
      </c>
      <c r="AR126" s="348">
        <v>50333859.053279653</v>
      </c>
      <c r="AS126" s="369"/>
      <c r="AT126" s="350">
        <f t="shared" si="75"/>
        <v>9913902.1588479187</v>
      </c>
      <c r="AU126" s="350">
        <f t="shared" si="58"/>
        <v>9823854.8667105511</v>
      </c>
      <c r="AV126" s="350">
        <f t="shared" si="59"/>
        <v>9725211.7033073977</v>
      </c>
      <c r="AW126" s="350">
        <f t="shared" si="60"/>
        <v>9598763.8723863456</v>
      </c>
      <c r="AX126" s="350">
        <f t="shared" si="61"/>
        <v>9428080.8395866714</v>
      </c>
      <c r="AY126" s="350">
        <f t="shared" si="62"/>
        <v>48489813.440838888</v>
      </c>
      <c r="AZ126" s="365"/>
      <c r="BA126" s="377">
        <f t="shared" si="63"/>
        <v>0</v>
      </c>
      <c r="BB126" s="377">
        <f t="shared" si="64"/>
        <v>0</v>
      </c>
      <c r="BC126" s="377">
        <f t="shared" si="65"/>
        <v>0</v>
      </c>
      <c r="BD126" s="377">
        <f t="shared" si="66"/>
        <v>0</v>
      </c>
      <c r="BE126" s="377">
        <f t="shared" si="67"/>
        <v>0</v>
      </c>
      <c r="BF126" s="377">
        <f t="shared" si="68"/>
        <v>0</v>
      </c>
      <c r="BG126" s="328"/>
    </row>
    <row r="127" spans="2:59">
      <c r="B127" s="332">
        <v>112</v>
      </c>
      <c r="C127" s="350">
        <v>5728396.0257555442</v>
      </c>
      <c r="D127" s="350">
        <v>5707752.7095808862</v>
      </c>
      <c r="E127" s="350">
        <v>5685427.9752078941</v>
      </c>
      <c r="F127" s="350">
        <v>5658644.6773661533</v>
      </c>
      <c r="G127" s="350">
        <v>5624942.5677849269</v>
      </c>
      <c r="H127" s="348">
        <v>28405163.955695406</v>
      </c>
      <c r="I127" s="369"/>
      <c r="J127" s="350">
        <v>19554736.99218097</v>
      </c>
      <c r="K127" s="350">
        <v>19148022.409692284</v>
      </c>
      <c r="L127" s="350">
        <v>18729515.677369699</v>
      </c>
      <c r="M127" s="350">
        <v>18269879.640019376</v>
      </c>
      <c r="N127" s="350">
        <v>17744473.860136393</v>
      </c>
      <c r="O127" s="348">
        <v>93446628.579398721</v>
      </c>
      <c r="P127" s="369"/>
      <c r="Q127" s="350">
        <f t="shared" si="69"/>
        <v>13826340.966425426</v>
      </c>
      <c r="R127" s="350">
        <f t="shared" si="70"/>
        <v>13440269.700111397</v>
      </c>
      <c r="S127" s="350">
        <f t="shared" si="71"/>
        <v>13044087.702161804</v>
      </c>
      <c r="T127" s="350">
        <f t="shared" si="72"/>
        <v>12611234.962653223</v>
      </c>
      <c r="U127" s="350">
        <f t="shared" si="73"/>
        <v>12119531.292351466</v>
      </c>
      <c r="V127" s="350">
        <f t="shared" si="74"/>
        <v>65041464.623703316</v>
      </c>
      <c r="W127" s="365"/>
      <c r="X127" s="377">
        <f t="shared" si="52"/>
        <v>0</v>
      </c>
      <c r="Y127" s="377">
        <f t="shared" si="53"/>
        <v>0</v>
      </c>
      <c r="Z127" s="377">
        <f t="shared" si="54"/>
        <v>0</v>
      </c>
      <c r="AA127" s="377">
        <f t="shared" si="55"/>
        <v>0</v>
      </c>
      <c r="AB127" s="377">
        <f t="shared" si="56"/>
        <v>0</v>
      </c>
      <c r="AC127" s="377">
        <f t="shared" si="57"/>
        <v>0</v>
      </c>
      <c r="AD127" s="376"/>
      <c r="AE127" s="332">
        <v>112</v>
      </c>
      <c r="AF127" s="350">
        <v>580631.74104200944</v>
      </c>
      <c r="AG127" s="350">
        <v>578539.329037413</v>
      </c>
      <c r="AH127" s="350">
        <v>576276.48803811579</v>
      </c>
      <c r="AI127" s="350">
        <v>573561.72586266976</v>
      </c>
      <c r="AJ127" s="350">
        <v>570145.67109359428</v>
      </c>
      <c r="AK127" s="348">
        <v>2879154.9550738023</v>
      </c>
      <c r="AL127" s="369"/>
      <c r="AM127" s="350">
        <v>19127578.888694402</v>
      </c>
      <c r="AN127" s="350">
        <v>18962780.299989142</v>
      </c>
      <c r="AO127" s="350">
        <v>18781688.635304503</v>
      </c>
      <c r="AP127" s="350">
        <v>18548081.482424043</v>
      </c>
      <c r="AQ127" s="350">
        <v>18230954.968419142</v>
      </c>
      <c r="AR127" s="348">
        <v>93651084.274831235</v>
      </c>
      <c r="AS127" s="369"/>
      <c r="AT127" s="350">
        <f t="shared" si="75"/>
        <v>18546947.147652391</v>
      </c>
      <c r="AU127" s="350">
        <f t="shared" si="58"/>
        <v>18384240.970951729</v>
      </c>
      <c r="AV127" s="350">
        <f t="shared" si="59"/>
        <v>18205412.147266388</v>
      </c>
      <c r="AW127" s="350">
        <f t="shared" si="60"/>
        <v>17974519.756561372</v>
      </c>
      <c r="AX127" s="350">
        <f t="shared" si="61"/>
        <v>17660809.297325548</v>
      </c>
      <c r="AY127" s="350">
        <f t="shared" si="62"/>
        <v>90771929.319757432</v>
      </c>
      <c r="AZ127" s="365"/>
      <c r="BA127" s="377">
        <f t="shared" si="63"/>
        <v>0</v>
      </c>
      <c r="BB127" s="377">
        <f t="shared" si="64"/>
        <v>0</v>
      </c>
      <c r="BC127" s="377">
        <f t="shared" si="65"/>
        <v>0</v>
      </c>
      <c r="BD127" s="377">
        <f t="shared" si="66"/>
        <v>0</v>
      </c>
      <c r="BE127" s="377">
        <f t="shared" si="67"/>
        <v>0</v>
      </c>
      <c r="BF127" s="377">
        <f t="shared" si="68"/>
        <v>0</v>
      </c>
      <c r="BG127" s="328"/>
    </row>
    <row r="128" spans="2:59">
      <c r="B128" s="332">
        <v>113</v>
      </c>
      <c r="C128" s="350">
        <v>5581251.1164372973</v>
      </c>
      <c r="D128" s="350">
        <v>5561138.0636859247</v>
      </c>
      <c r="E128" s="350">
        <v>5539386.7832082473</v>
      </c>
      <c r="F128" s="350">
        <v>5513291.4660707805</v>
      </c>
      <c r="G128" s="350">
        <v>5480455.0602285899</v>
      </c>
      <c r="H128" s="348">
        <v>27675522.489630837</v>
      </c>
      <c r="I128" s="369"/>
      <c r="J128" s="350">
        <v>18853619.312360369</v>
      </c>
      <c r="K128" s="350">
        <v>18458784.921879236</v>
      </c>
      <c r="L128" s="350">
        <v>18052636.357584104</v>
      </c>
      <c r="M128" s="350">
        <v>17606975.593345948</v>
      </c>
      <c r="N128" s="350">
        <v>17098125.683447257</v>
      </c>
      <c r="O128" s="348">
        <v>90070141.868616924</v>
      </c>
      <c r="P128" s="369"/>
      <c r="Q128" s="350">
        <f t="shared" si="69"/>
        <v>13272368.195923071</v>
      </c>
      <c r="R128" s="350">
        <f t="shared" si="70"/>
        <v>12897646.858193312</v>
      </c>
      <c r="S128" s="350">
        <f t="shared" si="71"/>
        <v>12513249.574375857</v>
      </c>
      <c r="T128" s="350">
        <f t="shared" si="72"/>
        <v>12093684.127275167</v>
      </c>
      <c r="U128" s="350">
        <f t="shared" si="73"/>
        <v>11617670.623218667</v>
      </c>
      <c r="V128" s="350">
        <f t="shared" si="74"/>
        <v>62394619.37898609</v>
      </c>
      <c r="W128" s="365"/>
      <c r="X128" s="377">
        <f t="shared" si="52"/>
        <v>0</v>
      </c>
      <c r="Y128" s="377">
        <f t="shared" si="53"/>
        <v>0</v>
      </c>
      <c r="Z128" s="377">
        <f t="shared" si="54"/>
        <v>0</v>
      </c>
      <c r="AA128" s="377">
        <f t="shared" si="55"/>
        <v>0</v>
      </c>
      <c r="AB128" s="377">
        <f t="shared" si="56"/>
        <v>0</v>
      </c>
      <c r="AC128" s="377">
        <f t="shared" si="57"/>
        <v>0</v>
      </c>
      <c r="AD128" s="376"/>
      <c r="AE128" s="332">
        <v>113</v>
      </c>
      <c r="AF128" s="350">
        <v>536574.35720545845</v>
      </c>
      <c r="AG128" s="350">
        <v>534640.71399063815</v>
      </c>
      <c r="AH128" s="350">
        <v>532549.57365360286</v>
      </c>
      <c r="AI128" s="350">
        <v>530040.80317777325</v>
      </c>
      <c r="AJ128" s="350">
        <v>526883.95303967048</v>
      </c>
      <c r="AK128" s="348">
        <v>2660689.4010671433</v>
      </c>
      <c r="AL128" s="369"/>
      <c r="AM128" s="350">
        <v>13824670.533028988</v>
      </c>
      <c r="AN128" s="350">
        <v>13700136.032777958</v>
      </c>
      <c r="AO128" s="350">
        <v>13563936.298773613</v>
      </c>
      <c r="AP128" s="350">
        <v>13390066.371307271</v>
      </c>
      <c r="AQ128" s="350">
        <v>13156278.512891449</v>
      </c>
      <c r="AR128" s="348">
        <v>67635087.748779267</v>
      </c>
      <c r="AS128" s="369"/>
      <c r="AT128" s="350">
        <f t="shared" si="75"/>
        <v>13288096.17582353</v>
      </c>
      <c r="AU128" s="350">
        <f t="shared" si="58"/>
        <v>13165495.31878732</v>
      </c>
      <c r="AV128" s="350">
        <f t="shared" si="59"/>
        <v>13031386.72512001</v>
      </c>
      <c r="AW128" s="350">
        <f t="shared" si="60"/>
        <v>12860025.568129497</v>
      </c>
      <c r="AX128" s="350">
        <f t="shared" si="61"/>
        <v>12629394.559851779</v>
      </c>
      <c r="AY128" s="350">
        <f t="shared" si="62"/>
        <v>64974398.347712122</v>
      </c>
      <c r="AZ128" s="365"/>
      <c r="BA128" s="377">
        <f t="shared" si="63"/>
        <v>0</v>
      </c>
      <c r="BB128" s="377">
        <f t="shared" si="64"/>
        <v>0</v>
      </c>
      <c r="BC128" s="377">
        <f t="shared" si="65"/>
        <v>0</v>
      </c>
      <c r="BD128" s="377">
        <f t="shared" si="66"/>
        <v>0</v>
      </c>
      <c r="BE128" s="377">
        <f t="shared" si="67"/>
        <v>0</v>
      </c>
      <c r="BF128" s="377">
        <f t="shared" si="68"/>
        <v>0</v>
      </c>
      <c r="BG128" s="328"/>
    </row>
    <row r="129" spans="2:59">
      <c r="B129" s="332">
        <v>114</v>
      </c>
      <c r="C129" s="350">
        <v>4354876.3541825153</v>
      </c>
      <c r="D129" s="350">
        <v>4339182.7657719487</v>
      </c>
      <c r="E129" s="350">
        <v>4322210.919307908</v>
      </c>
      <c r="F129" s="350">
        <v>4301849.556382996</v>
      </c>
      <c r="G129" s="350">
        <v>4276228.3319701841</v>
      </c>
      <c r="H129" s="348">
        <v>21594347.927615553</v>
      </c>
      <c r="I129" s="369"/>
      <c r="J129" s="350">
        <v>16512844.339800894</v>
      </c>
      <c r="K129" s="350">
        <v>16191780.039157832</v>
      </c>
      <c r="L129" s="350">
        <v>15860300.895509083</v>
      </c>
      <c r="M129" s="350">
        <v>15492910.497377999</v>
      </c>
      <c r="N129" s="350">
        <v>15068138.51491455</v>
      </c>
      <c r="O129" s="348">
        <v>79125974.28676036</v>
      </c>
      <c r="P129" s="369"/>
      <c r="Q129" s="350">
        <f t="shared" si="69"/>
        <v>12157967.985618379</v>
      </c>
      <c r="R129" s="350">
        <f t="shared" si="70"/>
        <v>11852597.273385882</v>
      </c>
      <c r="S129" s="350">
        <f t="shared" si="71"/>
        <v>11538089.976201175</v>
      </c>
      <c r="T129" s="350">
        <f t="shared" si="72"/>
        <v>11191060.940995004</v>
      </c>
      <c r="U129" s="350">
        <f t="shared" si="73"/>
        <v>10791910.182944365</v>
      </c>
      <c r="V129" s="350">
        <f t="shared" si="74"/>
        <v>57531626.359144807</v>
      </c>
      <c r="W129" s="365"/>
      <c r="X129" s="377">
        <f t="shared" si="52"/>
        <v>0</v>
      </c>
      <c r="Y129" s="377">
        <f t="shared" si="53"/>
        <v>0</v>
      </c>
      <c r="Z129" s="377">
        <f t="shared" si="54"/>
        <v>0</v>
      </c>
      <c r="AA129" s="377">
        <f t="shared" si="55"/>
        <v>0</v>
      </c>
      <c r="AB129" s="377">
        <f t="shared" si="56"/>
        <v>0</v>
      </c>
      <c r="AC129" s="377">
        <f t="shared" si="57"/>
        <v>0</v>
      </c>
      <c r="AD129" s="376"/>
      <c r="AE129" s="332">
        <v>114</v>
      </c>
      <c r="AF129" s="350">
        <v>365610.70907022507</v>
      </c>
      <c r="AG129" s="350">
        <v>364293.16443290538</v>
      </c>
      <c r="AH129" s="350">
        <v>362868.30450226925</v>
      </c>
      <c r="AI129" s="350">
        <v>361158.88000174053</v>
      </c>
      <c r="AJ129" s="350">
        <v>359007.86737521237</v>
      </c>
      <c r="AK129" s="348">
        <v>1812938.9253823524</v>
      </c>
      <c r="AL129" s="369"/>
      <c r="AM129" s="350">
        <v>12039471.686659664</v>
      </c>
      <c r="AN129" s="350">
        <v>11935735.847218441</v>
      </c>
      <c r="AO129" s="350">
        <v>11821744.793339031</v>
      </c>
      <c r="AP129" s="350">
        <v>11674699.267952828</v>
      </c>
      <c r="AQ129" s="350">
        <v>11475084.701232569</v>
      </c>
      <c r="AR129" s="348">
        <v>58946736.296402529</v>
      </c>
      <c r="AS129" s="369"/>
      <c r="AT129" s="350">
        <f t="shared" si="75"/>
        <v>11673860.97758944</v>
      </c>
      <c r="AU129" s="350">
        <f t="shared" si="58"/>
        <v>11571442.682785535</v>
      </c>
      <c r="AV129" s="350">
        <f t="shared" si="59"/>
        <v>11458876.488836762</v>
      </c>
      <c r="AW129" s="350">
        <f t="shared" si="60"/>
        <v>11313540.387951087</v>
      </c>
      <c r="AX129" s="350">
        <f t="shared" si="61"/>
        <v>11116076.833857358</v>
      </c>
      <c r="AY129" s="350">
        <f t="shared" si="62"/>
        <v>57133797.371020176</v>
      </c>
      <c r="AZ129" s="365"/>
      <c r="BA129" s="377">
        <f t="shared" si="63"/>
        <v>0</v>
      </c>
      <c r="BB129" s="377">
        <f t="shared" si="64"/>
        <v>0</v>
      </c>
      <c r="BC129" s="377">
        <f t="shared" si="65"/>
        <v>0</v>
      </c>
      <c r="BD129" s="377">
        <f t="shared" si="66"/>
        <v>0</v>
      </c>
      <c r="BE129" s="377">
        <f t="shared" si="67"/>
        <v>0</v>
      </c>
      <c r="BF129" s="377">
        <f t="shared" si="68"/>
        <v>0</v>
      </c>
      <c r="BG129" s="328"/>
    </row>
    <row r="130" spans="2:59">
      <c r="B130" s="332">
        <v>115</v>
      </c>
      <c r="C130" s="350">
        <v>5101870.2617157893</v>
      </c>
      <c r="D130" s="350">
        <v>5083484.7449985174</v>
      </c>
      <c r="E130" s="350">
        <v>5063601.7100466434</v>
      </c>
      <c r="F130" s="350">
        <v>5039747.7533447873</v>
      </c>
      <c r="G130" s="350">
        <v>5009731.7087388514</v>
      </c>
      <c r="H130" s="348">
        <v>25298436.17884459</v>
      </c>
      <c r="I130" s="369"/>
      <c r="J130" s="350">
        <v>13541179.458405532</v>
      </c>
      <c r="K130" s="350">
        <v>13206875.259651273</v>
      </c>
      <c r="L130" s="350">
        <v>12865480.690499166</v>
      </c>
      <c r="M130" s="350">
        <v>12498381.355532546</v>
      </c>
      <c r="N130" s="350">
        <v>12090074.106024235</v>
      </c>
      <c r="O130" s="348">
        <v>64201990.870112747</v>
      </c>
      <c r="P130" s="369"/>
      <c r="Q130" s="350">
        <f t="shared" si="69"/>
        <v>8439309.1966897435</v>
      </c>
      <c r="R130" s="350">
        <f t="shared" si="70"/>
        <v>8123390.514652756</v>
      </c>
      <c r="S130" s="350">
        <f t="shared" si="71"/>
        <v>7801878.9804525226</v>
      </c>
      <c r="T130" s="350">
        <f t="shared" si="72"/>
        <v>7458633.6021877583</v>
      </c>
      <c r="U130" s="350">
        <f t="shared" si="73"/>
        <v>7080342.3972853841</v>
      </c>
      <c r="V130" s="350">
        <f t="shared" si="74"/>
        <v>38903554.691268161</v>
      </c>
      <c r="W130" s="365"/>
      <c r="X130" s="377">
        <f t="shared" si="52"/>
        <v>0</v>
      </c>
      <c r="Y130" s="377">
        <f t="shared" si="53"/>
        <v>0</v>
      </c>
      <c r="Z130" s="377">
        <f t="shared" si="54"/>
        <v>0</v>
      </c>
      <c r="AA130" s="377">
        <f t="shared" si="55"/>
        <v>0</v>
      </c>
      <c r="AB130" s="377">
        <f t="shared" si="56"/>
        <v>0</v>
      </c>
      <c r="AC130" s="377">
        <f t="shared" si="57"/>
        <v>0</v>
      </c>
      <c r="AD130" s="376"/>
      <c r="AE130" s="332">
        <v>115</v>
      </c>
      <c r="AF130" s="350">
        <v>630596.2568825304</v>
      </c>
      <c r="AG130" s="350">
        <v>628323.78866440209</v>
      </c>
      <c r="AH130" s="350">
        <v>625866.22569769912</v>
      </c>
      <c r="AI130" s="350">
        <v>622917.85283904301</v>
      </c>
      <c r="AJ130" s="350">
        <v>619207.83976463042</v>
      </c>
      <c r="AK130" s="348">
        <v>3126911.9638483049</v>
      </c>
      <c r="AL130" s="369"/>
      <c r="AM130" s="350">
        <v>16494405.371662008</v>
      </c>
      <c r="AN130" s="350">
        <v>16346266.852037188</v>
      </c>
      <c r="AO130" s="350">
        <v>16184201.287582716</v>
      </c>
      <c r="AP130" s="350">
        <v>15977167.419624299</v>
      </c>
      <c r="AQ130" s="350">
        <v>15698607.976451516</v>
      </c>
      <c r="AR130" s="348">
        <v>80700648.907357723</v>
      </c>
      <c r="AS130" s="369"/>
      <c r="AT130" s="350">
        <f t="shared" si="75"/>
        <v>15863809.114779478</v>
      </c>
      <c r="AU130" s="350">
        <f t="shared" si="58"/>
        <v>15717943.063372785</v>
      </c>
      <c r="AV130" s="350">
        <f t="shared" si="59"/>
        <v>15558335.061885016</v>
      </c>
      <c r="AW130" s="350">
        <f t="shared" si="60"/>
        <v>15354249.566785255</v>
      </c>
      <c r="AX130" s="350">
        <f t="shared" si="61"/>
        <v>15079400.136686886</v>
      </c>
      <c r="AY130" s="350">
        <f t="shared" si="62"/>
        <v>77573736.943509415</v>
      </c>
      <c r="AZ130" s="365"/>
      <c r="BA130" s="377">
        <f t="shared" si="63"/>
        <v>0</v>
      </c>
      <c r="BB130" s="377">
        <f t="shared" si="64"/>
        <v>0</v>
      </c>
      <c r="BC130" s="377">
        <f t="shared" si="65"/>
        <v>0</v>
      </c>
      <c r="BD130" s="377">
        <f t="shared" si="66"/>
        <v>0</v>
      </c>
      <c r="BE130" s="377">
        <f t="shared" si="67"/>
        <v>0</v>
      </c>
      <c r="BF130" s="377">
        <f t="shared" si="68"/>
        <v>0</v>
      </c>
      <c r="BG130" s="328"/>
    </row>
    <row r="131" spans="2:59">
      <c r="B131" s="332">
        <v>116</v>
      </c>
      <c r="C131" s="350">
        <v>6878033.8985934248</v>
      </c>
      <c r="D131" s="350">
        <v>6853247.6534053665</v>
      </c>
      <c r="E131" s="350">
        <v>6826442.5444177631</v>
      </c>
      <c r="F131" s="350">
        <v>6794284.0781309763</v>
      </c>
      <c r="G131" s="350">
        <v>6753818.2564399559</v>
      </c>
      <c r="H131" s="348">
        <v>34105826.430987485</v>
      </c>
      <c r="I131" s="369"/>
      <c r="J131" s="350">
        <v>21725097.339933582</v>
      </c>
      <c r="K131" s="350">
        <v>21249401.216894574</v>
      </c>
      <c r="L131" s="350">
        <v>20761090.973570518</v>
      </c>
      <c r="M131" s="350">
        <v>20228343.324900571</v>
      </c>
      <c r="N131" s="350">
        <v>19624489.105289236</v>
      </c>
      <c r="O131" s="348">
        <v>103588421.96058849</v>
      </c>
      <c r="P131" s="369"/>
      <c r="Q131" s="350">
        <f t="shared" si="69"/>
        <v>14847063.441340156</v>
      </c>
      <c r="R131" s="350">
        <f t="shared" si="70"/>
        <v>14396153.563489208</v>
      </c>
      <c r="S131" s="350">
        <f t="shared" si="71"/>
        <v>13934648.429152755</v>
      </c>
      <c r="T131" s="350">
        <f t="shared" si="72"/>
        <v>13434059.246769596</v>
      </c>
      <c r="U131" s="350">
        <f t="shared" si="73"/>
        <v>12870670.84884928</v>
      </c>
      <c r="V131" s="350">
        <f t="shared" si="74"/>
        <v>69482595.529601008</v>
      </c>
      <c r="W131" s="365"/>
      <c r="X131" s="377">
        <f t="shared" si="52"/>
        <v>0</v>
      </c>
      <c r="Y131" s="377">
        <f t="shared" si="53"/>
        <v>0</v>
      </c>
      <c r="Z131" s="377">
        <f t="shared" si="54"/>
        <v>0</v>
      </c>
      <c r="AA131" s="377">
        <f t="shared" si="55"/>
        <v>0</v>
      </c>
      <c r="AB131" s="377">
        <f t="shared" si="56"/>
        <v>0</v>
      </c>
      <c r="AC131" s="377">
        <f t="shared" si="57"/>
        <v>0</v>
      </c>
      <c r="AD131" s="376"/>
      <c r="AE131" s="332">
        <v>116</v>
      </c>
      <c r="AF131" s="350">
        <v>571585.67980117106</v>
      </c>
      <c r="AG131" s="350">
        <v>569525.8669223144</v>
      </c>
      <c r="AH131" s="350">
        <v>567298.28027928295</v>
      </c>
      <c r="AI131" s="350">
        <v>564625.8132509283</v>
      </c>
      <c r="AJ131" s="350">
        <v>561262.97954859585</v>
      </c>
      <c r="AK131" s="348">
        <v>2834298.6198022924</v>
      </c>
      <c r="AL131" s="369"/>
      <c r="AM131" s="350">
        <v>15120065.87650075</v>
      </c>
      <c r="AN131" s="350">
        <v>14984570.594685502</v>
      </c>
      <c r="AO131" s="350">
        <v>14836302.562884655</v>
      </c>
      <c r="AP131" s="350">
        <v>14646797.235974293</v>
      </c>
      <c r="AQ131" s="350">
        <v>14391701.247177096</v>
      </c>
      <c r="AR131" s="348">
        <v>73979437.5172223</v>
      </c>
      <c r="AS131" s="369"/>
      <c r="AT131" s="350">
        <f t="shared" si="75"/>
        <v>14548480.196699578</v>
      </c>
      <c r="AU131" s="350">
        <f t="shared" si="58"/>
        <v>14415044.727763187</v>
      </c>
      <c r="AV131" s="350">
        <f t="shared" si="59"/>
        <v>14269004.282605372</v>
      </c>
      <c r="AW131" s="350">
        <f t="shared" si="60"/>
        <v>14082171.422723364</v>
      </c>
      <c r="AX131" s="350">
        <f t="shared" si="61"/>
        <v>13830438.2676285</v>
      </c>
      <c r="AY131" s="350">
        <f t="shared" si="62"/>
        <v>71145138.897420004</v>
      </c>
      <c r="AZ131" s="365"/>
      <c r="BA131" s="377">
        <f t="shared" si="63"/>
        <v>0</v>
      </c>
      <c r="BB131" s="377">
        <f t="shared" si="64"/>
        <v>0</v>
      </c>
      <c r="BC131" s="377">
        <f t="shared" si="65"/>
        <v>0</v>
      </c>
      <c r="BD131" s="377">
        <f t="shared" si="66"/>
        <v>0</v>
      </c>
      <c r="BE131" s="377">
        <f t="shared" si="67"/>
        <v>0</v>
      </c>
      <c r="BF131" s="377">
        <f t="shared" si="68"/>
        <v>0</v>
      </c>
      <c r="BG131" s="328"/>
    </row>
    <row r="132" spans="2:59">
      <c r="B132" s="332">
        <v>117</v>
      </c>
      <c r="C132" s="350">
        <v>4801138.1956417887</v>
      </c>
      <c r="D132" s="350">
        <v>4783836.4215805605</v>
      </c>
      <c r="E132" s="350">
        <v>4765125.4011790715</v>
      </c>
      <c r="F132" s="350">
        <v>4742677.5268185902</v>
      </c>
      <c r="G132" s="350">
        <v>4714430.7916318793</v>
      </c>
      <c r="H132" s="348">
        <v>23807208.336851887</v>
      </c>
      <c r="I132" s="369"/>
      <c r="J132" s="350">
        <v>19320429.941291623</v>
      </c>
      <c r="K132" s="350">
        <v>18958425.444278285</v>
      </c>
      <c r="L132" s="350">
        <v>18583956.623300452</v>
      </c>
      <c r="M132" s="350">
        <v>18166751.255752079</v>
      </c>
      <c r="N132" s="350">
        <v>17681284.304412317</v>
      </c>
      <c r="O132" s="348">
        <v>92710847.56903477</v>
      </c>
      <c r="P132" s="369"/>
      <c r="Q132" s="350">
        <f t="shared" si="69"/>
        <v>14519291.745649833</v>
      </c>
      <c r="R132" s="350">
        <f t="shared" si="70"/>
        <v>14174589.022697724</v>
      </c>
      <c r="S132" s="350">
        <f t="shared" si="71"/>
        <v>13818831.22212138</v>
      </c>
      <c r="T132" s="350">
        <f t="shared" si="72"/>
        <v>13424073.728933489</v>
      </c>
      <c r="U132" s="350">
        <f t="shared" si="73"/>
        <v>12966853.512780437</v>
      </c>
      <c r="V132" s="350">
        <f t="shared" si="74"/>
        <v>68903639.23218289</v>
      </c>
      <c r="W132" s="365"/>
      <c r="X132" s="377">
        <f t="shared" si="52"/>
        <v>0</v>
      </c>
      <c r="Y132" s="377">
        <f t="shared" si="53"/>
        <v>0</v>
      </c>
      <c r="Z132" s="377">
        <f t="shared" si="54"/>
        <v>0</v>
      </c>
      <c r="AA132" s="377">
        <f t="shared" si="55"/>
        <v>0</v>
      </c>
      <c r="AB132" s="377">
        <f t="shared" si="56"/>
        <v>0</v>
      </c>
      <c r="AC132" s="377">
        <f t="shared" si="57"/>
        <v>0</v>
      </c>
      <c r="AD132" s="376"/>
      <c r="AE132" s="332">
        <v>117</v>
      </c>
      <c r="AF132" s="350">
        <v>423126.60988096823</v>
      </c>
      <c r="AG132" s="350">
        <v>421601.79624196509</v>
      </c>
      <c r="AH132" s="350">
        <v>419952.78504768555</v>
      </c>
      <c r="AI132" s="350">
        <v>417974.44312330475</v>
      </c>
      <c r="AJ132" s="350">
        <v>415485.04481550184</v>
      </c>
      <c r="AK132" s="348">
        <v>2098140.6791094253</v>
      </c>
      <c r="AL132" s="369"/>
      <c r="AM132" s="350">
        <v>15627892.305563474</v>
      </c>
      <c r="AN132" s="350">
        <v>15495624.888342347</v>
      </c>
      <c r="AO132" s="350">
        <v>15349996.891994806</v>
      </c>
      <c r="AP132" s="350">
        <v>15161336.530921547</v>
      </c>
      <c r="AQ132" s="350">
        <v>14904242.120159581</v>
      </c>
      <c r="AR132" s="348">
        <v>76539092.73698175</v>
      </c>
      <c r="AS132" s="369"/>
      <c r="AT132" s="350">
        <f t="shared" si="75"/>
        <v>15204765.695682505</v>
      </c>
      <c r="AU132" s="350">
        <f t="shared" si="58"/>
        <v>15074023.092100382</v>
      </c>
      <c r="AV132" s="350">
        <f t="shared" si="59"/>
        <v>14930044.10694712</v>
      </c>
      <c r="AW132" s="350">
        <f t="shared" si="60"/>
        <v>14743362.087798242</v>
      </c>
      <c r="AX132" s="350">
        <f t="shared" si="61"/>
        <v>14488757.07534408</v>
      </c>
      <c r="AY132" s="350">
        <f t="shared" si="62"/>
        <v>74440952.057872325</v>
      </c>
      <c r="AZ132" s="365"/>
      <c r="BA132" s="377">
        <f t="shared" si="63"/>
        <v>0</v>
      </c>
      <c r="BB132" s="377">
        <f t="shared" si="64"/>
        <v>0</v>
      </c>
      <c r="BC132" s="377">
        <f t="shared" si="65"/>
        <v>0</v>
      </c>
      <c r="BD132" s="377">
        <f t="shared" si="66"/>
        <v>0</v>
      </c>
      <c r="BE132" s="377">
        <f t="shared" si="67"/>
        <v>0</v>
      </c>
      <c r="BF132" s="377">
        <f t="shared" si="68"/>
        <v>0</v>
      </c>
      <c r="BG132" s="328"/>
    </row>
    <row r="133" spans="2:59">
      <c r="B133" s="332">
        <v>118</v>
      </c>
      <c r="C133" s="350">
        <v>5635665.13228135</v>
      </c>
      <c r="D133" s="350">
        <v>5615355.9887345172</v>
      </c>
      <c r="E133" s="350">
        <v>5593392.6456751982</v>
      </c>
      <c r="F133" s="350">
        <v>5567042.9140757127</v>
      </c>
      <c r="G133" s="350">
        <v>5533886.3720005369</v>
      </c>
      <c r="H133" s="348">
        <v>27945343.052767318</v>
      </c>
      <c r="I133" s="369"/>
      <c r="J133" s="350">
        <v>16288498.447028058</v>
      </c>
      <c r="K133" s="350">
        <v>15909627.205012124</v>
      </c>
      <c r="L133" s="350">
        <v>15521752.110720452</v>
      </c>
      <c r="M133" s="350">
        <v>15101730.990268581</v>
      </c>
      <c r="N133" s="350">
        <v>14630226.468184199</v>
      </c>
      <c r="O133" s="348">
        <v>77451835.221213415</v>
      </c>
      <c r="P133" s="369"/>
      <c r="Q133" s="350">
        <f t="shared" si="69"/>
        <v>10652833.314746708</v>
      </c>
      <c r="R133" s="350">
        <f t="shared" si="70"/>
        <v>10294271.216277607</v>
      </c>
      <c r="S133" s="350">
        <f t="shared" si="71"/>
        <v>9928359.4650452547</v>
      </c>
      <c r="T133" s="350">
        <f t="shared" si="72"/>
        <v>9534688.076192867</v>
      </c>
      <c r="U133" s="350">
        <f t="shared" si="73"/>
        <v>9096340.0961836614</v>
      </c>
      <c r="V133" s="350">
        <f t="shared" si="74"/>
        <v>49506492.168446094</v>
      </c>
      <c r="W133" s="365"/>
      <c r="X133" s="377">
        <f t="shared" si="52"/>
        <v>0</v>
      </c>
      <c r="Y133" s="377">
        <f t="shared" si="53"/>
        <v>0</v>
      </c>
      <c r="Z133" s="377">
        <f t="shared" si="54"/>
        <v>0</v>
      </c>
      <c r="AA133" s="377">
        <f t="shared" si="55"/>
        <v>0</v>
      </c>
      <c r="AB133" s="377">
        <f t="shared" si="56"/>
        <v>0</v>
      </c>
      <c r="AC133" s="377">
        <f t="shared" si="57"/>
        <v>0</v>
      </c>
      <c r="AD133" s="376"/>
      <c r="AE133" s="332">
        <v>118</v>
      </c>
      <c r="AF133" s="350">
        <v>513309.18394988845</v>
      </c>
      <c r="AG133" s="350">
        <v>511459.38101517671</v>
      </c>
      <c r="AH133" s="350">
        <v>509458.9098306821</v>
      </c>
      <c r="AI133" s="350">
        <v>507058.91641248629</v>
      </c>
      <c r="AJ133" s="350">
        <v>504038.94323173078</v>
      </c>
      <c r="AK133" s="348">
        <v>2545325.334439964</v>
      </c>
      <c r="AL133" s="369"/>
      <c r="AM133" s="350">
        <v>12426582.653940568</v>
      </c>
      <c r="AN133" s="350">
        <v>12313204.099602144</v>
      </c>
      <c r="AO133" s="350">
        <v>12189369.384202505</v>
      </c>
      <c r="AP133" s="350">
        <v>12031749.877048027</v>
      </c>
      <c r="AQ133" s="350">
        <v>11820390.348303495</v>
      </c>
      <c r="AR133" s="348">
        <v>60781296.363096744</v>
      </c>
      <c r="AS133" s="369"/>
      <c r="AT133" s="350">
        <f t="shared" si="75"/>
        <v>11913273.46999068</v>
      </c>
      <c r="AU133" s="350">
        <f t="shared" si="58"/>
        <v>11801744.718586968</v>
      </c>
      <c r="AV133" s="350">
        <f t="shared" si="59"/>
        <v>11679910.474371823</v>
      </c>
      <c r="AW133" s="350">
        <f t="shared" si="60"/>
        <v>11524690.960635541</v>
      </c>
      <c r="AX133" s="350">
        <f t="shared" si="61"/>
        <v>11316351.405071763</v>
      </c>
      <c r="AY133" s="350">
        <f t="shared" si="62"/>
        <v>58235971.028656781</v>
      </c>
      <c r="AZ133" s="365"/>
      <c r="BA133" s="377">
        <f t="shared" si="63"/>
        <v>0</v>
      </c>
      <c r="BB133" s="377">
        <f t="shared" si="64"/>
        <v>0</v>
      </c>
      <c r="BC133" s="377">
        <f t="shared" si="65"/>
        <v>0</v>
      </c>
      <c r="BD133" s="377">
        <f t="shared" si="66"/>
        <v>0</v>
      </c>
      <c r="BE133" s="377">
        <f t="shared" si="67"/>
        <v>0</v>
      </c>
      <c r="BF133" s="377">
        <f t="shared" si="68"/>
        <v>0</v>
      </c>
      <c r="BG133" s="328"/>
    </row>
    <row r="134" spans="2:59">
      <c r="B134" s="332">
        <v>119</v>
      </c>
      <c r="C134" s="350">
        <v>6565376.1854745671</v>
      </c>
      <c r="D134" s="350">
        <v>6541716.6591790812</v>
      </c>
      <c r="E134" s="350">
        <v>6516130.0414346913</v>
      </c>
      <c r="F134" s="350">
        <v>6485433.4162313994</v>
      </c>
      <c r="G134" s="350">
        <v>6446807.0666127671</v>
      </c>
      <c r="H134" s="348">
        <v>32555463.3689325</v>
      </c>
      <c r="I134" s="369"/>
      <c r="J134" s="350">
        <v>23136229.673931643</v>
      </c>
      <c r="K134" s="350">
        <v>22664869.173998054</v>
      </c>
      <c r="L134" s="350">
        <v>22179355.736166187</v>
      </c>
      <c r="M134" s="350">
        <v>21644661.090630844</v>
      </c>
      <c r="N134" s="350">
        <v>21031340.278747372</v>
      </c>
      <c r="O134" s="348">
        <v>110656455.9534741</v>
      </c>
      <c r="P134" s="369"/>
      <c r="Q134" s="350">
        <f t="shared" si="69"/>
        <v>16570853.488457076</v>
      </c>
      <c r="R134" s="350">
        <f t="shared" si="70"/>
        <v>16123152.514818974</v>
      </c>
      <c r="S134" s="350">
        <f t="shared" si="71"/>
        <v>15663225.694731496</v>
      </c>
      <c r="T134" s="350">
        <f t="shared" si="72"/>
        <v>15159227.674399445</v>
      </c>
      <c r="U134" s="350">
        <f t="shared" si="73"/>
        <v>14584533.212134605</v>
      </c>
      <c r="V134" s="350">
        <f t="shared" si="74"/>
        <v>78100992.584541604</v>
      </c>
      <c r="W134" s="365"/>
      <c r="X134" s="377">
        <f t="shared" si="52"/>
        <v>0</v>
      </c>
      <c r="Y134" s="377">
        <f t="shared" si="53"/>
        <v>0</v>
      </c>
      <c r="Z134" s="377">
        <f t="shared" si="54"/>
        <v>0</v>
      </c>
      <c r="AA134" s="377">
        <f t="shared" si="55"/>
        <v>0</v>
      </c>
      <c r="AB134" s="377">
        <f t="shared" si="56"/>
        <v>0</v>
      </c>
      <c r="AC134" s="377">
        <f t="shared" si="57"/>
        <v>0</v>
      </c>
      <c r="AD134" s="376"/>
      <c r="AE134" s="332">
        <v>119</v>
      </c>
      <c r="AF134" s="350">
        <v>530642.14427979279</v>
      </c>
      <c r="AG134" s="350">
        <v>528729.87887238816</v>
      </c>
      <c r="AH134" s="350">
        <v>526661.8575859936</v>
      </c>
      <c r="AI134" s="350">
        <v>524180.82336040476</v>
      </c>
      <c r="AJ134" s="350">
        <v>521058.87445629144</v>
      </c>
      <c r="AK134" s="348">
        <v>2631273.578554871</v>
      </c>
      <c r="AL134" s="369"/>
      <c r="AM134" s="350">
        <v>15619704.816515103</v>
      </c>
      <c r="AN134" s="350">
        <v>15482508.084552033</v>
      </c>
      <c r="AO134" s="350">
        <v>15332059.844945379</v>
      </c>
      <c r="AP134" s="350">
        <v>15138865.294787141</v>
      </c>
      <c r="AQ134" s="350">
        <v>14877684.100710658</v>
      </c>
      <c r="AR134" s="348">
        <v>76450822.141510308</v>
      </c>
      <c r="AS134" s="369"/>
      <c r="AT134" s="350">
        <f t="shared" si="75"/>
        <v>15089062.67223531</v>
      </c>
      <c r="AU134" s="350">
        <f t="shared" si="58"/>
        <v>14953778.205679644</v>
      </c>
      <c r="AV134" s="350">
        <f t="shared" si="59"/>
        <v>14805397.987359386</v>
      </c>
      <c r="AW134" s="350">
        <f t="shared" si="60"/>
        <v>14614684.471426737</v>
      </c>
      <c r="AX134" s="350">
        <f t="shared" si="61"/>
        <v>14356625.226254366</v>
      </c>
      <c r="AY134" s="350">
        <f t="shared" si="62"/>
        <v>73819548.562955439</v>
      </c>
      <c r="AZ134" s="365"/>
      <c r="BA134" s="377">
        <f t="shared" si="63"/>
        <v>0</v>
      </c>
      <c r="BB134" s="377">
        <f t="shared" si="64"/>
        <v>0</v>
      </c>
      <c r="BC134" s="377">
        <f t="shared" si="65"/>
        <v>0</v>
      </c>
      <c r="BD134" s="377">
        <f t="shared" si="66"/>
        <v>0</v>
      </c>
      <c r="BE134" s="377">
        <f t="shared" si="67"/>
        <v>0</v>
      </c>
      <c r="BF134" s="377">
        <f t="shared" si="68"/>
        <v>0</v>
      </c>
      <c r="BG134" s="328"/>
    </row>
    <row r="135" spans="2:59">
      <c r="B135" s="332">
        <v>120</v>
      </c>
      <c r="C135" s="350">
        <v>4525482.7256726455</v>
      </c>
      <c r="D135" s="350">
        <v>4509174.3261959013</v>
      </c>
      <c r="E135" s="350">
        <v>4491537.5917058345</v>
      </c>
      <c r="F135" s="350">
        <v>4470378.5532639427</v>
      </c>
      <c r="G135" s="350">
        <v>4443753.5933200382</v>
      </c>
      <c r="H135" s="348">
        <v>22440326.790158361</v>
      </c>
      <c r="I135" s="369"/>
      <c r="J135" s="350">
        <v>16424732.800087862</v>
      </c>
      <c r="K135" s="350">
        <v>16096388.04383049</v>
      </c>
      <c r="L135" s="350">
        <v>15757867.667986222</v>
      </c>
      <c r="M135" s="350">
        <v>15384101.771274958</v>
      </c>
      <c r="N135" s="350">
        <v>14954000.952301782</v>
      </c>
      <c r="O135" s="348">
        <v>78617091.235481322</v>
      </c>
      <c r="P135" s="369"/>
      <c r="Q135" s="350">
        <f t="shared" si="69"/>
        <v>11899250.074415216</v>
      </c>
      <c r="R135" s="350">
        <f t="shared" si="70"/>
        <v>11587213.717634588</v>
      </c>
      <c r="S135" s="350">
        <f t="shared" si="71"/>
        <v>11266330.076280387</v>
      </c>
      <c r="T135" s="350">
        <f t="shared" si="72"/>
        <v>10913723.218011014</v>
      </c>
      <c r="U135" s="350">
        <f t="shared" si="73"/>
        <v>10510247.358981743</v>
      </c>
      <c r="V135" s="350">
        <f t="shared" si="74"/>
        <v>56176764.445322961</v>
      </c>
      <c r="W135" s="365"/>
      <c r="X135" s="377">
        <f t="shared" si="52"/>
        <v>0</v>
      </c>
      <c r="Y135" s="377">
        <f t="shared" si="53"/>
        <v>0</v>
      </c>
      <c r="Z135" s="377">
        <f t="shared" si="54"/>
        <v>0</v>
      </c>
      <c r="AA135" s="377">
        <f t="shared" si="55"/>
        <v>0</v>
      </c>
      <c r="AB135" s="377">
        <f t="shared" si="56"/>
        <v>0</v>
      </c>
      <c r="AC135" s="377">
        <f t="shared" si="57"/>
        <v>0</v>
      </c>
      <c r="AD135" s="376"/>
      <c r="AE135" s="332">
        <v>120</v>
      </c>
      <c r="AF135" s="350">
        <v>545290.88419511612</v>
      </c>
      <c r="AG135" s="350">
        <v>543325.82939112082</v>
      </c>
      <c r="AH135" s="350">
        <v>541200.71896039357</v>
      </c>
      <c r="AI135" s="350">
        <v>538651.19408534653</v>
      </c>
      <c r="AJ135" s="350">
        <v>535443.06164300838</v>
      </c>
      <c r="AK135" s="348">
        <v>2703911.6882749852</v>
      </c>
      <c r="AL135" s="369"/>
      <c r="AM135" s="350">
        <v>17897223.99166717</v>
      </c>
      <c r="AN135" s="350">
        <v>17742932.703563306</v>
      </c>
      <c r="AO135" s="350">
        <v>17573398.270830452</v>
      </c>
      <c r="AP135" s="350">
        <v>17354731.245589551</v>
      </c>
      <c r="AQ135" s="350">
        <v>17057924.794400461</v>
      </c>
      <c r="AR135" s="348">
        <v>87626211.006050944</v>
      </c>
      <c r="AS135" s="369"/>
      <c r="AT135" s="350">
        <f t="shared" si="75"/>
        <v>17351933.107472055</v>
      </c>
      <c r="AU135" s="350">
        <f t="shared" si="58"/>
        <v>17199606.874172185</v>
      </c>
      <c r="AV135" s="350">
        <f t="shared" si="59"/>
        <v>17032197.551870059</v>
      </c>
      <c r="AW135" s="350">
        <f t="shared" si="60"/>
        <v>16816080.051504202</v>
      </c>
      <c r="AX135" s="350">
        <f t="shared" si="61"/>
        <v>16522481.732757453</v>
      </c>
      <c r="AY135" s="350">
        <f t="shared" si="62"/>
        <v>84922299.317775965</v>
      </c>
      <c r="AZ135" s="365"/>
      <c r="BA135" s="377">
        <f t="shared" si="63"/>
        <v>0</v>
      </c>
      <c r="BB135" s="377">
        <f t="shared" si="64"/>
        <v>0</v>
      </c>
      <c r="BC135" s="377">
        <f t="shared" si="65"/>
        <v>0</v>
      </c>
      <c r="BD135" s="377">
        <f t="shared" si="66"/>
        <v>0</v>
      </c>
      <c r="BE135" s="377">
        <f t="shared" si="67"/>
        <v>0</v>
      </c>
      <c r="BF135" s="377">
        <f t="shared" si="68"/>
        <v>0</v>
      </c>
      <c r="BG135" s="328"/>
    </row>
    <row r="136" spans="2:59">
      <c r="B136" s="332">
        <v>121</v>
      </c>
      <c r="C136" s="350">
        <v>6166186.9035521634</v>
      </c>
      <c r="D136" s="350">
        <v>6143965.9283839399</v>
      </c>
      <c r="E136" s="350">
        <v>6119935.0331565337</v>
      </c>
      <c r="F136" s="350">
        <v>6091104.8301392924</v>
      </c>
      <c r="G136" s="350">
        <v>6054827.0473555131</v>
      </c>
      <c r="H136" s="348">
        <v>30576019.742587443</v>
      </c>
      <c r="I136" s="369"/>
      <c r="J136" s="350">
        <v>16577418.82595058</v>
      </c>
      <c r="K136" s="350">
        <v>16171850.97280309</v>
      </c>
      <c r="L136" s="350">
        <v>15757527.476971604</v>
      </c>
      <c r="M136" s="350">
        <v>15311540.840555383</v>
      </c>
      <c r="N136" s="350">
        <v>14814802.32507362</v>
      </c>
      <c r="O136" s="348">
        <v>78633140.441354275</v>
      </c>
      <c r="P136" s="369"/>
      <c r="Q136" s="350">
        <f t="shared" si="69"/>
        <v>10411231.922398416</v>
      </c>
      <c r="R136" s="350">
        <f t="shared" si="70"/>
        <v>10027885.044419151</v>
      </c>
      <c r="S136" s="350">
        <f t="shared" si="71"/>
        <v>9637592.4438150711</v>
      </c>
      <c r="T136" s="350">
        <f t="shared" si="72"/>
        <v>9220436.0104160905</v>
      </c>
      <c r="U136" s="350">
        <f t="shared" si="73"/>
        <v>8759975.2777181081</v>
      </c>
      <c r="V136" s="350">
        <f t="shared" si="74"/>
        <v>48057120.698766828</v>
      </c>
      <c r="W136" s="365"/>
      <c r="X136" s="377">
        <f t="shared" si="52"/>
        <v>0</v>
      </c>
      <c r="Y136" s="377">
        <f t="shared" si="53"/>
        <v>0</v>
      </c>
      <c r="Z136" s="377">
        <f t="shared" si="54"/>
        <v>0</v>
      </c>
      <c r="AA136" s="377">
        <f t="shared" si="55"/>
        <v>0</v>
      </c>
      <c r="AB136" s="377">
        <f t="shared" si="56"/>
        <v>0</v>
      </c>
      <c r="AC136" s="377">
        <f t="shared" si="57"/>
        <v>0</v>
      </c>
      <c r="AD136" s="376"/>
      <c r="AE136" s="332">
        <v>121</v>
      </c>
      <c r="AF136" s="350">
        <v>637239.02981057065</v>
      </c>
      <c r="AG136" s="350">
        <v>634942.62315291865</v>
      </c>
      <c r="AH136" s="350">
        <v>632459.17193748918</v>
      </c>
      <c r="AI136" s="350">
        <v>629479.74058269756</v>
      </c>
      <c r="AJ136" s="350">
        <v>625730.6458072057</v>
      </c>
      <c r="AK136" s="348">
        <v>3159851.211290882</v>
      </c>
      <c r="AL136" s="369"/>
      <c r="AM136" s="350">
        <v>15473821.862829285</v>
      </c>
      <c r="AN136" s="350">
        <v>15332730.859313555</v>
      </c>
      <c r="AO136" s="350">
        <v>15178617.799812429</v>
      </c>
      <c r="AP136" s="350">
        <v>14982430.508430649</v>
      </c>
      <c r="AQ136" s="350">
        <v>14719317.675104631</v>
      </c>
      <c r="AR136" s="348">
        <v>75686918.705490544</v>
      </c>
      <c r="AS136" s="369"/>
      <c r="AT136" s="350">
        <f t="shared" si="75"/>
        <v>14836582.833018715</v>
      </c>
      <c r="AU136" s="350">
        <f t="shared" si="58"/>
        <v>14697788.236160636</v>
      </c>
      <c r="AV136" s="350">
        <f t="shared" si="59"/>
        <v>14546158.627874939</v>
      </c>
      <c r="AW136" s="350">
        <f t="shared" si="60"/>
        <v>14352950.767847952</v>
      </c>
      <c r="AX136" s="350">
        <f t="shared" si="61"/>
        <v>14093587.029297426</v>
      </c>
      <c r="AY136" s="350">
        <f t="shared" si="62"/>
        <v>72527067.494199663</v>
      </c>
      <c r="AZ136" s="365"/>
      <c r="BA136" s="377">
        <f t="shared" si="63"/>
        <v>0</v>
      </c>
      <c r="BB136" s="377">
        <f t="shared" si="64"/>
        <v>0</v>
      </c>
      <c r="BC136" s="377">
        <f t="shared" si="65"/>
        <v>0</v>
      </c>
      <c r="BD136" s="377">
        <f t="shared" si="66"/>
        <v>0</v>
      </c>
      <c r="BE136" s="377">
        <f t="shared" si="67"/>
        <v>0</v>
      </c>
      <c r="BF136" s="377">
        <f t="shared" si="68"/>
        <v>0</v>
      </c>
      <c r="BG136" s="328"/>
    </row>
    <row r="137" spans="2:59">
      <c r="B137" s="332">
        <v>122</v>
      </c>
      <c r="C137" s="350">
        <v>4869645.335431437</v>
      </c>
      <c r="D137" s="350">
        <v>4852096.6834412841</v>
      </c>
      <c r="E137" s="350">
        <v>4833118.6766632264</v>
      </c>
      <c r="F137" s="350">
        <v>4810350.4949914124</v>
      </c>
      <c r="G137" s="350">
        <v>4781700.7089119367</v>
      </c>
      <c r="H137" s="348">
        <v>24146911.899439294</v>
      </c>
      <c r="I137" s="369"/>
      <c r="J137" s="350">
        <v>16785047.37304385</v>
      </c>
      <c r="K137" s="350">
        <v>16438137.820715355</v>
      </c>
      <c r="L137" s="350">
        <v>16081061.43133992</v>
      </c>
      <c r="M137" s="350">
        <v>15688565.28333639</v>
      </c>
      <c r="N137" s="350">
        <v>15239433.832108866</v>
      </c>
      <c r="O137" s="348">
        <v>80232245.740544379</v>
      </c>
      <c r="P137" s="369"/>
      <c r="Q137" s="350">
        <f t="shared" si="69"/>
        <v>11915402.037612412</v>
      </c>
      <c r="R137" s="350">
        <f t="shared" si="70"/>
        <v>11586041.137274072</v>
      </c>
      <c r="S137" s="350">
        <f t="shared" si="71"/>
        <v>11247942.754676692</v>
      </c>
      <c r="T137" s="350">
        <f t="shared" si="72"/>
        <v>10878214.788344977</v>
      </c>
      <c r="U137" s="350">
        <f t="shared" si="73"/>
        <v>10457733.12319693</v>
      </c>
      <c r="V137" s="350">
        <f t="shared" si="74"/>
        <v>56085333.841105089</v>
      </c>
      <c r="W137" s="365"/>
      <c r="X137" s="377">
        <f t="shared" si="52"/>
        <v>0</v>
      </c>
      <c r="Y137" s="377">
        <f t="shared" si="53"/>
        <v>0</v>
      </c>
      <c r="Z137" s="377">
        <f t="shared" si="54"/>
        <v>0</v>
      </c>
      <c r="AA137" s="377">
        <f t="shared" si="55"/>
        <v>0</v>
      </c>
      <c r="AB137" s="377">
        <f t="shared" si="56"/>
        <v>0</v>
      </c>
      <c r="AC137" s="377">
        <f t="shared" si="57"/>
        <v>0</v>
      </c>
      <c r="AD137" s="376"/>
      <c r="AE137" s="332">
        <v>122</v>
      </c>
      <c r="AF137" s="350">
        <v>448968.68759691162</v>
      </c>
      <c r="AG137" s="350">
        <v>447350.74733424233</v>
      </c>
      <c r="AH137" s="350">
        <v>445601.02426214213</v>
      </c>
      <c r="AI137" s="350">
        <v>443501.85688135022</v>
      </c>
      <c r="AJ137" s="350">
        <v>440860.42080746521</v>
      </c>
      <c r="AK137" s="348">
        <v>2226282.7368821115</v>
      </c>
      <c r="AL137" s="369"/>
      <c r="AM137" s="350">
        <v>10783465.026864182</v>
      </c>
      <c r="AN137" s="350">
        <v>10684914.18065994</v>
      </c>
      <c r="AO137" s="350">
        <v>10577293.09659549</v>
      </c>
      <c r="AP137" s="350">
        <v>10440363.089068301</v>
      </c>
      <c r="AQ137" s="350">
        <v>10256812.382805351</v>
      </c>
      <c r="AR137" s="348">
        <v>52742847.775993258</v>
      </c>
      <c r="AS137" s="369"/>
      <c r="AT137" s="350">
        <f t="shared" si="75"/>
        <v>10334496.339267271</v>
      </c>
      <c r="AU137" s="350">
        <f t="shared" si="58"/>
        <v>10237563.433325699</v>
      </c>
      <c r="AV137" s="350">
        <f t="shared" si="59"/>
        <v>10131692.072333349</v>
      </c>
      <c r="AW137" s="350">
        <f t="shared" si="60"/>
        <v>9996861.2321869507</v>
      </c>
      <c r="AX137" s="350">
        <f t="shared" si="61"/>
        <v>9815951.9619978853</v>
      </c>
      <c r="AY137" s="350">
        <f t="shared" si="62"/>
        <v>50516565.039111145</v>
      </c>
      <c r="AZ137" s="365"/>
      <c r="BA137" s="377">
        <f t="shared" si="63"/>
        <v>0</v>
      </c>
      <c r="BB137" s="377">
        <f t="shared" si="64"/>
        <v>0</v>
      </c>
      <c r="BC137" s="377">
        <f t="shared" si="65"/>
        <v>0</v>
      </c>
      <c r="BD137" s="377">
        <f t="shared" si="66"/>
        <v>0</v>
      </c>
      <c r="BE137" s="377">
        <f t="shared" si="67"/>
        <v>0</v>
      </c>
      <c r="BF137" s="377">
        <f t="shared" si="68"/>
        <v>0</v>
      </c>
      <c r="BG137" s="328"/>
    </row>
    <row r="138" spans="2:59">
      <c r="B138" s="332">
        <v>123</v>
      </c>
      <c r="C138" s="350">
        <v>7035322.7144835275</v>
      </c>
      <c r="D138" s="350">
        <v>7009969.6504612695</v>
      </c>
      <c r="E138" s="350">
        <v>6982551.5546936337</v>
      </c>
      <c r="F138" s="350">
        <v>6949657.6795447106</v>
      </c>
      <c r="G138" s="350">
        <v>6908266.4740490075</v>
      </c>
      <c r="H138" s="348">
        <v>34885768.073232152</v>
      </c>
      <c r="I138" s="369"/>
      <c r="J138" s="350">
        <v>27570427.378335863</v>
      </c>
      <c r="K138" s="350">
        <v>27045304.215054221</v>
      </c>
      <c r="L138" s="350">
        <v>26502568.726065595</v>
      </c>
      <c r="M138" s="350">
        <v>25899297.972849444</v>
      </c>
      <c r="N138" s="350">
        <v>25199320.411238454</v>
      </c>
      <c r="O138" s="348">
        <v>132216918.70354357</v>
      </c>
      <c r="P138" s="369"/>
      <c r="Q138" s="350">
        <f t="shared" si="69"/>
        <v>20535104.663852334</v>
      </c>
      <c r="R138" s="350">
        <f t="shared" si="70"/>
        <v>20035334.56459295</v>
      </c>
      <c r="S138" s="350">
        <f t="shared" si="71"/>
        <v>19520017.171371959</v>
      </c>
      <c r="T138" s="350">
        <f t="shared" si="72"/>
        <v>18949640.293304734</v>
      </c>
      <c r="U138" s="350">
        <f t="shared" si="73"/>
        <v>18291053.937189445</v>
      </c>
      <c r="V138" s="350">
        <f t="shared" si="74"/>
        <v>97331150.63031143</v>
      </c>
      <c r="W138" s="365"/>
      <c r="X138" s="377">
        <f t="shared" si="52"/>
        <v>0</v>
      </c>
      <c r="Y138" s="377">
        <f t="shared" si="53"/>
        <v>0</v>
      </c>
      <c r="Z138" s="377">
        <f t="shared" si="54"/>
        <v>0</v>
      </c>
      <c r="AA138" s="377">
        <f t="shared" si="55"/>
        <v>0</v>
      </c>
      <c r="AB138" s="377">
        <f t="shared" si="56"/>
        <v>0</v>
      </c>
      <c r="AC138" s="377">
        <f t="shared" si="57"/>
        <v>0</v>
      </c>
      <c r="AD138" s="376"/>
      <c r="AE138" s="332">
        <v>123</v>
      </c>
      <c r="AF138" s="350">
        <v>571938.06333329761</v>
      </c>
      <c r="AG138" s="350">
        <v>569876.98057633976</v>
      </c>
      <c r="AH138" s="350">
        <v>567648.02062239952</v>
      </c>
      <c r="AI138" s="350">
        <v>564973.90601363091</v>
      </c>
      <c r="AJ138" s="350">
        <v>561608.99911866989</v>
      </c>
      <c r="AK138" s="348">
        <v>2836045.9696643376</v>
      </c>
      <c r="AL138" s="369"/>
      <c r="AM138" s="350">
        <v>19176644.012216456</v>
      </c>
      <c r="AN138" s="350">
        <v>19011895.147969298</v>
      </c>
      <c r="AO138" s="350">
        <v>18830801.765938949</v>
      </c>
      <c r="AP138" s="350">
        <v>18597033.279234242</v>
      </c>
      <c r="AQ138" s="350">
        <v>18279492.292561527</v>
      </c>
      <c r="AR138" s="348">
        <v>93895866.497920483</v>
      </c>
      <c r="AS138" s="369"/>
      <c r="AT138" s="350">
        <f t="shared" si="75"/>
        <v>18604705.948883157</v>
      </c>
      <c r="AU138" s="350">
        <f t="shared" si="58"/>
        <v>18442018.167392958</v>
      </c>
      <c r="AV138" s="350">
        <f t="shared" si="59"/>
        <v>18263153.74531655</v>
      </c>
      <c r="AW138" s="350">
        <f t="shared" si="60"/>
        <v>18032059.373220611</v>
      </c>
      <c r="AX138" s="350">
        <f t="shared" si="61"/>
        <v>17717883.293442857</v>
      </c>
      <c r="AY138" s="350">
        <f t="shared" si="62"/>
        <v>91059820.528256148</v>
      </c>
      <c r="AZ138" s="365"/>
      <c r="BA138" s="377">
        <f t="shared" si="63"/>
        <v>0</v>
      </c>
      <c r="BB138" s="377">
        <f t="shared" si="64"/>
        <v>0</v>
      </c>
      <c r="BC138" s="377">
        <f t="shared" si="65"/>
        <v>0</v>
      </c>
      <c r="BD138" s="377">
        <f t="shared" si="66"/>
        <v>0</v>
      </c>
      <c r="BE138" s="377">
        <f t="shared" si="67"/>
        <v>0</v>
      </c>
      <c r="BF138" s="377">
        <f t="shared" si="68"/>
        <v>0</v>
      </c>
      <c r="BG138" s="328"/>
    </row>
    <row r="139" spans="2:59">
      <c r="B139" s="332">
        <v>124</v>
      </c>
      <c r="C139" s="350">
        <v>4233499.6867871378</v>
      </c>
      <c r="D139" s="350">
        <v>4218243.5012568887</v>
      </c>
      <c r="E139" s="350">
        <v>4201744.6845635725</v>
      </c>
      <c r="F139" s="350">
        <v>4181950.8221081244</v>
      </c>
      <c r="G139" s="350">
        <v>4157043.698069443</v>
      </c>
      <c r="H139" s="348">
        <v>20992482.392785165</v>
      </c>
      <c r="I139" s="369"/>
      <c r="J139" s="350">
        <v>14287148.837536832</v>
      </c>
      <c r="K139" s="350">
        <v>13987757.363877172</v>
      </c>
      <c r="L139" s="350">
        <v>13679795.934183653</v>
      </c>
      <c r="M139" s="350">
        <v>13341902.359576944</v>
      </c>
      <c r="N139" s="350">
        <v>12956139.990935434</v>
      </c>
      <c r="O139" s="348">
        <v>68252744.486110032</v>
      </c>
      <c r="P139" s="369"/>
      <c r="Q139" s="350">
        <f t="shared" si="69"/>
        <v>10053649.150749695</v>
      </c>
      <c r="R139" s="350">
        <f t="shared" si="70"/>
        <v>9769513.8626202829</v>
      </c>
      <c r="S139" s="350">
        <f t="shared" si="71"/>
        <v>9478051.24962008</v>
      </c>
      <c r="T139" s="350">
        <f t="shared" si="72"/>
        <v>9159951.5374688208</v>
      </c>
      <c r="U139" s="350">
        <f t="shared" si="73"/>
        <v>8799096.2928659916</v>
      </c>
      <c r="V139" s="350">
        <f t="shared" si="74"/>
        <v>47260262.09332487</v>
      </c>
      <c r="W139" s="365"/>
      <c r="X139" s="377">
        <f t="shared" si="52"/>
        <v>0</v>
      </c>
      <c r="Y139" s="377">
        <f t="shared" si="53"/>
        <v>0</v>
      </c>
      <c r="Z139" s="377">
        <f t="shared" si="54"/>
        <v>0</v>
      </c>
      <c r="AA139" s="377">
        <f t="shared" si="55"/>
        <v>0</v>
      </c>
      <c r="AB139" s="377">
        <f t="shared" si="56"/>
        <v>0</v>
      </c>
      <c r="AC139" s="377">
        <f t="shared" si="57"/>
        <v>0</v>
      </c>
      <c r="AD139" s="376"/>
      <c r="AE139" s="332">
        <v>124</v>
      </c>
      <c r="AF139" s="350">
        <v>327887.31177305779</v>
      </c>
      <c r="AG139" s="350">
        <v>326705.71025386173</v>
      </c>
      <c r="AH139" s="350">
        <v>325427.86614065856</v>
      </c>
      <c r="AI139" s="350">
        <v>323894.818584194</v>
      </c>
      <c r="AJ139" s="350">
        <v>321965.74558330775</v>
      </c>
      <c r="AK139" s="348">
        <v>1625881.4523350797</v>
      </c>
      <c r="AL139" s="369"/>
      <c r="AM139" s="350">
        <v>10089630.995585285</v>
      </c>
      <c r="AN139" s="350">
        <v>10001698.59349115</v>
      </c>
      <c r="AO139" s="350">
        <v>9905192.2087743171</v>
      </c>
      <c r="AP139" s="350">
        <v>9781037.2149491645</v>
      </c>
      <c r="AQ139" s="350">
        <v>9612909.0330126267</v>
      </c>
      <c r="AR139" s="348">
        <v>49390468.045812547</v>
      </c>
      <c r="AS139" s="369"/>
      <c r="AT139" s="350">
        <f t="shared" si="75"/>
        <v>9761743.6838122271</v>
      </c>
      <c r="AU139" s="350">
        <f t="shared" si="58"/>
        <v>9674992.8832372874</v>
      </c>
      <c r="AV139" s="350">
        <f t="shared" si="59"/>
        <v>9579764.342633659</v>
      </c>
      <c r="AW139" s="350">
        <f t="shared" si="60"/>
        <v>9457142.3963649701</v>
      </c>
      <c r="AX139" s="350">
        <f t="shared" si="61"/>
        <v>9290943.2874293197</v>
      </c>
      <c r="AY139" s="350">
        <f t="shared" si="62"/>
        <v>47764586.593477465</v>
      </c>
      <c r="AZ139" s="365"/>
      <c r="BA139" s="377">
        <f t="shared" si="63"/>
        <v>0</v>
      </c>
      <c r="BB139" s="377">
        <f t="shared" si="64"/>
        <v>0</v>
      </c>
      <c r="BC139" s="377">
        <f t="shared" si="65"/>
        <v>0</v>
      </c>
      <c r="BD139" s="377">
        <f t="shared" si="66"/>
        <v>0</v>
      </c>
      <c r="BE139" s="377">
        <f t="shared" si="67"/>
        <v>0</v>
      </c>
      <c r="BF139" s="377">
        <f t="shared" si="68"/>
        <v>0</v>
      </c>
      <c r="BG139" s="328"/>
    </row>
    <row r="140" spans="2:59">
      <c r="B140" s="332">
        <v>125</v>
      </c>
      <c r="C140" s="350">
        <v>6363937.7930527283</v>
      </c>
      <c r="D140" s="350">
        <v>6341004.1866143495</v>
      </c>
      <c r="E140" s="350">
        <v>6316202.6156061022</v>
      </c>
      <c r="F140" s="350">
        <v>6286447.8220144408</v>
      </c>
      <c r="G140" s="350">
        <v>6249006.6032325625</v>
      </c>
      <c r="H140" s="348">
        <v>31556599.020520184</v>
      </c>
      <c r="I140" s="369"/>
      <c r="J140" s="350">
        <v>22144365.233190335</v>
      </c>
      <c r="K140" s="350">
        <v>21689499.460573964</v>
      </c>
      <c r="L140" s="350">
        <v>21221163.310543142</v>
      </c>
      <c r="M140" s="350">
        <v>20705950.106869042</v>
      </c>
      <c r="N140" s="350">
        <v>20115787.17592188</v>
      </c>
      <c r="O140" s="348">
        <v>105876765.28709838</v>
      </c>
      <c r="P140" s="369"/>
      <c r="Q140" s="350">
        <f t="shared" si="69"/>
        <v>15780427.440137606</v>
      </c>
      <c r="R140" s="350">
        <f t="shared" si="70"/>
        <v>15348495.273959614</v>
      </c>
      <c r="S140" s="350">
        <f t="shared" si="71"/>
        <v>14904960.694937039</v>
      </c>
      <c r="T140" s="350">
        <f t="shared" si="72"/>
        <v>14419502.284854602</v>
      </c>
      <c r="U140" s="350">
        <f t="shared" si="73"/>
        <v>13866780.572689317</v>
      </c>
      <c r="V140" s="350">
        <f t="shared" si="74"/>
        <v>74320166.266578197</v>
      </c>
      <c r="W140" s="365"/>
      <c r="X140" s="377">
        <f t="shared" si="52"/>
        <v>0</v>
      </c>
      <c r="Y140" s="377">
        <f t="shared" si="53"/>
        <v>0</v>
      </c>
      <c r="Z140" s="377">
        <f t="shared" si="54"/>
        <v>0</v>
      </c>
      <c r="AA140" s="377">
        <f t="shared" si="55"/>
        <v>0</v>
      </c>
      <c r="AB140" s="377">
        <f t="shared" si="56"/>
        <v>0</v>
      </c>
      <c r="AC140" s="377">
        <f t="shared" si="57"/>
        <v>0</v>
      </c>
      <c r="AD140" s="376"/>
      <c r="AE140" s="332">
        <v>125</v>
      </c>
      <c r="AF140" s="350">
        <v>392660.22020068573</v>
      </c>
      <c r="AG140" s="350">
        <v>391245.19773394836</v>
      </c>
      <c r="AH140" s="350">
        <v>389714.92030979547</v>
      </c>
      <c r="AI140" s="350">
        <v>387879.02495951689</v>
      </c>
      <c r="AJ140" s="350">
        <v>385568.87082389288</v>
      </c>
      <c r="AK140" s="348">
        <v>1947068.2340278393</v>
      </c>
      <c r="AL140" s="369"/>
      <c r="AM140" s="350">
        <v>11392506.365529869</v>
      </c>
      <c r="AN140" s="350">
        <v>11292178.442593757</v>
      </c>
      <c r="AO140" s="350">
        <v>11182190.630685816</v>
      </c>
      <c r="AP140" s="350">
        <v>11041038.808442106</v>
      </c>
      <c r="AQ140" s="350">
        <v>10850321.227110941</v>
      </c>
      <c r="AR140" s="348">
        <v>55758235.474362493</v>
      </c>
      <c r="AS140" s="369"/>
      <c r="AT140" s="350">
        <f t="shared" si="75"/>
        <v>10999846.145329183</v>
      </c>
      <c r="AU140" s="350">
        <f t="shared" si="58"/>
        <v>10900933.244859809</v>
      </c>
      <c r="AV140" s="350">
        <f t="shared" si="59"/>
        <v>10792475.710376021</v>
      </c>
      <c r="AW140" s="350">
        <f t="shared" si="60"/>
        <v>10653159.783482589</v>
      </c>
      <c r="AX140" s="350">
        <f t="shared" si="61"/>
        <v>10464752.356287047</v>
      </c>
      <c r="AY140" s="350">
        <f t="shared" si="62"/>
        <v>53811167.240334652</v>
      </c>
      <c r="AZ140" s="365"/>
      <c r="BA140" s="377">
        <f t="shared" si="63"/>
        <v>0</v>
      </c>
      <c r="BB140" s="377">
        <f t="shared" si="64"/>
        <v>0</v>
      </c>
      <c r="BC140" s="377">
        <f t="shared" si="65"/>
        <v>0</v>
      </c>
      <c r="BD140" s="377">
        <f t="shared" si="66"/>
        <v>0</v>
      </c>
      <c r="BE140" s="377">
        <f t="shared" si="67"/>
        <v>0</v>
      </c>
      <c r="BF140" s="377">
        <f t="shared" si="68"/>
        <v>0</v>
      </c>
      <c r="BG140" s="328"/>
    </row>
    <row r="141" spans="2:59">
      <c r="B141" s="332">
        <v>126</v>
      </c>
      <c r="C141" s="350">
        <v>4804591.1970435102</v>
      </c>
      <c r="D141" s="350">
        <v>4787276.9794641705</v>
      </c>
      <c r="E141" s="350">
        <v>4768552.5020079073</v>
      </c>
      <c r="F141" s="350">
        <v>4746088.4830295304</v>
      </c>
      <c r="G141" s="350">
        <v>4717821.4326566672</v>
      </c>
      <c r="H141" s="348">
        <v>23824330.594201788</v>
      </c>
      <c r="I141" s="369"/>
      <c r="J141" s="350">
        <v>15611017.617232932</v>
      </c>
      <c r="K141" s="350">
        <v>15275587.996606508</v>
      </c>
      <c r="L141" s="350">
        <v>14930963.721238006</v>
      </c>
      <c r="M141" s="350">
        <v>14554071.083905444</v>
      </c>
      <c r="N141" s="350">
        <v>14125557.103141926</v>
      </c>
      <c r="O141" s="348">
        <v>74497197.522124827</v>
      </c>
      <c r="P141" s="369"/>
      <c r="Q141" s="350">
        <f t="shared" si="69"/>
        <v>10806426.420189422</v>
      </c>
      <c r="R141" s="350">
        <f t="shared" si="70"/>
        <v>10488311.017142337</v>
      </c>
      <c r="S141" s="350">
        <f t="shared" si="71"/>
        <v>10162411.219230099</v>
      </c>
      <c r="T141" s="350">
        <f t="shared" si="72"/>
        <v>9807982.6008759141</v>
      </c>
      <c r="U141" s="350">
        <f t="shared" si="73"/>
        <v>9407735.6704852581</v>
      </c>
      <c r="V141" s="350">
        <f t="shared" si="74"/>
        <v>50672866.927923039</v>
      </c>
      <c r="W141" s="365"/>
      <c r="X141" s="377">
        <f t="shared" si="52"/>
        <v>0</v>
      </c>
      <c r="Y141" s="377">
        <f t="shared" si="53"/>
        <v>0</v>
      </c>
      <c r="Z141" s="377">
        <f t="shared" si="54"/>
        <v>0</v>
      </c>
      <c r="AA141" s="377">
        <f t="shared" si="55"/>
        <v>0</v>
      </c>
      <c r="AB141" s="377">
        <f t="shared" si="56"/>
        <v>0</v>
      </c>
      <c r="AC141" s="377">
        <f t="shared" si="57"/>
        <v>0</v>
      </c>
      <c r="AD141" s="376"/>
      <c r="AE141" s="332">
        <v>126</v>
      </c>
      <c r="AF141" s="350">
        <v>490907.12309911946</v>
      </c>
      <c r="AG141" s="350">
        <v>489138.0500621011</v>
      </c>
      <c r="AH141" s="350">
        <v>487224.88430405612</v>
      </c>
      <c r="AI141" s="350">
        <v>484929.63243398967</v>
      </c>
      <c r="AJ141" s="350">
        <v>482041.45822562411</v>
      </c>
      <c r="AK141" s="348">
        <v>2434241.1481248904</v>
      </c>
      <c r="AL141" s="369"/>
      <c r="AM141" s="350">
        <v>16693319.798093846</v>
      </c>
      <c r="AN141" s="350">
        <v>16550228.691403182</v>
      </c>
      <c r="AO141" s="350">
        <v>16392903.038201725</v>
      </c>
      <c r="AP141" s="350">
        <v>16189706.526776087</v>
      </c>
      <c r="AQ141" s="350">
        <v>15913559.218746331</v>
      </c>
      <c r="AR141" s="348">
        <v>81739717.27322118</v>
      </c>
      <c r="AS141" s="369"/>
      <c r="AT141" s="350">
        <f t="shared" si="75"/>
        <v>16202412.674994726</v>
      </c>
      <c r="AU141" s="350">
        <f t="shared" si="58"/>
        <v>16061090.641341081</v>
      </c>
      <c r="AV141" s="350">
        <f t="shared" si="59"/>
        <v>15905678.153897669</v>
      </c>
      <c r="AW141" s="350">
        <f t="shared" si="60"/>
        <v>15704776.894342097</v>
      </c>
      <c r="AX141" s="350">
        <f t="shared" si="61"/>
        <v>15431517.760520706</v>
      </c>
      <c r="AY141" s="350">
        <f t="shared" si="62"/>
        <v>79305476.125096291</v>
      </c>
      <c r="AZ141" s="365"/>
      <c r="BA141" s="377">
        <f t="shared" si="63"/>
        <v>0</v>
      </c>
      <c r="BB141" s="377">
        <f t="shared" si="64"/>
        <v>0</v>
      </c>
      <c r="BC141" s="377">
        <f t="shared" si="65"/>
        <v>0</v>
      </c>
      <c r="BD141" s="377">
        <f t="shared" si="66"/>
        <v>0</v>
      </c>
      <c r="BE141" s="377">
        <f t="shared" si="67"/>
        <v>0</v>
      </c>
      <c r="BF141" s="377">
        <f t="shared" si="68"/>
        <v>0</v>
      </c>
      <c r="BG141" s="328"/>
    </row>
    <row r="142" spans="2:59">
      <c r="B142" s="332">
        <v>127</v>
      </c>
      <c r="C142" s="350">
        <v>5907668.2582135452</v>
      </c>
      <c r="D142" s="350">
        <v>5886378.9019677518</v>
      </c>
      <c r="E142" s="350">
        <v>5863355.5069309231</v>
      </c>
      <c r="F142" s="350">
        <v>5835734.0160635794</v>
      </c>
      <c r="G142" s="350">
        <v>5800977.1867325306</v>
      </c>
      <c r="H142" s="348">
        <v>29294113.869908329</v>
      </c>
      <c r="I142" s="369"/>
      <c r="J142" s="350">
        <v>18864816.018719543</v>
      </c>
      <c r="K142" s="350">
        <v>18454756.375911437</v>
      </c>
      <c r="L142" s="350">
        <v>18033681.952282742</v>
      </c>
      <c r="M142" s="350">
        <v>17573862.124881595</v>
      </c>
      <c r="N142" s="350">
        <v>17052049.867747597</v>
      </c>
      <c r="O142" s="348">
        <v>89979166.339542925</v>
      </c>
      <c r="P142" s="369"/>
      <c r="Q142" s="350">
        <f t="shared" si="69"/>
        <v>12957147.760505997</v>
      </c>
      <c r="R142" s="350">
        <f t="shared" si="70"/>
        <v>12568377.473943684</v>
      </c>
      <c r="S142" s="350">
        <f t="shared" si="71"/>
        <v>12170326.445351819</v>
      </c>
      <c r="T142" s="350">
        <f t="shared" si="72"/>
        <v>11738128.108818017</v>
      </c>
      <c r="U142" s="350">
        <f t="shared" si="73"/>
        <v>11251072.681015067</v>
      </c>
      <c r="V142" s="350">
        <f t="shared" si="74"/>
        <v>60685052.469634593</v>
      </c>
      <c r="W142" s="365"/>
      <c r="X142" s="377">
        <f t="shared" si="52"/>
        <v>0</v>
      </c>
      <c r="Y142" s="377">
        <f t="shared" si="53"/>
        <v>0</v>
      </c>
      <c r="Z142" s="377">
        <f t="shared" si="54"/>
        <v>0</v>
      </c>
      <c r="AA142" s="377">
        <f t="shared" si="55"/>
        <v>0</v>
      </c>
      <c r="AB142" s="377">
        <f t="shared" si="56"/>
        <v>0</v>
      </c>
      <c r="AC142" s="377">
        <f t="shared" si="57"/>
        <v>0</v>
      </c>
      <c r="AD142" s="376"/>
      <c r="AE142" s="332">
        <v>127</v>
      </c>
      <c r="AF142" s="350">
        <v>367679.00994330685</v>
      </c>
      <c r="AG142" s="350">
        <v>366354.01180789177</v>
      </c>
      <c r="AH142" s="350">
        <v>364921.09128448472</v>
      </c>
      <c r="AI142" s="350">
        <v>363201.9963774301</v>
      </c>
      <c r="AJ142" s="350">
        <v>361038.81523071614</v>
      </c>
      <c r="AK142" s="348">
        <v>1823194.9246438299</v>
      </c>
      <c r="AL142" s="369"/>
      <c r="AM142" s="350">
        <v>12404205.313083934</v>
      </c>
      <c r="AN142" s="350">
        <v>12297744.744275946</v>
      </c>
      <c r="AO142" s="350">
        <v>12180709.747021804</v>
      </c>
      <c r="AP142" s="350">
        <v>12029596.867218219</v>
      </c>
      <c r="AQ142" s="350">
        <v>11824287.966870105</v>
      </c>
      <c r="AR142" s="348">
        <v>60736544.638470009</v>
      </c>
      <c r="AS142" s="369"/>
      <c r="AT142" s="350">
        <f t="shared" si="75"/>
        <v>12036526.303140627</v>
      </c>
      <c r="AU142" s="350">
        <f t="shared" si="58"/>
        <v>11931390.732468054</v>
      </c>
      <c r="AV142" s="350">
        <f t="shared" si="59"/>
        <v>11815788.655737318</v>
      </c>
      <c r="AW142" s="350">
        <f t="shared" si="60"/>
        <v>11666394.870840788</v>
      </c>
      <c r="AX142" s="350">
        <f t="shared" si="61"/>
        <v>11463249.151639389</v>
      </c>
      <c r="AY142" s="350">
        <f t="shared" si="62"/>
        <v>58913349.71382618</v>
      </c>
      <c r="AZ142" s="365"/>
      <c r="BA142" s="377">
        <f t="shared" si="63"/>
        <v>0</v>
      </c>
      <c r="BB142" s="377">
        <f t="shared" si="64"/>
        <v>0</v>
      </c>
      <c r="BC142" s="377">
        <f t="shared" si="65"/>
        <v>0</v>
      </c>
      <c r="BD142" s="377">
        <f t="shared" si="66"/>
        <v>0</v>
      </c>
      <c r="BE142" s="377">
        <f t="shared" si="67"/>
        <v>0</v>
      </c>
      <c r="BF142" s="377">
        <f t="shared" si="68"/>
        <v>0</v>
      </c>
      <c r="BG142" s="328"/>
    </row>
    <row r="143" spans="2:59">
      <c r="B143" s="332">
        <v>128</v>
      </c>
      <c r="C143" s="350">
        <v>6478854.3715733774</v>
      </c>
      <c r="D143" s="350">
        <v>6455506.6423590174</v>
      </c>
      <c r="E143" s="350">
        <v>6430257.217871543</v>
      </c>
      <c r="F143" s="350">
        <v>6399965.128161449</v>
      </c>
      <c r="G143" s="350">
        <v>6361847.8159138625</v>
      </c>
      <c r="H143" s="348">
        <v>32126431.175879251</v>
      </c>
      <c r="I143" s="369"/>
      <c r="J143" s="350">
        <v>20571309.862057351</v>
      </c>
      <c r="K143" s="350">
        <v>20122449.965134278</v>
      </c>
      <c r="L143" s="350">
        <v>19661613.750097938</v>
      </c>
      <c r="M143" s="350">
        <v>19158617.225843761</v>
      </c>
      <c r="N143" s="350">
        <v>18588161.007299416</v>
      </c>
      <c r="O143" s="348">
        <v>98102151.810432732</v>
      </c>
      <c r="P143" s="369"/>
      <c r="Q143" s="350">
        <f t="shared" si="69"/>
        <v>14092455.490483973</v>
      </c>
      <c r="R143" s="350">
        <f t="shared" si="70"/>
        <v>13666943.32277526</v>
      </c>
      <c r="S143" s="350">
        <f t="shared" si="71"/>
        <v>13231356.532226395</v>
      </c>
      <c r="T143" s="350">
        <f t="shared" si="72"/>
        <v>12758652.097682312</v>
      </c>
      <c r="U143" s="350">
        <f t="shared" si="73"/>
        <v>12226313.191385552</v>
      </c>
      <c r="V143" s="350">
        <f t="shared" si="74"/>
        <v>65975720.634553477</v>
      </c>
      <c r="W143" s="365"/>
      <c r="X143" s="377">
        <f t="shared" si="52"/>
        <v>0</v>
      </c>
      <c r="Y143" s="377">
        <f t="shared" si="53"/>
        <v>0</v>
      </c>
      <c r="Z143" s="377">
        <f t="shared" si="54"/>
        <v>0</v>
      </c>
      <c r="AA143" s="377">
        <f t="shared" si="55"/>
        <v>0</v>
      </c>
      <c r="AB143" s="377">
        <f t="shared" si="56"/>
        <v>0</v>
      </c>
      <c r="AC143" s="377">
        <f t="shared" si="57"/>
        <v>0</v>
      </c>
      <c r="AD143" s="376"/>
      <c r="AE143" s="332">
        <v>128</v>
      </c>
      <c r="AF143" s="350">
        <v>376051.75073312462</v>
      </c>
      <c r="AG143" s="350">
        <v>374696.5799045866</v>
      </c>
      <c r="AH143" s="350">
        <v>373231.02909282886</v>
      </c>
      <c r="AI143" s="350">
        <v>371472.78716987011</v>
      </c>
      <c r="AJ143" s="350">
        <v>369260.34633050836</v>
      </c>
      <c r="AK143" s="348">
        <v>1864712.4932309187</v>
      </c>
      <c r="AL143" s="369"/>
      <c r="AM143" s="350">
        <v>12092426.128308322</v>
      </c>
      <c r="AN143" s="350">
        <v>11987824.201066017</v>
      </c>
      <c r="AO143" s="350">
        <v>11872930.321283385</v>
      </c>
      <c r="AP143" s="350">
        <v>11724858.187198257</v>
      </c>
      <c r="AQ143" s="350">
        <v>11524019.533547953</v>
      </c>
      <c r="AR143" s="348">
        <v>59202058.37140394</v>
      </c>
      <c r="AS143" s="369"/>
      <c r="AT143" s="350">
        <f t="shared" si="75"/>
        <v>11716374.377575198</v>
      </c>
      <c r="AU143" s="350">
        <f t="shared" si="58"/>
        <v>11613127.621161431</v>
      </c>
      <c r="AV143" s="350">
        <f t="shared" si="59"/>
        <v>11499699.292190555</v>
      </c>
      <c r="AW143" s="350">
        <f t="shared" si="60"/>
        <v>11353385.400028387</v>
      </c>
      <c r="AX143" s="350">
        <f t="shared" si="61"/>
        <v>11154759.187217444</v>
      </c>
      <c r="AY143" s="350">
        <f t="shared" si="62"/>
        <v>57337345.878173023</v>
      </c>
      <c r="AZ143" s="365"/>
      <c r="BA143" s="377">
        <f t="shared" si="63"/>
        <v>0</v>
      </c>
      <c r="BB143" s="377">
        <f t="shared" si="64"/>
        <v>0</v>
      </c>
      <c r="BC143" s="377">
        <f t="shared" si="65"/>
        <v>0</v>
      </c>
      <c r="BD143" s="377">
        <f t="shared" si="66"/>
        <v>0</v>
      </c>
      <c r="BE143" s="377">
        <f t="shared" si="67"/>
        <v>0</v>
      </c>
      <c r="BF143" s="377">
        <f t="shared" si="68"/>
        <v>0</v>
      </c>
      <c r="BG143" s="328"/>
    </row>
    <row r="144" spans="2:59">
      <c r="B144" s="332">
        <v>129</v>
      </c>
      <c r="C144" s="350">
        <v>4171592.8226134633</v>
      </c>
      <c r="D144" s="350">
        <v>4156559.7297194041</v>
      </c>
      <c r="E144" s="350">
        <v>4140302.1767746713</v>
      </c>
      <c r="F144" s="350">
        <v>4120797.7618319569</v>
      </c>
      <c r="G144" s="350">
        <v>4096254.8570111557</v>
      </c>
      <c r="H144" s="348">
        <v>20685507.347950649</v>
      </c>
      <c r="I144" s="369"/>
      <c r="J144" s="350">
        <v>14312738.968246832</v>
      </c>
      <c r="K144" s="350">
        <v>14016035.307785986</v>
      </c>
      <c r="L144" s="350">
        <v>13710680.505897425</v>
      </c>
      <c r="M144" s="350">
        <v>13375169.985360896</v>
      </c>
      <c r="N144" s="350">
        <v>12991439.483304325</v>
      </c>
      <c r="O144" s="348">
        <v>68406064.250595465</v>
      </c>
      <c r="P144" s="369"/>
      <c r="Q144" s="350">
        <f t="shared" si="69"/>
        <v>10141146.14563337</v>
      </c>
      <c r="R144" s="350">
        <f t="shared" si="70"/>
        <v>9859475.5780665819</v>
      </c>
      <c r="S144" s="350">
        <f t="shared" si="71"/>
        <v>9570378.3291227538</v>
      </c>
      <c r="T144" s="350">
        <f t="shared" si="72"/>
        <v>9254372.2235289402</v>
      </c>
      <c r="U144" s="350">
        <f t="shared" si="73"/>
        <v>8895184.6262931693</v>
      </c>
      <c r="V144" s="350">
        <f t="shared" si="74"/>
        <v>47720556.902644813</v>
      </c>
      <c r="W144" s="365"/>
      <c r="X144" s="377">
        <f t="shared" ref="X144:X207" si="76">IF(Q144&lt;Q$8,1,0)</f>
        <v>0</v>
      </c>
      <c r="Y144" s="377">
        <f t="shared" ref="Y144:Y207" si="77">IF(R144&lt;R$8,1,0)</f>
        <v>0</v>
      </c>
      <c r="Z144" s="377">
        <f t="shared" ref="Z144:Z207" si="78">IF(S144&lt;S$8,1,0)</f>
        <v>0</v>
      </c>
      <c r="AA144" s="377">
        <f t="shared" ref="AA144:AA207" si="79">IF(T144&lt;T$8,1,0)</f>
        <v>0</v>
      </c>
      <c r="AB144" s="377">
        <f t="shared" ref="AB144:AB207" si="80">IF(U144&lt;U$8,1,0)</f>
        <v>0</v>
      </c>
      <c r="AC144" s="377">
        <f t="shared" ref="AC144:AC207" si="81">IF(V144&lt;V$8,1,0)</f>
        <v>0</v>
      </c>
      <c r="AD144" s="376"/>
      <c r="AE144" s="332">
        <v>129</v>
      </c>
      <c r="AF144" s="350">
        <v>547935.25169678172</v>
      </c>
      <c r="AG144" s="350">
        <v>545960.66743389901</v>
      </c>
      <c r="AH144" s="350">
        <v>543825.25136058102</v>
      </c>
      <c r="AI144" s="350">
        <v>541263.36266116123</v>
      </c>
      <c r="AJ144" s="350">
        <v>538039.67250198335</v>
      </c>
      <c r="AK144" s="348">
        <v>2717024.205654406</v>
      </c>
      <c r="AL144" s="369"/>
      <c r="AM144" s="350">
        <v>20400084.475880831</v>
      </c>
      <c r="AN144" s="350">
        <v>20227631.473596327</v>
      </c>
      <c r="AO144" s="350">
        <v>20037733.887743428</v>
      </c>
      <c r="AP144" s="350">
        <v>19791652.652822576</v>
      </c>
      <c r="AQ144" s="350">
        <v>19456223.284889627</v>
      </c>
      <c r="AR144" s="348">
        <v>99913325.774932787</v>
      </c>
      <c r="AS144" s="369"/>
      <c r="AT144" s="350">
        <f t="shared" si="75"/>
        <v>19852149.224184051</v>
      </c>
      <c r="AU144" s="350">
        <f t="shared" ref="AU144:AU207" si="82">AN144-AG144</f>
        <v>19681670.806162428</v>
      </c>
      <c r="AV144" s="350">
        <f t="shared" ref="AV144:AV207" si="83">AO144-AH144</f>
        <v>19493908.636382848</v>
      </c>
      <c r="AW144" s="350">
        <f t="shared" ref="AW144:AW207" si="84">AP144-AI144</f>
        <v>19250389.290161416</v>
      </c>
      <c r="AX144" s="350">
        <f t="shared" ref="AX144:AX207" si="85">AQ144-AJ144</f>
        <v>18918183.612387642</v>
      </c>
      <c r="AY144" s="350">
        <f t="shared" ref="AY144:AY207" si="86">AR144-AK144</f>
        <v>97196301.569278374</v>
      </c>
      <c r="AZ144" s="365"/>
      <c r="BA144" s="377">
        <f t="shared" ref="BA144:BA207" si="87">IF(AT144&lt;AT$8,1,0)</f>
        <v>0</v>
      </c>
      <c r="BB144" s="377">
        <f t="shared" ref="BB144:BB207" si="88">IF(AU144&lt;AU$8,1,0)</f>
        <v>0</v>
      </c>
      <c r="BC144" s="377">
        <f t="shared" ref="BC144:BC207" si="89">IF(AV144&lt;AV$8,1,0)</f>
        <v>0</v>
      </c>
      <c r="BD144" s="377">
        <f t="shared" ref="BD144:BD207" si="90">IF(AW144&lt;AW$8,1,0)</f>
        <v>0</v>
      </c>
      <c r="BE144" s="377">
        <f t="shared" ref="BE144:BE207" si="91">IF(AX144&lt;AX$8,1,0)</f>
        <v>0</v>
      </c>
      <c r="BF144" s="377">
        <f t="shared" ref="BF144:BF207" si="92">IF(AY144&lt;AY$8,1,0)</f>
        <v>0</v>
      </c>
      <c r="BG144" s="328"/>
    </row>
    <row r="145" spans="2:59">
      <c r="B145" s="332">
        <v>130</v>
      </c>
      <c r="C145" s="350">
        <v>5769930.7658921648</v>
      </c>
      <c r="D145" s="350">
        <v>5749137.7717327764</v>
      </c>
      <c r="E145" s="350">
        <v>5726651.1679574884</v>
      </c>
      <c r="F145" s="350">
        <v>5699673.6731169969</v>
      </c>
      <c r="G145" s="350">
        <v>5665727.2004789542</v>
      </c>
      <c r="H145" s="348">
        <v>28611120.579178378</v>
      </c>
      <c r="I145" s="369"/>
      <c r="J145" s="350">
        <v>18569120.684230793</v>
      </c>
      <c r="K145" s="350">
        <v>18167582.737709124</v>
      </c>
      <c r="L145" s="350">
        <v>17755159.896295443</v>
      </c>
      <c r="M145" s="350">
        <v>17304488.562181417</v>
      </c>
      <c r="N145" s="350">
        <v>16792624.068309832</v>
      </c>
      <c r="O145" s="348">
        <v>88588975.948726609</v>
      </c>
      <c r="P145" s="369"/>
      <c r="Q145" s="350">
        <f t="shared" ref="Q145:Q208" si="93">J145-C145</f>
        <v>12799189.918338628</v>
      </c>
      <c r="R145" s="350">
        <f t="shared" ref="R145:R208" si="94">K145-D145</f>
        <v>12418444.965976346</v>
      </c>
      <c r="S145" s="350">
        <f t="shared" ref="S145:S208" si="95">L145-E145</f>
        <v>12028508.728337955</v>
      </c>
      <c r="T145" s="350">
        <f t="shared" ref="T145:T208" si="96">M145-F145</f>
        <v>11604814.88906442</v>
      </c>
      <c r="U145" s="350">
        <f t="shared" ref="U145:U208" si="97">N145-G145</f>
        <v>11126896.867830878</v>
      </c>
      <c r="V145" s="350">
        <f t="shared" ref="V145:V208" si="98">O145-H145</f>
        <v>59977855.369548231</v>
      </c>
      <c r="W145" s="365"/>
      <c r="X145" s="377">
        <f t="shared" si="76"/>
        <v>0</v>
      </c>
      <c r="Y145" s="377">
        <f t="shared" si="77"/>
        <v>0</v>
      </c>
      <c r="Z145" s="377">
        <f t="shared" si="78"/>
        <v>0</v>
      </c>
      <c r="AA145" s="377">
        <f t="shared" si="79"/>
        <v>0</v>
      </c>
      <c r="AB145" s="377">
        <f t="shared" si="80"/>
        <v>0</v>
      </c>
      <c r="AC145" s="377">
        <f t="shared" si="81"/>
        <v>0</v>
      </c>
      <c r="AD145" s="376"/>
      <c r="AE145" s="332">
        <v>130</v>
      </c>
      <c r="AF145" s="350">
        <v>431522.45483406493</v>
      </c>
      <c r="AG145" s="350">
        <v>429967.38524188712</v>
      </c>
      <c r="AH145" s="350">
        <v>428285.65371759358</v>
      </c>
      <c r="AI145" s="350">
        <v>426268.05675305828</v>
      </c>
      <c r="AJ145" s="350">
        <v>423729.26282292686</v>
      </c>
      <c r="AK145" s="348">
        <v>2139772.8133695307</v>
      </c>
      <c r="AL145" s="369"/>
      <c r="AM145" s="350">
        <v>10922125.43493703</v>
      </c>
      <c r="AN145" s="350">
        <v>10823384.653738342</v>
      </c>
      <c r="AO145" s="350">
        <v>10715435.005640294</v>
      </c>
      <c r="AP145" s="350">
        <v>10577742.770844243</v>
      </c>
      <c r="AQ145" s="350">
        <v>10392741.662538113</v>
      </c>
      <c r="AR145" s="348">
        <v>53431429.527698025</v>
      </c>
      <c r="AS145" s="369"/>
      <c r="AT145" s="350">
        <f t="shared" ref="AT145:AT208" si="99">AM145-AF145</f>
        <v>10490602.980102966</v>
      </c>
      <c r="AU145" s="350">
        <f t="shared" si="82"/>
        <v>10393417.268496456</v>
      </c>
      <c r="AV145" s="350">
        <f t="shared" si="83"/>
        <v>10287149.3519227</v>
      </c>
      <c r="AW145" s="350">
        <f t="shared" si="84"/>
        <v>10151474.714091185</v>
      </c>
      <c r="AX145" s="350">
        <f t="shared" si="85"/>
        <v>9969012.399715187</v>
      </c>
      <c r="AY145" s="350">
        <f t="shared" si="86"/>
        <v>51291656.714328498</v>
      </c>
      <c r="AZ145" s="365"/>
      <c r="BA145" s="377">
        <f t="shared" si="87"/>
        <v>0</v>
      </c>
      <c r="BB145" s="377">
        <f t="shared" si="88"/>
        <v>0</v>
      </c>
      <c r="BC145" s="377">
        <f t="shared" si="89"/>
        <v>0</v>
      </c>
      <c r="BD145" s="377">
        <f t="shared" si="90"/>
        <v>0</v>
      </c>
      <c r="BE145" s="377">
        <f t="shared" si="91"/>
        <v>0</v>
      </c>
      <c r="BF145" s="377">
        <f t="shared" si="92"/>
        <v>0</v>
      </c>
      <c r="BG145" s="328"/>
    </row>
    <row r="146" spans="2:59">
      <c r="B146" s="332">
        <v>131</v>
      </c>
      <c r="C146" s="350">
        <v>5782726.0042740609</v>
      </c>
      <c r="D146" s="350">
        <v>5761886.9001477174</v>
      </c>
      <c r="E146" s="350">
        <v>5739350.4307037815</v>
      </c>
      <c r="F146" s="350">
        <v>5712313.1113192104</v>
      </c>
      <c r="G146" s="350">
        <v>5678291.3599252785</v>
      </c>
      <c r="H146" s="348">
        <v>28674567.806370046</v>
      </c>
      <c r="I146" s="369"/>
      <c r="J146" s="350">
        <v>17529037.989157848</v>
      </c>
      <c r="K146" s="350">
        <v>17134402.644722909</v>
      </c>
      <c r="L146" s="350">
        <v>16729810.393579472</v>
      </c>
      <c r="M146" s="350">
        <v>16289933.752867693</v>
      </c>
      <c r="N146" s="350">
        <v>15793574.890955739</v>
      </c>
      <c r="O146" s="348">
        <v>83476759.671283662</v>
      </c>
      <c r="P146" s="369"/>
      <c r="Q146" s="350">
        <f t="shared" si="93"/>
        <v>11746311.984883787</v>
      </c>
      <c r="R146" s="350">
        <f t="shared" si="94"/>
        <v>11372515.744575191</v>
      </c>
      <c r="S146" s="350">
        <f t="shared" si="95"/>
        <v>10990459.96287569</v>
      </c>
      <c r="T146" s="350">
        <f t="shared" si="96"/>
        <v>10577620.641548483</v>
      </c>
      <c r="U146" s="350">
        <f t="shared" si="97"/>
        <v>10115283.531030461</v>
      </c>
      <c r="V146" s="350">
        <f t="shared" si="98"/>
        <v>54802191.864913613</v>
      </c>
      <c r="W146" s="365"/>
      <c r="X146" s="377">
        <f t="shared" si="76"/>
        <v>0</v>
      </c>
      <c r="Y146" s="377">
        <f t="shared" si="77"/>
        <v>0</v>
      </c>
      <c r="Z146" s="377">
        <f t="shared" si="78"/>
        <v>0</v>
      </c>
      <c r="AA146" s="377">
        <f t="shared" si="79"/>
        <v>0</v>
      </c>
      <c r="AB146" s="377">
        <f t="shared" si="80"/>
        <v>0</v>
      </c>
      <c r="AC146" s="377">
        <f t="shared" si="81"/>
        <v>0</v>
      </c>
      <c r="AD146" s="376"/>
      <c r="AE146" s="332">
        <v>131</v>
      </c>
      <c r="AF146" s="350">
        <v>446204.66839820071</v>
      </c>
      <c r="AG146" s="350">
        <v>444596.68878105504</v>
      </c>
      <c r="AH146" s="350">
        <v>442857.737658753</v>
      </c>
      <c r="AI146" s="350">
        <v>440771.49353764963</v>
      </c>
      <c r="AJ146" s="350">
        <v>438146.31913238892</v>
      </c>
      <c r="AK146" s="348">
        <v>2212576.9075080473</v>
      </c>
      <c r="AL146" s="369"/>
      <c r="AM146" s="350">
        <v>13327297.434198117</v>
      </c>
      <c r="AN146" s="350">
        <v>13210540.503501188</v>
      </c>
      <c r="AO146" s="350">
        <v>13082470.693365432</v>
      </c>
      <c r="AP146" s="350">
        <v>12917912.143140143</v>
      </c>
      <c r="AQ146" s="350">
        <v>12695319.874905951</v>
      </c>
      <c r="AR146" s="348">
        <v>65233540.649110831</v>
      </c>
      <c r="AS146" s="369"/>
      <c r="AT146" s="350">
        <f t="shared" si="99"/>
        <v>12881092.765799915</v>
      </c>
      <c r="AU146" s="350">
        <f t="shared" si="82"/>
        <v>12765943.814720133</v>
      </c>
      <c r="AV146" s="350">
        <f t="shared" si="83"/>
        <v>12639612.95570668</v>
      </c>
      <c r="AW146" s="350">
        <f t="shared" si="84"/>
        <v>12477140.649602493</v>
      </c>
      <c r="AX146" s="350">
        <f t="shared" si="85"/>
        <v>12257173.555773562</v>
      </c>
      <c r="AY146" s="350">
        <f t="shared" si="86"/>
        <v>63020963.741602786</v>
      </c>
      <c r="AZ146" s="365"/>
      <c r="BA146" s="377">
        <f t="shared" si="87"/>
        <v>0</v>
      </c>
      <c r="BB146" s="377">
        <f t="shared" si="88"/>
        <v>0</v>
      </c>
      <c r="BC146" s="377">
        <f t="shared" si="89"/>
        <v>0</v>
      </c>
      <c r="BD146" s="377">
        <f t="shared" si="90"/>
        <v>0</v>
      </c>
      <c r="BE146" s="377">
        <f t="shared" si="91"/>
        <v>0</v>
      </c>
      <c r="BF146" s="377">
        <f t="shared" si="92"/>
        <v>0</v>
      </c>
      <c r="BG146" s="328"/>
    </row>
    <row r="147" spans="2:59">
      <c r="B147" s="332">
        <v>132</v>
      </c>
      <c r="C147" s="350">
        <v>3846715.0236691958</v>
      </c>
      <c r="D147" s="350">
        <v>3832852.6869678958</v>
      </c>
      <c r="E147" s="350">
        <v>3817861.2494475329</v>
      </c>
      <c r="F147" s="350">
        <v>3799875.8109883191</v>
      </c>
      <c r="G147" s="350">
        <v>3777244.2731769383</v>
      </c>
      <c r="H147" s="348">
        <v>19074549.044249881</v>
      </c>
      <c r="I147" s="369"/>
      <c r="J147" s="350">
        <v>11766187.55486935</v>
      </c>
      <c r="K147" s="350">
        <v>11502910.949834924</v>
      </c>
      <c r="L147" s="350">
        <v>11232917.826471396</v>
      </c>
      <c r="M147" s="350">
        <v>10939155.104259271</v>
      </c>
      <c r="N147" s="350">
        <v>10607346.025245767</v>
      </c>
      <c r="O147" s="348">
        <v>56048517.460680708</v>
      </c>
      <c r="P147" s="369"/>
      <c r="Q147" s="350">
        <f t="shared" si="93"/>
        <v>7919472.5312001538</v>
      </c>
      <c r="R147" s="350">
        <f t="shared" si="94"/>
        <v>7670058.2628670279</v>
      </c>
      <c r="S147" s="350">
        <f t="shared" si="95"/>
        <v>7415056.5770238629</v>
      </c>
      <c r="T147" s="350">
        <f t="shared" si="96"/>
        <v>7139279.2932709521</v>
      </c>
      <c r="U147" s="350">
        <f t="shared" si="97"/>
        <v>6830101.7520688288</v>
      </c>
      <c r="V147" s="350">
        <f t="shared" si="98"/>
        <v>36973968.416430831</v>
      </c>
      <c r="W147" s="365"/>
      <c r="X147" s="377">
        <f t="shared" si="76"/>
        <v>0</v>
      </c>
      <c r="Y147" s="377">
        <f t="shared" si="77"/>
        <v>0</v>
      </c>
      <c r="Z147" s="377">
        <f t="shared" si="78"/>
        <v>0</v>
      </c>
      <c r="AA147" s="377">
        <f t="shared" si="79"/>
        <v>0</v>
      </c>
      <c r="AB147" s="377">
        <f t="shared" si="80"/>
        <v>0</v>
      </c>
      <c r="AC147" s="377">
        <f t="shared" si="81"/>
        <v>0</v>
      </c>
      <c r="AD147" s="376"/>
      <c r="AE147" s="332">
        <v>132</v>
      </c>
      <c r="AF147" s="350">
        <v>535247.08891192428</v>
      </c>
      <c r="AG147" s="350">
        <v>533318.22874962143</v>
      </c>
      <c r="AH147" s="350">
        <v>531232.26104938728</v>
      </c>
      <c r="AI147" s="350">
        <v>528729.69625868532</v>
      </c>
      <c r="AJ147" s="350">
        <v>525580.65489310294</v>
      </c>
      <c r="AK147" s="348">
        <v>2654107.9298627214</v>
      </c>
      <c r="AL147" s="369"/>
      <c r="AM147" s="350">
        <v>16067798.837973185</v>
      </c>
      <c r="AN147" s="350">
        <v>15927158.877044871</v>
      </c>
      <c r="AO147" s="350">
        <v>15772877.193042915</v>
      </c>
      <c r="AP147" s="350">
        <v>15574596.933452303</v>
      </c>
      <c r="AQ147" s="350">
        <v>15306339.086448694</v>
      </c>
      <c r="AR147" s="348">
        <v>78648770.92796196</v>
      </c>
      <c r="AS147" s="369"/>
      <c r="AT147" s="350">
        <f t="shared" si="99"/>
        <v>15532551.74906126</v>
      </c>
      <c r="AU147" s="350">
        <f t="shared" si="82"/>
        <v>15393840.64829525</v>
      </c>
      <c r="AV147" s="350">
        <f t="shared" si="83"/>
        <v>15241644.931993527</v>
      </c>
      <c r="AW147" s="350">
        <f t="shared" si="84"/>
        <v>15045867.237193618</v>
      </c>
      <c r="AX147" s="350">
        <f t="shared" si="85"/>
        <v>14780758.431555592</v>
      </c>
      <c r="AY147" s="350">
        <f t="shared" si="86"/>
        <v>75994662.998099238</v>
      </c>
      <c r="AZ147" s="365"/>
      <c r="BA147" s="377">
        <f t="shared" si="87"/>
        <v>0</v>
      </c>
      <c r="BB147" s="377">
        <f t="shared" si="88"/>
        <v>0</v>
      </c>
      <c r="BC147" s="377">
        <f t="shared" si="89"/>
        <v>0</v>
      </c>
      <c r="BD147" s="377">
        <f t="shared" si="90"/>
        <v>0</v>
      </c>
      <c r="BE147" s="377">
        <f t="shared" si="91"/>
        <v>0</v>
      </c>
      <c r="BF147" s="377">
        <f t="shared" si="92"/>
        <v>0</v>
      </c>
      <c r="BG147" s="328"/>
    </row>
    <row r="148" spans="2:59">
      <c r="B148" s="332">
        <v>133</v>
      </c>
      <c r="C148" s="350">
        <v>5866128.3164640805</v>
      </c>
      <c r="D148" s="350">
        <v>5844988.656947976</v>
      </c>
      <c r="E148" s="350">
        <v>5822127.1515851943</v>
      </c>
      <c r="F148" s="350">
        <v>5794699.8820369076</v>
      </c>
      <c r="G148" s="350">
        <v>5760187.4463655408</v>
      </c>
      <c r="H148" s="348">
        <v>29088131.453399703</v>
      </c>
      <c r="I148" s="369"/>
      <c r="J148" s="350">
        <v>19019952.608212542</v>
      </c>
      <c r="K148" s="350">
        <v>18610702.139971774</v>
      </c>
      <c r="L148" s="350">
        <v>18190260.92669756</v>
      </c>
      <c r="M148" s="350">
        <v>17730535.257475168</v>
      </c>
      <c r="N148" s="350">
        <v>17207963.093730643</v>
      </c>
      <c r="O148" s="348">
        <v>90759414.026087686</v>
      </c>
      <c r="P148" s="369"/>
      <c r="Q148" s="350">
        <f t="shared" si="93"/>
        <v>13153824.29174846</v>
      </c>
      <c r="R148" s="350">
        <f t="shared" si="94"/>
        <v>12765713.483023798</v>
      </c>
      <c r="S148" s="350">
        <f t="shared" si="95"/>
        <v>12368133.775112364</v>
      </c>
      <c r="T148" s="350">
        <f t="shared" si="96"/>
        <v>11935835.37543826</v>
      </c>
      <c r="U148" s="350">
        <f t="shared" si="97"/>
        <v>11447775.647365103</v>
      </c>
      <c r="V148" s="350">
        <f t="shared" si="98"/>
        <v>61671282.572687984</v>
      </c>
      <c r="W148" s="365"/>
      <c r="X148" s="377">
        <f t="shared" si="76"/>
        <v>0</v>
      </c>
      <c r="Y148" s="377">
        <f t="shared" si="77"/>
        <v>0</v>
      </c>
      <c r="Z148" s="377">
        <f t="shared" si="78"/>
        <v>0</v>
      </c>
      <c r="AA148" s="377">
        <f t="shared" si="79"/>
        <v>0</v>
      </c>
      <c r="AB148" s="377">
        <f t="shared" si="80"/>
        <v>0</v>
      </c>
      <c r="AC148" s="377">
        <f t="shared" si="81"/>
        <v>0</v>
      </c>
      <c r="AD148" s="376"/>
      <c r="AE148" s="332">
        <v>133</v>
      </c>
      <c r="AF148" s="350">
        <v>534808.93860438291</v>
      </c>
      <c r="AG148" s="350">
        <v>532881.657396344</v>
      </c>
      <c r="AH148" s="350">
        <v>530797.3972577356</v>
      </c>
      <c r="AI148" s="350">
        <v>528296.88105273421</v>
      </c>
      <c r="AJ148" s="350">
        <v>525150.41747500247</v>
      </c>
      <c r="AK148" s="348">
        <v>2651935.291786199</v>
      </c>
      <c r="AL148" s="369"/>
      <c r="AM148" s="350">
        <v>14495126.179669732</v>
      </c>
      <c r="AN148" s="350">
        <v>14365841.370795395</v>
      </c>
      <c r="AO148" s="350">
        <v>14224299.272348899</v>
      </c>
      <c r="AP148" s="350">
        <v>14043192.122823032</v>
      </c>
      <c r="AQ148" s="350">
        <v>13799155.051689293</v>
      </c>
      <c r="AR148" s="348">
        <v>70927613.997326359</v>
      </c>
      <c r="AS148" s="369"/>
      <c r="AT148" s="350">
        <f t="shared" si="99"/>
        <v>13960317.241065349</v>
      </c>
      <c r="AU148" s="350">
        <f t="shared" si="82"/>
        <v>13832959.713399051</v>
      </c>
      <c r="AV148" s="350">
        <f t="shared" si="83"/>
        <v>13693501.875091163</v>
      </c>
      <c r="AW148" s="350">
        <f t="shared" si="84"/>
        <v>13514895.241770297</v>
      </c>
      <c r="AX148" s="350">
        <f t="shared" si="85"/>
        <v>13274004.634214291</v>
      </c>
      <c r="AY148" s="350">
        <f t="shared" si="86"/>
        <v>68275678.705540165</v>
      </c>
      <c r="AZ148" s="365"/>
      <c r="BA148" s="377">
        <f t="shared" si="87"/>
        <v>0</v>
      </c>
      <c r="BB148" s="377">
        <f t="shared" si="88"/>
        <v>0</v>
      </c>
      <c r="BC148" s="377">
        <f t="shared" si="89"/>
        <v>0</v>
      </c>
      <c r="BD148" s="377">
        <f t="shared" si="90"/>
        <v>0</v>
      </c>
      <c r="BE148" s="377">
        <f t="shared" si="91"/>
        <v>0</v>
      </c>
      <c r="BF148" s="377">
        <f t="shared" si="92"/>
        <v>0</v>
      </c>
      <c r="BG148" s="328"/>
    </row>
    <row r="149" spans="2:59">
      <c r="B149" s="332">
        <v>134</v>
      </c>
      <c r="C149" s="350">
        <v>4752898.4810768189</v>
      </c>
      <c r="D149" s="350">
        <v>4735770.5475942567</v>
      </c>
      <c r="E149" s="350">
        <v>4717247.5272557959</v>
      </c>
      <c r="F149" s="350">
        <v>4695025.1992152929</v>
      </c>
      <c r="G149" s="350">
        <v>4667062.2747391425</v>
      </c>
      <c r="H149" s="348">
        <v>23568004.029881306</v>
      </c>
      <c r="I149" s="369"/>
      <c r="J149" s="350">
        <v>16370803.238582348</v>
      </c>
      <c r="K149" s="350">
        <v>16032295.918513006</v>
      </c>
      <c r="L149" s="350">
        <v>15683875.924705001</v>
      </c>
      <c r="M149" s="350">
        <v>15300918.705294061</v>
      </c>
      <c r="N149" s="350">
        <v>14862737.018768815</v>
      </c>
      <c r="O149" s="348">
        <v>78250630.805863231</v>
      </c>
      <c r="P149" s="369"/>
      <c r="Q149" s="350">
        <f t="shared" si="93"/>
        <v>11617904.757505529</v>
      </c>
      <c r="R149" s="350">
        <f t="shared" si="94"/>
        <v>11296525.370918749</v>
      </c>
      <c r="S149" s="350">
        <f t="shared" si="95"/>
        <v>10966628.397449205</v>
      </c>
      <c r="T149" s="350">
        <f t="shared" si="96"/>
        <v>10605893.506078769</v>
      </c>
      <c r="U149" s="350">
        <f t="shared" si="97"/>
        <v>10195674.744029673</v>
      </c>
      <c r="V149" s="350">
        <f t="shared" si="98"/>
        <v>54682626.775981925</v>
      </c>
      <c r="W149" s="365"/>
      <c r="X149" s="377">
        <f t="shared" si="76"/>
        <v>0</v>
      </c>
      <c r="Y149" s="377">
        <f t="shared" si="77"/>
        <v>0</v>
      </c>
      <c r="Z149" s="377">
        <f t="shared" si="78"/>
        <v>0</v>
      </c>
      <c r="AA149" s="377">
        <f t="shared" si="79"/>
        <v>0</v>
      </c>
      <c r="AB149" s="377">
        <f t="shared" si="80"/>
        <v>0</v>
      </c>
      <c r="AC149" s="377">
        <f t="shared" si="81"/>
        <v>0</v>
      </c>
      <c r="AD149" s="376"/>
      <c r="AE149" s="332">
        <v>134</v>
      </c>
      <c r="AF149" s="350">
        <v>588359.15686014679</v>
      </c>
      <c r="AG149" s="350">
        <v>586238.89770824614</v>
      </c>
      <c r="AH149" s="350">
        <v>583945.94138438813</v>
      </c>
      <c r="AI149" s="350">
        <v>581195.04943047091</v>
      </c>
      <c r="AJ149" s="350">
        <v>577733.53163587989</v>
      </c>
      <c r="AK149" s="348">
        <v>2917472.5770191322</v>
      </c>
      <c r="AL149" s="369"/>
      <c r="AM149" s="350">
        <v>15020022.921098597</v>
      </c>
      <c r="AN149" s="350">
        <v>14884470.457647242</v>
      </c>
      <c r="AO149" s="350">
        <v>14736249.230494229</v>
      </c>
      <c r="AP149" s="350">
        <v>14547113.833155487</v>
      </c>
      <c r="AQ149" s="350">
        <v>14292900.280133406</v>
      </c>
      <c r="AR149" s="348">
        <v>73480756.722528964</v>
      </c>
      <c r="AS149" s="369"/>
      <c r="AT149" s="350">
        <f t="shared" si="99"/>
        <v>14431663.764238451</v>
      </c>
      <c r="AU149" s="350">
        <f t="shared" si="82"/>
        <v>14298231.559938995</v>
      </c>
      <c r="AV149" s="350">
        <f t="shared" si="83"/>
        <v>14152303.289109841</v>
      </c>
      <c r="AW149" s="350">
        <f t="shared" si="84"/>
        <v>13965918.783725016</v>
      </c>
      <c r="AX149" s="350">
        <f t="shared" si="85"/>
        <v>13715166.748497525</v>
      </c>
      <c r="AY149" s="350">
        <f t="shared" si="86"/>
        <v>70563284.145509839</v>
      </c>
      <c r="AZ149" s="365"/>
      <c r="BA149" s="377">
        <f t="shared" si="87"/>
        <v>0</v>
      </c>
      <c r="BB149" s="377">
        <f t="shared" si="88"/>
        <v>0</v>
      </c>
      <c r="BC149" s="377">
        <f t="shared" si="89"/>
        <v>0</v>
      </c>
      <c r="BD149" s="377">
        <f t="shared" si="90"/>
        <v>0</v>
      </c>
      <c r="BE149" s="377">
        <f t="shared" si="91"/>
        <v>0</v>
      </c>
      <c r="BF149" s="377">
        <f t="shared" si="92"/>
        <v>0</v>
      </c>
      <c r="BG149" s="328"/>
    </row>
    <row r="150" spans="2:59">
      <c r="B150" s="332">
        <v>135</v>
      </c>
      <c r="C150" s="350">
        <v>4524345.4106110781</v>
      </c>
      <c r="D150" s="350">
        <v>4508041.109655858</v>
      </c>
      <c r="E150" s="350">
        <v>4490408.807515882</v>
      </c>
      <c r="F150" s="350">
        <v>4469255.0866267383</v>
      </c>
      <c r="G150" s="350">
        <v>4442636.8178956388</v>
      </c>
      <c r="H150" s="348">
        <v>22434687.232305195</v>
      </c>
      <c r="I150" s="369"/>
      <c r="J150" s="350">
        <v>15704737.173921153</v>
      </c>
      <c r="K150" s="350">
        <v>15381634.455081446</v>
      </c>
      <c r="L150" s="350">
        <v>15048989.045808017</v>
      </c>
      <c r="M150" s="350">
        <v>14683125.565633105</v>
      </c>
      <c r="N150" s="350">
        <v>14264150.123236246</v>
      </c>
      <c r="O150" s="348">
        <v>75082636.363679975</v>
      </c>
      <c r="P150" s="369"/>
      <c r="Q150" s="350">
        <f t="shared" si="93"/>
        <v>11180391.763310075</v>
      </c>
      <c r="R150" s="350">
        <f t="shared" si="94"/>
        <v>10873593.345425587</v>
      </c>
      <c r="S150" s="350">
        <f t="shared" si="95"/>
        <v>10558580.238292135</v>
      </c>
      <c r="T150" s="350">
        <f t="shared" si="96"/>
        <v>10213870.479006367</v>
      </c>
      <c r="U150" s="350">
        <f t="shared" si="97"/>
        <v>9821513.3053406067</v>
      </c>
      <c r="V150" s="350">
        <f t="shared" si="98"/>
        <v>52647949.131374776</v>
      </c>
      <c r="W150" s="365"/>
      <c r="X150" s="377">
        <f t="shared" si="76"/>
        <v>0</v>
      </c>
      <c r="Y150" s="377">
        <f t="shared" si="77"/>
        <v>0</v>
      </c>
      <c r="Z150" s="377">
        <f t="shared" si="78"/>
        <v>0</v>
      </c>
      <c r="AA150" s="377">
        <f t="shared" si="79"/>
        <v>0</v>
      </c>
      <c r="AB150" s="377">
        <f t="shared" si="80"/>
        <v>0</v>
      </c>
      <c r="AC150" s="377">
        <f t="shared" si="81"/>
        <v>0</v>
      </c>
      <c r="AD150" s="376"/>
      <c r="AE150" s="332">
        <v>135</v>
      </c>
      <c r="AF150" s="350">
        <v>464915.83014561149</v>
      </c>
      <c r="AG150" s="350">
        <v>463240.42145648663</v>
      </c>
      <c r="AH150" s="350">
        <v>461428.54909865139</v>
      </c>
      <c r="AI150" s="350">
        <v>459254.82034558593</v>
      </c>
      <c r="AJ150" s="350">
        <v>456519.56178748951</v>
      </c>
      <c r="AK150" s="348">
        <v>2305359.1828338248</v>
      </c>
      <c r="AL150" s="369"/>
      <c r="AM150" s="350">
        <v>12836298.237481322</v>
      </c>
      <c r="AN150" s="350">
        <v>12722211.987451082</v>
      </c>
      <c r="AO150" s="350">
        <v>12597262.944456654</v>
      </c>
      <c r="AP150" s="350">
        <v>12437255.437484877</v>
      </c>
      <c r="AQ150" s="350">
        <v>12221486.540775446</v>
      </c>
      <c r="AR150" s="348">
        <v>62814515.147649378</v>
      </c>
      <c r="AS150" s="369"/>
      <c r="AT150" s="350">
        <f t="shared" si="99"/>
        <v>12371382.40733571</v>
      </c>
      <c r="AU150" s="350">
        <f t="shared" si="82"/>
        <v>12258971.565994596</v>
      </c>
      <c r="AV150" s="350">
        <f t="shared" si="83"/>
        <v>12135834.395358002</v>
      </c>
      <c r="AW150" s="350">
        <f t="shared" si="84"/>
        <v>11978000.617139291</v>
      </c>
      <c r="AX150" s="350">
        <f t="shared" si="85"/>
        <v>11764966.978987956</v>
      </c>
      <c r="AY150" s="350">
        <f t="shared" si="86"/>
        <v>60509155.96481555</v>
      </c>
      <c r="AZ150" s="365"/>
      <c r="BA150" s="377">
        <f t="shared" si="87"/>
        <v>0</v>
      </c>
      <c r="BB150" s="377">
        <f t="shared" si="88"/>
        <v>0</v>
      </c>
      <c r="BC150" s="377">
        <f t="shared" si="89"/>
        <v>0</v>
      </c>
      <c r="BD150" s="377">
        <f t="shared" si="90"/>
        <v>0</v>
      </c>
      <c r="BE150" s="377">
        <f t="shared" si="91"/>
        <v>0</v>
      </c>
      <c r="BF150" s="377">
        <f t="shared" si="92"/>
        <v>0</v>
      </c>
      <c r="BG150" s="328"/>
    </row>
    <row r="151" spans="2:59">
      <c r="B151" s="332">
        <v>136</v>
      </c>
      <c r="C151" s="350">
        <v>6187011.2284337925</v>
      </c>
      <c r="D151" s="350">
        <v>6164715.2090261821</v>
      </c>
      <c r="E151" s="350">
        <v>6140603.15713304</v>
      </c>
      <c r="F151" s="350">
        <v>6111675.5893223798</v>
      </c>
      <c r="G151" s="350">
        <v>6075275.2899255799</v>
      </c>
      <c r="H151" s="348">
        <v>30679280.473840974</v>
      </c>
      <c r="I151" s="369"/>
      <c r="J151" s="350">
        <v>21826187.279267587</v>
      </c>
      <c r="K151" s="350">
        <v>21381823.472018547</v>
      </c>
      <c r="L151" s="350">
        <v>20924101.842494544</v>
      </c>
      <c r="M151" s="350">
        <v>20419967.615791701</v>
      </c>
      <c r="N151" s="350">
        <v>19841634.006648399</v>
      </c>
      <c r="O151" s="348">
        <v>104393714.21622077</v>
      </c>
      <c r="P151" s="369"/>
      <c r="Q151" s="350">
        <f t="shared" si="93"/>
        <v>15639176.050833795</v>
      </c>
      <c r="R151" s="350">
        <f t="shared" si="94"/>
        <v>15217108.262992365</v>
      </c>
      <c r="S151" s="350">
        <f t="shared" si="95"/>
        <v>14783498.685361505</v>
      </c>
      <c r="T151" s="350">
        <f t="shared" si="96"/>
        <v>14308292.02646932</v>
      </c>
      <c r="U151" s="350">
        <f t="shared" si="97"/>
        <v>13766358.71672282</v>
      </c>
      <c r="V151" s="350">
        <f t="shared" si="98"/>
        <v>73714433.742379785</v>
      </c>
      <c r="W151" s="365"/>
      <c r="X151" s="377">
        <f t="shared" si="76"/>
        <v>0</v>
      </c>
      <c r="Y151" s="377">
        <f t="shared" si="77"/>
        <v>0</v>
      </c>
      <c r="Z151" s="377">
        <f t="shared" si="78"/>
        <v>0</v>
      </c>
      <c r="AA151" s="377">
        <f t="shared" si="79"/>
        <v>0</v>
      </c>
      <c r="AB151" s="377">
        <f t="shared" si="80"/>
        <v>0</v>
      </c>
      <c r="AC151" s="377">
        <f t="shared" si="81"/>
        <v>0</v>
      </c>
      <c r="AD151" s="376"/>
      <c r="AE151" s="332">
        <v>136</v>
      </c>
      <c r="AF151" s="350">
        <v>474554.1685869082</v>
      </c>
      <c r="AG151" s="350">
        <v>472844.02639350964</v>
      </c>
      <c r="AH151" s="350">
        <v>470994.59145366517</v>
      </c>
      <c r="AI151" s="350">
        <v>468775.79834261676</v>
      </c>
      <c r="AJ151" s="350">
        <v>465983.83414879447</v>
      </c>
      <c r="AK151" s="348">
        <v>2353152.4189254944</v>
      </c>
      <c r="AL151" s="369"/>
      <c r="AM151" s="350">
        <v>11193313.866651751</v>
      </c>
      <c r="AN151" s="350">
        <v>11090622.018766085</v>
      </c>
      <c r="AO151" s="350">
        <v>10978523.272429578</v>
      </c>
      <c r="AP151" s="350">
        <v>10836022.49603427</v>
      </c>
      <c r="AQ151" s="350">
        <v>10645161.652445035</v>
      </c>
      <c r="AR151" s="348">
        <v>54743643.306326717</v>
      </c>
      <c r="AS151" s="369"/>
      <c r="AT151" s="350">
        <f t="shared" si="99"/>
        <v>10718759.698064843</v>
      </c>
      <c r="AU151" s="350">
        <f t="shared" si="82"/>
        <v>10617777.992372574</v>
      </c>
      <c r="AV151" s="350">
        <f t="shared" si="83"/>
        <v>10507528.680975912</v>
      </c>
      <c r="AW151" s="350">
        <f t="shared" si="84"/>
        <v>10367246.697691653</v>
      </c>
      <c r="AX151" s="350">
        <f t="shared" si="85"/>
        <v>10179177.818296241</v>
      </c>
      <c r="AY151" s="350">
        <f t="shared" si="86"/>
        <v>52390490.887401223</v>
      </c>
      <c r="AZ151" s="365"/>
      <c r="BA151" s="377">
        <f t="shared" si="87"/>
        <v>0</v>
      </c>
      <c r="BB151" s="377">
        <f t="shared" si="88"/>
        <v>0</v>
      </c>
      <c r="BC151" s="377">
        <f t="shared" si="89"/>
        <v>0</v>
      </c>
      <c r="BD151" s="377">
        <f t="shared" si="90"/>
        <v>0</v>
      </c>
      <c r="BE151" s="377">
        <f t="shared" si="91"/>
        <v>0</v>
      </c>
      <c r="BF151" s="377">
        <f t="shared" si="92"/>
        <v>0</v>
      </c>
      <c r="BG151" s="328"/>
    </row>
    <row r="152" spans="2:59">
      <c r="B152" s="332">
        <v>137</v>
      </c>
      <c r="C152" s="350">
        <v>6722585.0707246363</v>
      </c>
      <c r="D152" s="350">
        <v>6698359.0136395404</v>
      </c>
      <c r="E152" s="350">
        <v>6672159.7206212152</v>
      </c>
      <c r="F152" s="350">
        <v>6640728.0602740394</v>
      </c>
      <c r="G152" s="350">
        <v>6601176.797109969</v>
      </c>
      <c r="H152" s="348">
        <v>33335008.662369397</v>
      </c>
      <c r="I152" s="369"/>
      <c r="J152" s="350">
        <v>26808227.453857675</v>
      </c>
      <c r="K152" s="350">
        <v>26303107.617731523</v>
      </c>
      <c r="L152" s="350">
        <v>25780750.334088463</v>
      </c>
      <c r="M152" s="350">
        <v>25199242.114455838</v>
      </c>
      <c r="N152" s="350">
        <v>24523248.91860006</v>
      </c>
      <c r="O152" s="348">
        <v>128614576.43873355</v>
      </c>
      <c r="P152" s="369"/>
      <c r="Q152" s="350">
        <f t="shared" si="93"/>
        <v>20085642.383133039</v>
      </c>
      <c r="R152" s="350">
        <f t="shared" si="94"/>
        <v>19604748.604091983</v>
      </c>
      <c r="S152" s="350">
        <f t="shared" si="95"/>
        <v>19108590.613467246</v>
      </c>
      <c r="T152" s="350">
        <f t="shared" si="96"/>
        <v>18558514.054181799</v>
      </c>
      <c r="U152" s="350">
        <f t="shared" si="97"/>
        <v>17922072.121490091</v>
      </c>
      <c r="V152" s="350">
        <f t="shared" si="98"/>
        <v>95279567.776364148</v>
      </c>
      <c r="W152" s="365"/>
      <c r="X152" s="377">
        <f t="shared" si="76"/>
        <v>0</v>
      </c>
      <c r="Y152" s="377">
        <f t="shared" si="77"/>
        <v>0</v>
      </c>
      <c r="Z152" s="377">
        <f t="shared" si="78"/>
        <v>0</v>
      </c>
      <c r="AA152" s="377">
        <f t="shared" si="79"/>
        <v>0</v>
      </c>
      <c r="AB152" s="377">
        <f t="shared" si="80"/>
        <v>0</v>
      </c>
      <c r="AC152" s="377">
        <f t="shared" si="81"/>
        <v>0</v>
      </c>
      <c r="AD152" s="376"/>
      <c r="AE152" s="332">
        <v>137</v>
      </c>
      <c r="AF152" s="350">
        <v>345364.46088233875</v>
      </c>
      <c r="AG152" s="350">
        <v>344119.87727997784</v>
      </c>
      <c r="AH152" s="350">
        <v>342773.92113162437</v>
      </c>
      <c r="AI152" s="350">
        <v>341159.15860854194</v>
      </c>
      <c r="AJ152" s="350">
        <v>339127.26157248078</v>
      </c>
      <c r="AK152" s="348">
        <v>1712544.6794749638</v>
      </c>
      <c r="AL152" s="369"/>
      <c r="AM152" s="350">
        <v>11015466.592749147</v>
      </c>
      <c r="AN152" s="350">
        <v>10920050.481605675</v>
      </c>
      <c r="AO152" s="350">
        <v>10815261.682753492</v>
      </c>
      <c r="AP152" s="350">
        <v>10680256.365544308</v>
      </c>
      <c r="AQ152" s="350">
        <v>10497194.661887497</v>
      </c>
      <c r="AR152" s="348">
        <v>53928229.784540117</v>
      </c>
      <c r="AS152" s="369"/>
      <c r="AT152" s="350">
        <f t="shared" si="99"/>
        <v>10670102.131866807</v>
      </c>
      <c r="AU152" s="350">
        <f t="shared" si="82"/>
        <v>10575930.604325697</v>
      </c>
      <c r="AV152" s="350">
        <f t="shared" si="83"/>
        <v>10472487.761621868</v>
      </c>
      <c r="AW152" s="350">
        <f t="shared" si="84"/>
        <v>10339097.206935765</v>
      </c>
      <c r="AX152" s="350">
        <f t="shared" si="85"/>
        <v>10158067.400315017</v>
      </c>
      <c r="AY152" s="350">
        <f t="shared" si="86"/>
        <v>52215685.105065152</v>
      </c>
      <c r="AZ152" s="365"/>
      <c r="BA152" s="377">
        <f t="shared" si="87"/>
        <v>0</v>
      </c>
      <c r="BB152" s="377">
        <f t="shared" si="88"/>
        <v>0</v>
      </c>
      <c r="BC152" s="377">
        <f t="shared" si="89"/>
        <v>0</v>
      </c>
      <c r="BD152" s="377">
        <f t="shared" si="90"/>
        <v>0</v>
      </c>
      <c r="BE152" s="377">
        <f t="shared" si="91"/>
        <v>0</v>
      </c>
      <c r="BF152" s="377">
        <f t="shared" si="92"/>
        <v>0</v>
      </c>
      <c r="BG152" s="328"/>
    </row>
    <row r="153" spans="2:59">
      <c r="B153" s="332">
        <v>138</v>
      </c>
      <c r="C153" s="350">
        <v>4395039.0386699978</v>
      </c>
      <c r="D153" s="350">
        <v>4379200.7167265937</v>
      </c>
      <c r="E153" s="350">
        <v>4362072.3480425701</v>
      </c>
      <c r="F153" s="350">
        <v>4341523.2032087408</v>
      </c>
      <c r="G153" s="350">
        <v>4315665.6880109375</v>
      </c>
      <c r="H153" s="348">
        <v>21793500.994658843</v>
      </c>
      <c r="I153" s="369"/>
      <c r="J153" s="350">
        <v>15400055.118316323</v>
      </c>
      <c r="K153" s="350">
        <v>15085147.693384249</v>
      </c>
      <c r="L153" s="350">
        <v>14760843.365154937</v>
      </c>
      <c r="M153" s="350">
        <v>14403863.83898668</v>
      </c>
      <c r="N153" s="350">
        <v>13994644.109237064</v>
      </c>
      <c r="O153" s="348">
        <v>73644554.125079244</v>
      </c>
      <c r="P153" s="369"/>
      <c r="Q153" s="350">
        <f t="shared" si="93"/>
        <v>11005016.079646325</v>
      </c>
      <c r="R153" s="350">
        <f t="shared" si="94"/>
        <v>10705946.976657655</v>
      </c>
      <c r="S153" s="350">
        <f t="shared" si="95"/>
        <v>10398771.017112367</v>
      </c>
      <c r="T153" s="350">
        <f t="shared" si="96"/>
        <v>10062340.635777939</v>
      </c>
      <c r="U153" s="350">
        <f t="shared" si="97"/>
        <v>9678978.4212261252</v>
      </c>
      <c r="V153" s="350">
        <f t="shared" si="98"/>
        <v>51851053.130420402</v>
      </c>
      <c r="W153" s="365"/>
      <c r="X153" s="377">
        <f t="shared" si="76"/>
        <v>0</v>
      </c>
      <c r="Y153" s="377">
        <f t="shared" si="77"/>
        <v>0</v>
      </c>
      <c r="Z153" s="377">
        <f t="shared" si="78"/>
        <v>0</v>
      </c>
      <c r="AA153" s="377">
        <f t="shared" si="79"/>
        <v>0</v>
      </c>
      <c r="AB153" s="377">
        <f t="shared" si="80"/>
        <v>0</v>
      </c>
      <c r="AC153" s="377">
        <f t="shared" si="81"/>
        <v>0</v>
      </c>
      <c r="AD153" s="376"/>
      <c r="AE153" s="332">
        <v>138</v>
      </c>
      <c r="AF153" s="350">
        <v>536977.58425199927</v>
      </c>
      <c r="AG153" s="350">
        <v>535042.48793523281</v>
      </c>
      <c r="AH153" s="350">
        <v>532949.77613968356</v>
      </c>
      <c r="AI153" s="350">
        <v>530439.12036297109</v>
      </c>
      <c r="AJ153" s="350">
        <v>527279.89790248557</v>
      </c>
      <c r="AK153" s="348">
        <v>2662688.8665923723</v>
      </c>
      <c r="AL153" s="369"/>
      <c r="AM153" s="350">
        <v>17040679.254473295</v>
      </c>
      <c r="AN153" s="350">
        <v>16892947.102142312</v>
      </c>
      <c r="AO153" s="350">
        <v>16730718.176772542</v>
      </c>
      <c r="AP153" s="350">
        <v>16521751.596361922</v>
      </c>
      <c r="AQ153" s="350">
        <v>16238453.204995783</v>
      </c>
      <c r="AR153" s="348">
        <v>83424549.334745854</v>
      </c>
      <c r="AS153" s="369"/>
      <c r="AT153" s="350">
        <f t="shared" si="99"/>
        <v>16503701.670221295</v>
      </c>
      <c r="AU153" s="350">
        <f t="shared" si="82"/>
        <v>16357904.61420708</v>
      </c>
      <c r="AV153" s="350">
        <f t="shared" si="83"/>
        <v>16197768.400632858</v>
      </c>
      <c r="AW153" s="350">
        <f t="shared" si="84"/>
        <v>15991312.475998951</v>
      </c>
      <c r="AX153" s="350">
        <f t="shared" si="85"/>
        <v>15711173.307093298</v>
      </c>
      <c r="AY153" s="350">
        <f t="shared" si="86"/>
        <v>80761860.468153477</v>
      </c>
      <c r="AZ153" s="365"/>
      <c r="BA153" s="377">
        <f t="shared" si="87"/>
        <v>0</v>
      </c>
      <c r="BB153" s="377">
        <f t="shared" si="88"/>
        <v>0</v>
      </c>
      <c r="BC153" s="377">
        <f t="shared" si="89"/>
        <v>0</v>
      </c>
      <c r="BD153" s="377">
        <f t="shared" si="90"/>
        <v>0</v>
      </c>
      <c r="BE153" s="377">
        <f t="shared" si="91"/>
        <v>0</v>
      </c>
      <c r="BF153" s="377">
        <f t="shared" si="92"/>
        <v>0</v>
      </c>
      <c r="BG153" s="328"/>
    </row>
    <row r="154" spans="2:59">
      <c r="B154" s="332">
        <v>139</v>
      </c>
      <c r="C154" s="350">
        <v>7460234.2699598875</v>
      </c>
      <c r="D154" s="350">
        <v>7433349.9599227719</v>
      </c>
      <c r="E154" s="350">
        <v>7404275.896661723</v>
      </c>
      <c r="F154" s="350">
        <v>7369395.3340185089</v>
      </c>
      <c r="G154" s="350">
        <v>7325504.2287706602</v>
      </c>
      <c r="H154" s="348">
        <v>36992759.689333551</v>
      </c>
      <c r="I154" s="369"/>
      <c r="J154" s="350">
        <v>24483229.20122996</v>
      </c>
      <c r="K154" s="350">
        <v>23960642.265605036</v>
      </c>
      <c r="L154" s="350">
        <v>23423564.06641911</v>
      </c>
      <c r="M154" s="350">
        <v>22835695.104339257</v>
      </c>
      <c r="N154" s="350">
        <v>22166580.524269134</v>
      </c>
      <c r="O154" s="348">
        <v>116869711.16186249</v>
      </c>
      <c r="P154" s="369"/>
      <c r="Q154" s="350">
        <f t="shared" si="93"/>
        <v>17022994.93127007</v>
      </c>
      <c r="R154" s="350">
        <f t="shared" si="94"/>
        <v>16527292.305682264</v>
      </c>
      <c r="S154" s="350">
        <f t="shared" si="95"/>
        <v>16019288.169757387</v>
      </c>
      <c r="T154" s="350">
        <f t="shared" si="96"/>
        <v>15466299.770320747</v>
      </c>
      <c r="U154" s="350">
        <f t="shared" si="97"/>
        <v>14841076.295498474</v>
      </c>
      <c r="V154" s="350">
        <f t="shared" si="98"/>
        <v>79876951.472528934</v>
      </c>
      <c r="W154" s="365"/>
      <c r="X154" s="377">
        <f t="shared" si="76"/>
        <v>0</v>
      </c>
      <c r="Y154" s="377">
        <f t="shared" si="77"/>
        <v>0</v>
      </c>
      <c r="Z154" s="377">
        <f t="shared" si="78"/>
        <v>0</v>
      </c>
      <c r="AA154" s="377">
        <f t="shared" si="79"/>
        <v>0</v>
      </c>
      <c r="AB154" s="377">
        <f t="shared" si="80"/>
        <v>0</v>
      </c>
      <c r="AC154" s="377">
        <f t="shared" si="81"/>
        <v>0</v>
      </c>
      <c r="AD154" s="376"/>
      <c r="AE154" s="332">
        <v>139</v>
      </c>
      <c r="AF154" s="350">
        <v>336918.96016602643</v>
      </c>
      <c r="AG154" s="350">
        <v>335704.81146040745</v>
      </c>
      <c r="AH154" s="350">
        <v>334391.76916076324</v>
      </c>
      <c r="AI154" s="350">
        <v>332816.49384493573</v>
      </c>
      <c r="AJ154" s="350">
        <v>330834.28457301133</v>
      </c>
      <c r="AK154" s="348">
        <v>1670666.3192051442</v>
      </c>
      <c r="AL154" s="369"/>
      <c r="AM154" s="350">
        <v>11428806.198540013</v>
      </c>
      <c r="AN154" s="350">
        <v>11330802.838753533</v>
      </c>
      <c r="AO154" s="350">
        <v>11223054.815342633</v>
      </c>
      <c r="AP154" s="350">
        <v>11083904.088984543</v>
      </c>
      <c r="AQ154" s="350">
        <v>10894811.96336979</v>
      </c>
      <c r="AR154" s="348">
        <v>55961379.904990509</v>
      </c>
      <c r="AS154" s="369"/>
      <c r="AT154" s="350">
        <f t="shared" si="99"/>
        <v>11091887.238373987</v>
      </c>
      <c r="AU154" s="350">
        <f t="shared" si="82"/>
        <v>10995098.027293125</v>
      </c>
      <c r="AV154" s="350">
        <f t="shared" si="83"/>
        <v>10888663.046181871</v>
      </c>
      <c r="AW154" s="350">
        <f t="shared" si="84"/>
        <v>10751087.595139608</v>
      </c>
      <c r="AX154" s="350">
        <f t="shared" si="85"/>
        <v>10563977.678796779</v>
      </c>
      <c r="AY154" s="350">
        <f t="shared" si="86"/>
        <v>54290713.585785367</v>
      </c>
      <c r="AZ154" s="365"/>
      <c r="BA154" s="377">
        <f t="shared" si="87"/>
        <v>0</v>
      </c>
      <c r="BB154" s="377">
        <f t="shared" si="88"/>
        <v>0</v>
      </c>
      <c r="BC154" s="377">
        <f t="shared" si="89"/>
        <v>0</v>
      </c>
      <c r="BD154" s="377">
        <f t="shared" si="90"/>
        <v>0</v>
      </c>
      <c r="BE154" s="377">
        <f t="shared" si="91"/>
        <v>0</v>
      </c>
      <c r="BF154" s="377">
        <f t="shared" si="92"/>
        <v>0</v>
      </c>
      <c r="BG154" s="328"/>
    </row>
    <row r="155" spans="2:59">
      <c r="B155" s="332">
        <v>140</v>
      </c>
      <c r="C155" s="350">
        <v>6153419.146368037</v>
      </c>
      <c r="D155" s="350">
        <v>6131244.1821332769</v>
      </c>
      <c r="E155" s="350">
        <v>6107263.0454746559</v>
      </c>
      <c r="F155" s="350">
        <v>6078492.5385122793</v>
      </c>
      <c r="G155" s="350">
        <v>6042289.8728031209</v>
      </c>
      <c r="H155" s="348">
        <v>30512708.78529137</v>
      </c>
      <c r="I155" s="369"/>
      <c r="J155" s="350">
        <v>24689879.193327926</v>
      </c>
      <c r="K155" s="350">
        <v>24226434.266472809</v>
      </c>
      <c r="L155" s="350">
        <v>23747078.010060102</v>
      </c>
      <c r="M155" s="350">
        <v>23213152.004413113</v>
      </c>
      <c r="N155" s="350">
        <v>22592062.098204207</v>
      </c>
      <c r="O155" s="348">
        <v>118468605.57247816</v>
      </c>
      <c r="P155" s="369"/>
      <c r="Q155" s="350">
        <f t="shared" si="93"/>
        <v>18536460.046959888</v>
      </c>
      <c r="R155" s="350">
        <f t="shared" si="94"/>
        <v>18095190.084339533</v>
      </c>
      <c r="S155" s="350">
        <f t="shared" si="95"/>
        <v>17639814.964585446</v>
      </c>
      <c r="T155" s="350">
        <f t="shared" si="96"/>
        <v>17134659.465900835</v>
      </c>
      <c r="U155" s="350">
        <f t="shared" si="97"/>
        <v>16549772.225401085</v>
      </c>
      <c r="V155" s="350">
        <f t="shared" si="98"/>
        <v>87955896.787186787</v>
      </c>
      <c r="W155" s="365"/>
      <c r="X155" s="377">
        <f t="shared" si="76"/>
        <v>0</v>
      </c>
      <c r="Y155" s="377">
        <f t="shared" si="77"/>
        <v>0</v>
      </c>
      <c r="Z155" s="377">
        <f t="shared" si="78"/>
        <v>0</v>
      </c>
      <c r="AA155" s="377">
        <f t="shared" si="79"/>
        <v>0</v>
      </c>
      <c r="AB155" s="377">
        <f t="shared" si="80"/>
        <v>0</v>
      </c>
      <c r="AC155" s="377">
        <f t="shared" si="81"/>
        <v>0</v>
      </c>
      <c r="AD155" s="376"/>
      <c r="AE155" s="332">
        <v>140</v>
      </c>
      <c r="AF155" s="350">
        <v>393743.10917280469</v>
      </c>
      <c r="AG155" s="350">
        <v>392324.18431884871</v>
      </c>
      <c r="AH155" s="350">
        <v>390789.68665423943</v>
      </c>
      <c r="AI155" s="350">
        <v>388948.72822212445</v>
      </c>
      <c r="AJ155" s="350">
        <v>386632.20308096259</v>
      </c>
      <c r="AK155" s="348">
        <v>1952437.91144898</v>
      </c>
      <c r="AL155" s="369"/>
      <c r="AM155" s="350">
        <v>14998342.645241825</v>
      </c>
      <c r="AN155" s="350">
        <v>14871975.907505468</v>
      </c>
      <c r="AO155" s="350">
        <v>14732775.114918986</v>
      </c>
      <c r="AP155" s="350">
        <v>14552245.28351712</v>
      </c>
      <c r="AQ155" s="350">
        <v>14305991.048344767</v>
      </c>
      <c r="AR155" s="348">
        <v>73461329.99952817</v>
      </c>
      <c r="AS155" s="369"/>
      <c r="AT155" s="350">
        <f t="shared" si="99"/>
        <v>14604599.536069021</v>
      </c>
      <c r="AU155" s="350">
        <f t="shared" si="82"/>
        <v>14479651.72318662</v>
      </c>
      <c r="AV155" s="350">
        <f t="shared" si="83"/>
        <v>14341985.428264746</v>
      </c>
      <c r="AW155" s="350">
        <f t="shared" si="84"/>
        <v>14163296.555294996</v>
      </c>
      <c r="AX155" s="350">
        <f t="shared" si="85"/>
        <v>13919358.845263803</v>
      </c>
      <c r="AY155" s="350">
        <f t="shared" si="86"/>
        <v>71508892.088079184</v>
      </c>
      <c r="AZ155" s="365"/>
      <c r="BA155" s="377">
        <f t="shared" si="87"/>
        <v>0</v>
      </c>
      <c r="BB155" s="377">
        <f t="shared" si="88"/>
        <v>0</v>
      </c>
      <c r="BC155" s="377">
        <f t="shared" si="89"/>
        <v>0</v>
      </c>
      <c r="BD155" s="377">
        <f t="shared" si="90"/>
        <v>0</v>
      </c>
      <c r="BE155" s="377">
        <f t="shared" si="91"/>
        <v>0</v>
      </c>
      <c r="BF155" s="377">
        <f t="shared" si="92"/>
        <v>0</v>
      </c>
      <c r="BG155" s="328"/>
    </row>
    <row r="156" spans="2:59">
      <c r="B156" s="332">
        <v>141</v>
      </c>
      <c r="C156" s="350">
        <v>9669606.9859321937</v>
      </c>
      <c r="D156" s="350">
        <v>9634760.7997750547</v>
      </c>
      <c r="E156" s="350">
        <v>9597076.3578332644</v>
      </c>
      <c r="F156" s="350">
        <v>9551865.8027752042</v>
      </c>
      <c r="G156" s="350">
        <v>9494976.2035257705</v>
      </c>
      <c r="H156" s="348">
        <v>47948286.149841487</v>
      </c>
      <c r="I156" s="369"/>
      <c r="J156" s="350">
        <v>32388550.139438886</v>
      </c>
      <c r="K156" s="350">
        <v>31706479.922660284</v>
      </c>
      <c r="L156" s="350">
        <v>31005050.445344463</v>
      </c>
      <c r="M156" s="350">
        <v>30235942.714495812</v>
      </c>
      <c r="N156" s="350">
        <v>29358594.336786352</v>
      </c>
      <c r="O156" s="348">
        <v>154694617.5587258</v>
      </c>
      <c r="P156" s="369"/>
      <c r="Q156" s="350">
        <f t="shared" si="93"/>
        <v>22718943.153506692</v>
      </c>
      <c r="R156" s="350">
        <f t="shared" si="94"/>
        <v>22071719.122885227</v>
      </c>
      <c r="S156" s="350">
        <f t="shared" si="95"/>
        <v>21407974.087511197</v>
      </c>
      <c r="T156" s="350">
        <f t="shared" si="96"/>
        <v>20684076.911720607</v>
      </c>
      <c r="U156" s="350">
        <f t="shared" si="97"/>
        <v>19863618.133260582</v>
      </c>
      <c r="V156" s="350">
        <f t="shared" si="98"/>
        <v>106746331.40888432</v>
      </c>
      <c r="W156" s="365"/>
      <c r="X156" s="377">
        <f t="shared" si="76"/>
        <v>0</v>
      </c>
      <c r="Y156" s="377">
        <f t="shared" si="77"/>
        <v>0</v>
      </c>
      <c r="Z156" s="377">
        <f t="shared" si="78"/>
        <v>0</v>
      </c>
      <c r="AA156" s="377">
        <f t="shared" si="79"/>
        <v>0</v>
      </c>
      <c r="AB156" s="377">
        <f t="shared" si="80"/>
        <v>0</v>
      </c>
      <c r="AC156" s="377">
        <f t="shared" si="81"/>
        <v>0</v>
      </c>
      <c r="AD156" s="376"/>
      <c r="AE156" s="332">
        <v>141</v>
      </c>
      <c r="AF156" s="350">
        <v>230508.69087177597</v>
      </c>
      <c r="AG156" s="350">
        <v>229678.01091087973</v>
      </c>
      <c r="AH156" s="350">
        <v>228779.67125851611</v>
      </c>
      <c r="AI156" s="350">
        <v>227701.92054174113</v>
      </c>
      <c r="AJ156" s="350">
        <v>226345.75921416242</v>
      </c>
      <c r="AK156" s="348">
        <v>1143014.0527970754</v>
      </c>
      <c r="AL156" s="369"/>
      <c r="AM156" s="350">
        <v>7476344.5460192906</v>
      </c>
      <c r="AN156" s="350">
        <v>7411765.0587469423</v>
      </c>
      <c r="AO156" s="350">
        <v>7340820.5129534984</v>
      </c>
      <c r="AP156" s="350">
        <v>7249358.0858188448</v>
      </c>
      <c r="AQ156" s="350">
        <v>7125264.2683024853</v>
      </c>
      <c r="AR156" s="348">
        <v>36603552.471841067</v>
      </c>
      <c r="AS156" s="369"/>
      <c r="AT156" s="350">
        <f t="shared" si="99"/>
        <v>7245835.8551475145</v>
      </c>
      <c r="AU156" s="350">
        <f t="shared" si="82"/>
        <v>7182087.0478360625</v>
      </c>
      <c r="AV156" s="350">
        <f t="shared" si="83"/>
        <v>7112040.8416949827</v>
      </c>
      <c r="AW156" s="350">
        <f t="shared" si="84"/>
        <v>7021656.1652771039</v>
      </c>
      <c r="AX156" s="350">
        <f t="shared" si="85"/>
        <v>6898918.5090883225</v>
      </c>
      <c r="AY156" s="350">
        <f t="shared" si="86"/>
        <v>35460538.419043988</v>
      </c>
      <c r="AZ156" s="365"/>
      <c r="BA156" s="377">
        <f t="shared" si="87"/>
        <v>0</v>
      </c>
      <c r="BB156" s="377">
        <f t="shared" si="88"/>
        <v>0</v>
      </c>
      <c r="BC156" s="377">
        <f t="shared" si="89"/>
        <v>0</v>
      </c>
      <c r="BD156" s="377">
        <f t="shared" si="90"/>
        <v>0</v>
      </c>
      <c r="BE156" s="377">
        <f t="shared" si="91"/>
        <v>0</v>
      </c>
      <c r="BF156" s="377">
        <f t="shared" si="92"/>
        <v>0</v>
      </c>
      <c r="BG156" s="328"/>
    </row>
    <row r="157" spans="2:59">
      <c r="B157" s="332">
        <v>142</v>
      </c>
      <c r="C157" s="350">
        <v>2621628.1169211194</v>
      </c>
      <c r="D157" s="350">
        <v>2612180.6035392494</v>
      </c>
      <c r="E157" s="350">
        <v>2601963.5809954368</v>
      </c>
      <c r="F157" s="350">
        <v>2589706.0753393895</v>
      </c>
      <c r="G157" s="350">
        <v>2574282.142063749</v>
      </c>
      <c r="H157" s="348">
        <v>12999760.518858943</v>
      </c>
      <c r="I157" s="369"/>
      <c r="J157" s="350">
        <v>12338300.51163106</v>
      </c>
      <c r="K157" s="350">
        <v>12127740.002580184</v>
      </c>
      <c r="L157" s="350">
        <v>11908798.523957139</v>
      </c>
      <c r="M157" s="350">
        <v>11661477.828998353</v>
      </c>
      <c r="N157" s="350">
        <v>11368866.544835489</v>
      </c>
      <c r="O157" s="348">
        <v>59405183.412002236</v>
      </c>
      <c r="P157" s="369"/>
      <c r="Q157" s="350">
        <f t="shared" si="93"/>
        <v>9716672.394709941</v>
      </c>
      <c r="R157" s="350">
        <f t="shared" si="94"/>
        <v>9515559.3990409356</v>
      </c>
      <c r="S157" s="350">
        <f t="shared" si="95"/>
        <v>9306834.9429617021</v>
      </c>
      <c r="T157" s="350">
        <f t="shared" si="96"/>
        <v>9071771.7536589634</v>
      </c>
      <c r="U157" s="350">
        <f t="shared" si="97"/>
        <v>8794584.4027717412</v>
      </c>
      <c r="V157" s="350">
        <f t="shared" si="98"/>
        <v>46405422.893143296</v>
      </c>
      <c r="W157" s="365"/>
      <c r="X157" s="377">
        <f t="shared" si="76"/>
        <v>0</v>
      </c>
      <c r="Y157" s="377">
        <f t="shared" si="77"/>
        <v>0</v>
      </c>
      <c r="Z157" s="377">
        <f t="shared" si="78"/>
        <v>0</v>
      </c>
      <c r="AA157" s="377">
        <f t="shared" si="79"/>
        <v>0</v>
      </c>
      <c r="AB157" s="377">
        <f t="shared" si="80"/>
        <v>0</v>
      </c>
      <c r="AC157" s="377">
        <f t="shared" si="81"/>
        <v>0</v>
      </c>
      <c r="AD157" s="376"/>
      <c r="AE157" s="332">
        <v>142</v>
      </c>
      <c r="AF157" s="350">
        <v>558080.35102716577</v>
      </c>
      <c r="AG157" s="350">
        <v>556069.20705504518</v>
      </c>
      <c r="AH157" s="350">
        <v>553894.25344858191</v>
      </c>
      <c r="AI157" s="350">
        <v>551284.93101452186</v>
      </c>
      <c r="AJ157" s="350">
        <v>548001.55377229198</v>
      </c>
      <c r="AK157" s="348">
        <v>2767330.2963176067</v>
      </c>
      <c r="AL157" s="369"/>
      <c r="AM157" s="350">
        <v>17402697.975539908</v>
      </c>
      <c r="AN157" s="350">
        <v>17251377.532014068</v>
      </c>
      <c r="AO157" s="350">
        <v>17085261.52564358</v>
      </c>
      <c r="AP157" s="350">
        <v>16871438.664146516</v>
      </c>
      <c r="AQ157" s="350">
        <v>16581741.892866714</v>
      </c>
      <c r="AR157" s="348">
        <v>85192517.590210795</v>
      </c>
      <c r="AS157" s="369"/>
      <c r="AT157" s="350">
        <f t="shared" si="99"/>
        <v>16844617.624512743</v>
      </c>
      <c r="AU157" s="350">
        <f t="shared" si="82"/>
        <v>16695308.324959023</v>
      </c>
      <c r="AV157" s="350">
        <f t="shared" si="83"/>
        <v>16531367.272194998</v>
      </c>
      <c r="AW157" s="350">
        <f t="shared" si="84"/>
        <v>16320153.733131995</v>
      </c>
      <c r="AX157" s="350">
        <f t="shared" si="85"/>
        <v>16033740.339094423</v>
      </c>
      <c r="AY157" s="350">
        <f t="shared" si="86"/>
        <v>82425187.293893188</v>
      </c>
      <c r="AZ157" s="365"/>
      <c r="BA157" s="377">
        <f t="shared" si="87"/>
        <v>0</v>
      </c>
      <c r="BB157" s="377">
        <f t="shared" si="88"/>
        <v>0</v>
      </c>
      <c r="BC157" s="377">
        <f t="shared" si="89"/>
        <v>0</v>
      </c>
      <c r="BD157" s="377">
        <f t="shared" si="90"/>
        <v>0</v>
      </c>
      <c r="BE157" s="377">
        <f t="shared" si="91"/>
        <v>0</v>
      </c>
      <c r="BF157" s="377">
        <f t="shared" si="92"/>
        <v>0</v>
      </c>
      <c r="BG157" s="328"/>
    </row>
    <row r="158" spans="2:59">
      <c r="B158" s="332">
        <v>143</v>
      </c>
      <c r="C158" s="350">
        <v>5441770.6930695167</v>
      </c>
      <c r="D158" s="350">
        <v>5422160.2833733382</v>
      </c>
      <c r="E158" s="350">
        <v>5400952.586717017</v>
      </c>
      <c r="F158" s="350">
        <v>5375509.4147359524</v>
      </c>
      <c r="G158" s="350">
        <v>5343493.6198451761</v>
      </c>
      <c r="H158" s="348">
        <v>26983886.597741</v>
      </c>
      <c r="I158" s="369"/>
      <c r="J158" s="350">
        <v>16739116.8114713</v>
      </c>
      <c r="K158" s="350">
        <v>16365993.787219292</v>
      </c>
      <c r="L158" s="350">
        <v>15983286.411117317</v>
      </c>
      <c r="M158" s="350">
        <v>15566688.125336666</v>
      </c>
      <c r="N158" s="350">
        <v>15095845.917456277</v>
      </c>
      <c r="O158" s="348">
        <v>79750931.052600861</v>
      </c>
      <c r="P158" s="369"/>
      <c r="Q158" s="350">
        <f t="shared" si="93"/>
        <v>11297346.118401784</v>
      </c>
      <c r="R158" s="350">
        <f t="shared" si="94"/>
        <v>10943833.503845952</v>
      </c>
      <c r="S158" s="350">
        <f t="shared" si="95"/>
        <v>10582333.8244003</v>
      </c>
      <c r="T158" s="350">
        <f t="shared" si="96"/>
        <v>10191178.710600713</v>
      </c>
      <c r="U158" s="350">
        <f t="shared" si="97"/>
        <v>9752352.2976111006</v>
      </c>
      <c r="V158" s="350">
        <f t="shared" si="98"/>
        <v>52767044.45485986</v>
      </c>
      <c r="W158" s="365"/>
      <c r="X158" s="377">
        <f t="shared" si="76"/>
        <v>0</v>
      </c>
      <c r="Y158" s="377">
        <f t="shared" si="77"/>
        <v>0</v>
      </c>
      <c r="Z158" s="377">
        <f t="shared" si="78"/>
        <v>0</v>
      </c>
      <c r="AA158" s="377">
        <f t="shared" si="79"/>
        <v>0</v>
      </c>
      <c r="AB158" s="377">
        <f t="shared" si="80"/>
        <v>0</v>
      </c>
      <c r="AC158" s="377">
        <f t="shared" si="81"/>
        <v>0</v>
      </c>
      <c r="AD158" s="376"/>
      <c r="AE158" s="332">
        <v>143</v>
      </c>
      <c r="AF158" s="350">
        <v>643904.11727145233</v>
      </c>
      <c r="AG158" s="350">
        <v>641583.69175980205</v>
      </c>
      <c r="AH158" s="350">
        <v>639074.26533133432</v>
      </c>
      <c r="AI158" s="350">
        <v>636063.67114809947</v>
      </c>
      <c r="AJ158" s="350">
        <v>632275.36338751263</v>
      </c>
      <c r="AK158" s="348">
        <v>3192901.1088982006</v>
      </c>
      <c r="AL158" s="369"/>
      <c r="AM158" s="350">
        <v>19291089.266869031</v>
      </c>
      <c r="AN158" s="350">
        <v>19122176.594130114</v>
      </c>
      <c r="AO158" s="350">
        <v>18936886.808247183</v>
      </c>
      <c r="AP158" s="350">
        <v>18698775.225280911</v>
      </c>
      <c r="AQ158" s="350">
        <v>18376653.061780442</v>
      </c>
      <c r="AR158" s="348">
        <v>94425580.956307679</v>
      </c>
      <c r="AS158" s="369"/>
      <c r="AT158" s="350">
        <f t="shared" si="99"/>
        <v>18647185.149597578</v>
      </c>
      <c r="AU158" s="350">
        <f t="shared" si="82"/>
        <v>18480592.902370311</v>
      </c>
      <c r="AV158" s="350">
        <f t="shared" si="83"/>
        <v>18297812.542915847</v>
      </c>
      <c r="AW158" s="350">
        <f t="shared" si="84"/>
        <v>18062711.554132812</v>
      </c>
      <c r="AX158" s="350">
        <f t="shared" si="85"/>
        <v>17744377.698392928</v>
      </c>
      <c r="AY158" s="350">
        <f t="shared" si="86"/>
        <v>91232679.847409472</v>
      </c>
      <c r="AZ158" s="365"/>
      <c r="BA158" s="377">
        <f t="shared" si="87"/>
        <v>0</v>
      </c>
      <c r="BB158" s="377">
        <f t="shared" si="88"/>
        <v>0</v>
      </c>
      <c r="BC158" s="377">
        <f t="shared" si="89"/>
        <v>0</v>
      </c>
      <c r="BD158" s="377">
        <f t="shared" si="90"/>
        <v>0</v>
      </c>
      <c r="BE158" s="377">
        <f t="shared" si="91"/>
        <v>0</v>
      </c>
      <c r="BF158" s="377">
        <f t="shared" si="92"/>
        <v>0</v>
      </c>
      <c r="BG158" s="328"/>
    </row>
    <row r="159" spans="2:59">
      <c r="B159" s="332">
        <v>144</v>
      </c>
      <c r="C159" s="350">
        <v>7501752.754248186</v>
      </c>
      <c r="D159" s="350">
        <v>7474718.8248072434</v>
      </c>
      <c r="E159" s="350">
        <v>7445482.9554962777</v>
      </c>
      <c r="F159" s="350">
        <v>7410408.271859047</v>
      </c>
      <c r="G159" s="350">
        <v>7366272.8991930857</v>
      </c>
      <c r="H159" s="348">
        <v>37198635.705603838</v>
      </c>
      <c r="I159" s="369"/>
      <c r="J159" s="350">
        <v>22684851.201111764</v>
      </c>
      <c r="K159" s="350">
        <v>22173299.52460831</v>
      </c>
      <c r="L159" s="350">
        <v>21648879.51777662</v>
      </c>
      <c r="M159" s="350">
        <v>21078841.332497686</v>
      </c>
      <c r="N159" s="350">
        <v>20435777.168576062</v>
      </c>
      <c r="O159" s="348">
        <v>108021648.74457045</v>
      </c>
      <c r="P159" s="369"/>
      <c r="Q159" s="350">
        <f t="shared" si="93"/>
        <v>15183098.446863577</v>
      </c>
      <c r="R159" s="350">
        <f t="shared" si="94"/>
        <v>14698580.699801067</v>
      </c>
      <c r="S159" s="350">
        <f t="shared" si="95"/>
        <v>14203396.562280342</v>
      </c>
      <c r="T159" s="350">
        <f t="shared" si="96"/>
        <v>13668433.06063864</v>
      </c>
      <c r="U159" s="350">
        <f t="shared" si="97"/>
        <v>13069504.269382976</v>
      </c>
      <c r="V159" s="350">
        <f t="shared" si="98"/>
        <v>70823013.038966611</v>
      </c>
      <c r="W159" s="365"/>
      <c r="X159" s="377">
        <f t="shared" si="76"/>
        <v>0</v>
      </c>
      <c r="Y159" s="377">
        <f t="shared" si="77"/>
        <v>0</v>
      </c>
      <c r="Z159" s="377">
        <f t="shared" si="78"/>
        <v>0</v>
      </c>
      <c r="AA159" s="377">
        <f t="shared" si="79"/>
        <v>0</v>
      </c>
      <c r="AB159" s="377">
        <f t="shared" si="80"/>
        <v>0</v>
      </c>
      <c r="AC159" s="377">
        <f t="shared" si="81"/>
        <v>0</v>
      </c>
      <c r="AD159" s="376"/>
      <c r="AE159" s="332">
        <v>144</v>
      </c>
      <c r="AF159" s="350">
        <v>306123.61829810572</v>
      </c>
      <c r="AG159" s="350">
        <v>305020.44620374549</v>
      </c>
      <c r="AH159" s="350">
        <v>303827.41966838075</v>
      </c>
      <c r="AI159" s="350">
        <v>302396.12895307288</v>
      </c>
      <c r="AJ159" s="350">
        <v>300595.09919135651</v>
      </c>
      <c r="AK159" s="348">
        <v>1517962.7123146614</v>
      </c>
      <c r="AL159" s="369"/>
      <c r="AM159" s="350">
        <v>9837553.901003506</v>
      </c>
      <c r="AN159" s="350">
        <v>9752448.0654054265</v>
      </c>
      <c r="AO159" s="350">
        <v>9658969.5995032322</v>
      </c>
      <c r="AP159" s="350">
        <v>9538500.0964819398</v>
      </c>
      <c r="AQ159" s="350">
        <v>9375104.1776962634</v>
      </c>
      <c r="AR159" s="348">
        <v>48162575.840090372</v>
      </c>
      <c r="AS159" s="369"/>
      <c r="AT159" s="350">
        <f t="shared" si="99"/>
        <v>9531430.2827054001</v>
      </c>
      <c r="AU159" s="350">
        <f t="shared" si="82"/>
        <v>9447427.6192016806</v>
      </c>
      <c r="AV159" s="350">
        <f t="shared" si="83"/>
        <v>9355142.179834852</v>
      </c>
      <c r="AW159" s="350">
        <f t="shared" si="84"/>
        <v>9236103.9675288666</v>
      </c>
      <c r="AX159" s="350">
        <f t="shared" si="85"/>
        <v>9074509.078504907</v>
      </c>
      <c r="AY159" s="350">
        <f t="shared" si="86"/>
        <v>46644613.127775714</v>
      </c>
      <c r="AZ159" s="365"/>
      <c r="BA159" s="377">
        <f t="shared" si="87"/>
        <v>0</v>
      </c>
      <c r="BB159" s="377">
        <f t="shared" si="88"/>
        <v>0</v>
      </c>
      <c r="BC159" s="377">
        <f t="shared" si="89"/>
        <v>0</v>
      </c>
      <c r="BD159" s="377">
        <f t="shared" si="90"/>
        <v>0</v>
      </c>
      <c r="BE159" s="377">
        <f t="shared" si="91"/>
        <v>0</v>
      </c>
      <c r="BF159" s="377">
        <f t="shared" si="92"/>
        <v>0</v>
      </c>
      <c r="BG159" s="328"/>
    </row>
    <row r="160" spans="2:59">
      <c r="B160" s="332">
        <v>145</v>
      </c>
      <c r="C160" s="350">
        <v>6652693.2095051911</v>
      </c>
      <c r="D160" s="350">
        <v>6628719.020444354</v>
      </c>
      <c r="E160" s="350">
        <v>6602792.1103460547</v>
      </c>
      <c r="F160" s="350">
        <v>6571687.2316193087</v>
      </c>
      <c r="G160" s="350">
        <v>6532547.1661369391</v>
      </c>
      <c r="H160" s="348">
        <v>32988438.738051847</v>
      </c>
      <c r="I160" s="369"/>
      <c r="J160" s="350">
        <v>22359072.887170449</v>
      </c>
      <c r="K160" s="350">
        <v>21889262.450248472</v>
      </c>
      <c r="L160" s="350">
        <v>21406066.141956575</v>
      </c>
      <c r="M160" s="350">
        <v>20876093.604355782</v>
      </c>
      <c r="N160" s="350">
        <v>20271311.97232959</v>
      </c>
      <c r="O160" s="348">
        <v>106801807.05606087</v>
      </c>
      <c r="P160" s="369"/>
      <c r="Q160" s="350">
        <f t="shared" si="93"/>
        <v>15706379.677665258</v>
      </c>
      <c r="R160" s="350">
        <f t="shared" si="94"/>
        <v>15260543.429804118</v>
      </c>
      <c r="S160" s="350">
        <f t="shared" si="95"/>
        <v>14803274.031610521</v>
      </c>
      <c r="T160" s="350">
        <f t="shared" si="96"/>
        <v>14304406.372736473</v>
      </c>
      <c r="U160" s="350">
        <f t="shared" si="97"/>
        <v>13738764.806192651</v>
      </c>
      <c r="V160" s="350">
        <f t="shared" si="98"/>
        <v>73813368.318009019</v>
      </c>
      <c r="W160" s="365"/>
      <c r="X160" s="377">
        <f t="shared" si="76"/>
        <v>0</v>
      </c>
      <c r="Y160" s="377">
        <f t="shared" si="77"/>
        <v>0</v>
      </c>
      <c r="Z160" s="377">
        <f t="shared" si="78"/>
        <v>0</v>
      </c>
      <c r="AA160" s="377">
        <f t="shared" si="79"/>
        <v>0</v>
      </c>
      <c r="AB160" s="377">
        <f t="shared" si="80"/>
        <v>0</v>
      </c>
      <c r="AC160" s="377">
        <f t="shared" si="81"/>
        <v>0</v>
      </c>
      <c r="AD160" s="376"/>
      <c r="AE160" s="332">
        <v>145</v>
      </c>
      <c r="AF160" s="350">
        <v>442581.09919278213</v>
      </c>
      <c r="AG160" s="350">
        <v>440986.17776582658</v>
      </c>
      <c r="AH160" s="350">
        <v>439261.3484360174</v>
      </c>
      <c r="AI160" s="350">
        <v>437192.0464280016</v>
      </c>
      <c r="AJ160" s="350">
        <v>434588.19071751804</v>
      </c>
      <c r="AK160" s="348">
        <v>2194608.8625401454</v>
      </c>
      <c r="AL160" s="369"/>
      <c r="AM160" s="350">
        <v>16505108.469896538</v>
      </c>
      <c r="AN160" s="350">
        <v>16365616.020245628</v>
      </c>
      <c r="AO160" s="350">
        <v>16212008.972565616</v>
      </c>
      <c r="AP160" s="350">
        <v>16012943.583462026</v>
      </c>
      <c r="AQ160" s="350">
        <v>15741586.431201635</v>
      </c>
      <c r="AR160" s="348">
        <v>80837263.477371439</v>
      </c>
      <c r="AS160" s="369"/>
      <c r="AT160" s="350">
        <f t="shared" si="99"/>
        <v>16062527.370703757</v>
      </c>
      <c r="AU160" s="350">
        <f t="shared" si="82"/>
        <v>15924629.842479803</v>
      </c>
      <c r="AV160" s="350">
        <f t="shared" si="83"/>
        <v>15772747.624129599</v>
      </c>
      <c r="AW160" s="350">
        <f t="shared" si="84"/>
        <v>15575751.537034024</v>
      </c>
      <c r="AX160" s="350">
        <f t="shared" si="85"/>
        <v>15306998.240484117</v>
      </c>
      <c r="AY160" s="350">
        <f t="shared" si="86"/>
        <v>78642654.614831299</v>
      </c>
      <c r="AZ160" s="365"/>
      <c r="BA160" s="377">
        <f t="shared" si="87"/>
        <v>0</v>
      </c>
      <c r="BB160" s="377">
        <f t="shared" si="88"/>
        <v>0</v>
      </c>
      <c r="BC160" s="377">
        <f t="shared" si="89"/>
        <v>0</v>
      </c>
      <c r="BD160" s="377">
        <f t="shared" si="90"/>
        <v>0</v>
      </c>
      <c r="BE160" s="377">
        <f t="shared" si="91"/>
        <v>0</v>
      </c>
      <c r="BF160" s="377">
        <f t="shared" si="92"/>
        <v>0</v>
      </c>
      <c r="BG160" s="328"/>
    </row>
    <row r="161" spans="2:59">
      <c r="B161" s="332">
        <v>146</v>
      </c>
      <c r="C161" s="350">
        <v>4642988.5478440905</v>
      </c>
      <c r="D161" s="350">
        <v>4626256.6947812904</v>
      </c>
      <c r="E161" s="350">
        <v>4608162.0159983616</v>
      </c>
      <c r="F161" s="350">
        <v>4586453.5753469821</v>
      </c>
      <c r="G161" s="350">
        <v>4559137.2885329658</v>
      </c>
      <c r="H161" s="348">
        <v>23022998.12250369</v>
      </c>
      <c r="I161" s="369"/>
      <c r="J161" s="350">
        <v>17859209.026544072</v>
      </c>
      <c r="K161" s="350">
        <v>17515073.641188096</v>
      </c>
      <c r="L161" s="350">
        <v>17159610.806059703</v>
      </c>
      <c r="M161" s="350">
        <v>16765144.939907417</v>
      </c>
      <c r="N161" s="350">
        <v>16308363.131736819</v>
      </c>
      <c r="O161" s="348">
        <v>85607401.545436099</v>
      </c>
      <c r="P161" s="369"/>
      <c r="Q161" s="350">
        <f t="shared" si="93"/>
        <v>13216220.478699982</v>
      </c>
      <c r="R161" s="350">
        <f t="shared" si="94"/>
        <v>12888816.946406806</v>
      </c>
      <c r="S161" s="350">
        <f t="shared" si="95"/>
        <v>12551448.790061342</v>
      </c>
      <c r="T161" s="350">
        <f t="shared" si="96"/>
        <v>12178691.364560435</v>
      </c>
      <c r="U161" s="350">
        <f t="shared" si="97"/>
        <v>11749225.843203854</v>
      </c>
      <c r="V161" s="350">
        <f t="shared" si="98"/>
        <v>62584403.422932409</v>
      </c>
      <c r="W161" s="365"/>
      <c r="X161" s="377">
        <f t="shared" si="76"/>
        <v>0</v>
      </c>
      <c r="Y161" s="377">
        <f t="shared" si="77"/>
        <v>0</v>
      </c>
      <c r="Z161" s="377">
        <f t="shared" si="78"/>
        <v>0</v>
      </c>
      <c r="AA161" s="377">
        <f t="shared" si="79"/>
        <v>0</v>
      </c>
      <c r="AB161" s="377">
        <f t="shared" si="80"/>
        <v>0</v>
      </c>
      <c r="AC161" s="377">
        <f t="shared" si="81"/>
        <v>0</v>
      </c>
      <c r="AD161" s="376"/>
      <c r="AE161" s="332">
        <v>146</v>
      </c>
      <c r="AF161" s="350">
        <v>554089.80463403848</v>
      </c>
      <c r="AG161" s="350">
        <v>552093.04132109927</v>
      </c>
      <c r="AH161" s="350">
        <v>549933.6396925071</v>
      </c>
      <c r="AI161" s="350">
        <v>547342.97518504946</v>
      </c>
      <c r="AJ161" s="350">
        <v>544083.07568968367</v>
      </c>
      <c r="AK161" s="348">
        <v>2747542.5365223782</v>
      </c>
      <c r="AL161" s="369"/>
      <c r="AM161" s="350">
        <v>19067455.406075664</v>
      </c>
      <c r="AN161" s="350">
        <v>18904321.59729242</v>
      </c>
      <c r="AO161" s="350">
        <v>18724922.50924715</v>
      </c>
      <c r="AP161" s="350">
        <v>18493112.550516829</v>
      </c>
      <c r="AQ161" s="350">
        <v>18177951.338414699</v>
      </c>
      <c r="AR161" s="348">
        <v>93367763.401546761</v>
      </c>
      <c r="AS161" s="369"/>
      <c r="AT161" s="350">
        <f t="shared" si="99"/>
        <v>18513365.601441626</v>
      </c>
      <c r="AU161" s="350">
        <f t="shared" si="82"/>
        <v>18352228.555971321</v>
      </c>
      <c r="AV161" s="350">
        <f t="shared" si="83"/>
        <v>18174988.869554643</v>
      </c>
      <c r="AW161" s="350">
        <f t="shared" si="84"/>
        <v>17945769.575331781</v>
      </c>
      <c r="AX161" s="350">
        <f t="shared" si="85"/>
        <v>17633868.262725014</v>
      </c>
      <c r="AY161" s="350">
        <f t="shared" si="86"/>
        <v>90620220.865024388</v>
      </c>
      <c r="AZ161" s="365"/>
      <c r="BA161" s="377">
        <f t="shared" si="87"/>
        <v>0</v>
      </c>
      <c r="BB161" s="377">
        <f t="shared" si="88"/>
        <v>0</v>
      </c>
      <c r="BC161" s="377">
        <f t="shared" si="89"/>
        <v>0</v>
      </c>
      <c r="BD161" s="377">
        <f t="shared" si="90"/>
        <v>0</v>
      </c>
      <c r="BE161" s="377">
        <f t="shared" si="91"/>
        <v>0</v>
      </c>
      <c r="BF161" s="377">
        <f t="shared" si="92"/>
        <v>0</v>
      </c>
      <c r="BG161" s="328"/>
    </row>
    <row r="162" spans="2:59">
      <c r="B162" s="332">
        <v>147</v>
      </c>
      <c r="C162" s="350">
        <v>5977395.4550044127</v>
      </c>
      <c r="D162" s="350">
        <v>5955854.8241325561</v>
      </c>
      <c r="E162" s="350">
        <v>5932559.687906757</v>
      </c>
      <c r="F162" s="350">
        <v>5904612.1853127573</v>
      </c>
      <c r="G162" s="350">
        <v>5869445.1270770617</v>
      </c>
      <c r="H162" s="348">
        <v>29639867.279433545</v>
      </c>
      <c r="I162" s="369"/>
      <c r="J162" s="350">
        <v>21416077.773122057</v>
      </c>
      <c r="K162" s="350">
        <v>20984395.174288593</v>
      </c>
      <c r="L162" s="350">
        <v>20539517.290256117</v>
      </c>
      <c r="M162" s="350">
        <v>20048870.539558053</v>
      </c>
      <c r="N162" s="350">
        <v>19485061.952924371</v>
      </c>
      <c r="O162" s="348">
        <v>102473922.73014919</v>
      </c>
      <c r="P162" s="369"/>
      <c r="Q162" s="350">
        <f t="shared" si="93"/>
        <v>15438682.318117645</v>
      </c>
      <c r="R162" s="350">
        <f t="shared" si="94"/>
        <v>15028540.350156037</v>
      </c>
      <c r="S162" s="350">
        <f t="shared" si="95"/>
        <v>14606957.60234936</v>
      </c>
      <c r="T162" s="350">
        <f t="shared" si="96"/>
        <v>14144258.354245296</v>
      </c>
      <c r="U162" s="350">
        <f t="shared" si="97"/>
        <v>13615616.825847309</v>
      </c>
      <c r="V162" s="350">
        <f t="shared" si="98"/>
        <v>72834055.450715646</v>
      </c>
      <c r="W162" s="365"/>
      <c r="X162" s="377">
        <f t="shared" si="76"/>
        <v>0</v>
      </c>
      <c r="Y162" s="377">
        <f t="shared" si="77"/>
        <v>0</v>
      </c>
      <c r="Z162" s="377">
        <f t="shared" si="78"/>
        <v>0</v>
      </c>
      <c r="AA162" s="377">
        <f t="shared" si="79"/>
        <v>0</v>
      </c>
      <c r="AB162" s="377">
        <f t="shared" si="80"/>
        <v>0</v>
      </c>
      <c r="AC162" s="377">
        <f t="shared" si="81"/>
        <v>0</v>
      </c>
      <c r="AD162" s="376"/>
      <c r="AE162" s="332">
        <v>147</v>
      </c>
      <c r="AF162" s="350">
        <v>523714.52330752672</v>
      </c>
      <c r="AG162" s="350">
        <v>521827.22284134227</v>
      </c>
      <c r="AH162" s="350">
        <v>519786.19991493307</v>
      </c>
      <c r="AI162" s="350">
        <v>517337.5560015713</v>
      </c>
      <c r="AJ162" s="350">
        <v>514256.36465683347</v>
      </c>
      <c r="AK162" s="348">
        <v>2596921.8667222066</v>
      </c>
      <c r="AL162" s="369"/>
      <c r="AM162" s="350">
        <v>14435267.40575956</v>
      </c>
      <c r="AN162" s="350">
        <v>14306928.76084961</v>
      </c>
      <c r="AO162" s="350">
        <v>14166375.025202641</v>
      </c>
      <c r="AP162" s="350">
        <v>13986397.891936984</v>
      </c>
      <c r="AQ162" s="350">
        <v>13743716.7673684</v>
      </c>
      <c r="AR162" s="348">
        <v>70638685.851117194</v>
      </c>
      <c r="AS162" s="369"/>
      <c r="AT162" s="350">
        <f t="shared" si="99"/>
        <v>13911552.882452033</v>
      </c>
      <c r="AU162" s="350">
        <f t="shared" si="82"/>
        <v>13785101.538008267</v>
      </c>
      <c r="AV162" s="350">
        <f t="shared" si="83"/>
        <v>13646588.825287709</v>
      </c>
      <c r="AW162" s="350">
        <f t="shared" si="84"/>
        <v>13469060.335935412</v>
      </c>
      <c r="AX162" s="350">
        <f t="shared" si="85"/>
        <v>13229460.402711567</v>
      </c>
      <c r="AY162" s="350">
        <f t="shared" si="86"/>
        <v>68041763.984394982</v>
      </c>
      <c r="AZ162" s="365"/>
      <c r="BA162" s="377">
        <f t="shared" si="87"/>
        <v>0</v>
      </c>
      <c r="BB162" s="377">
        <f t="shared" si="88"/>
        <v>0</v>
      </c>
      <c r="BC162" s="377">
        <f t="shared" si="89"/>
        <v>0</v>
      </c>
      <c r="BD162" s="377">
        <f t="shared" si="90"/>
        <v>0</v>
      </c>
      <c r="BE162" s="377">
        <f t="shared" si="91"/>
        <v>0</v>
      </c>
      <c r="BF162" s="377">
        <f t="shared" si="92"/>
        <v>0</v>
      </c>
      <c r="BG162" s="328"/>
    </row>
    <row r="163" spans="2:59">
      <c r="B163" s="332">
        <v>148</v>
      </c>
      <c r="C163" s="350">
        <v>5488575.6509215161</v>
      </c>
      <c r="D163" s="350">
        <v>5468796.5710532432</v>
      </c>
      <c r="E163" s="350">
        <v>5447406.4658751152</v>
      </c>
      <c r="F163" s="350">
        <v>5421744.4558247216</v>
      </c>
      <c r="G163" s="350">
        <v>5389453.2913869768</v>
      </c>
      <c r="H163" s="348">
        <v>27215976.435061574</v>
      </c>
      <c r="I163" s="369"/>
      <c r="J163" s="350">
        <v>18821023.325818129</v>
      </c>
      <c r="K163" s="350">
        <v>18430723.666852862</v>
      </c>
      <c r="L163" s="350">
        <v>18029050.735005453</v>
      </c>
      <c r="M163" s="350">
        <v>17587730.846237868</v>
      </c>
      <c r="N163" s="350">
        <v>17083013.902303927</v>
      </c>
      <c r="O163" s="348">
        <v>89951542.476218253</v>
      </c>
      <c r="P163" s="369"/>
      <c r="Q163" s="350">
        <f t="shared" si="93"/>
        <v>13332447.674896613</v>
      </c>
      <c r="R163" s="350">
        <f t="shared" si="94"/>
        <v>12961927.095799617</v>
      </c>
      <c r="S163" s="350">
        <f t="shared" si="95"/>
        <v>12581644.269130338</v>
      </c>
      <c r="T163" s="350">
        <f t="shared" si="96"/>
        <v>12165986.390413146</v>
      </c>
      <c r="U163" s="350">
        <f t="shared" si="97"/>
        <v>11693560.61091695</v>
      </c>
      <c r="V163" s="350">
        <f t="shared" si="98"/>
        <v>62735566.041156679</v>
      </c>
      <c r="W163" s="365"/>
      <c r="X163" s="377">
        <f t="shared" si="76"/>
        <v>0</v>
      </c>
      <c r="Y163" s="377">
        <f t="shared" si="77"/>
        <v>0</v>
      </c>
      <c r="Z163" s="377">
        <f t="shared" si="78"/>
        <v>0</v>
      </c>
      <c r="AA163" s="377">
        <f t="shared" si="79"/>
        <v>0</v>
      </c>
      <c r="AB163" s="377">
        <f t="shared" si="80"/>
        <v>0</v>
      </c>
      <c r="AC163" s="377">
        <f t="shared" si="81"/>
        <v>0</v>
      </c>
      <c r="AD163" s="376"/>
      <c r="AE163" s="332">
        <v>148</v>
      </c>
      <c r="AF163" s="350">
        <v>428035.66110897029</v>
      </c>
      <c r="AG163" s="350">
        <v>426493.15681168129</v>
      </c>
      <c r="AH163" s="350">
        <v>424825.01403777703</v>
      </c>
      <c r="AI163" s="350">
        <v>422823.71968822024</v>
      </c>
      <c r="AJ163" s="350">
        <v>420305.43975601805</v>
      </c>
      <c r="AK163" s="348">
        <v>2122482.9914026666</v>
      </c>
      <c r="AL163" s="369"/>
      <c r="AM163" s="350">
        <v>15391323.401680395</v>
      </c>
      <c r="AN163" s="350">
        <v>15260533.260635916</v>
      </c>
      <c r="AO163" s="350">
        <v>15116595.506890666</v>
      </c>
      <c r="AP163" s="350">
        <v>14930304.46829292</v>
      </c>
      <c r="AQ163" s="350">
        <v>14676658.527630948</v>
      </c>
      <c r="AR163" s="348">
        <v>75375415.165130854</v>
      </c>
      <c r="AS163" s="369"/>
      <c r="AT163" s="350">
        <f t="shared" si="99"/>
        <v>14963287.740571424</v>
      </c>
      <c r="AU163" s="350">
        <f t="shared" si="82"/>
        <v>14834040.103824235</v>
      </c>
      <c r="AV163" s="350">
        <f t="shared" si="83"/>
        <v>14691770.492852889</v>
      </c>
      <c r="AW163" s="350">
        <f t="shared" si="84"/>
        <v>14507480.7486047</v>
      </c>
      <c r="AX163" s="350">
        <f t="shared" si="85"/>
        <v>14256353.08787493</v>
      </c>
      <c r="AY163" s="350">
        <f t="shared" si="86"/>
        <v>73252932.173728183</v>
      </c>
      <c r="AZ163" s="365"/>
      <c r="BA163" s="377">
        <f t="shared" si="87"/>
        <v>0</v>
      </c>
      <c r="BB163" s="377">
        <f t="shared" si="88"/>
        <v>0</v>
      </c>
      <c r="BC163" s="377">
        <f t="shared" si="89"/>
        <v>0</v>
      </c>
      <c r="BD163" s="377">
        <f t="shared" si="90"/>
        <v>0</v>
      </c>
      <c r="BE163" s="377">
        <f t="shared" si="91"/>
        <v>0</v>
      </c>
      <c r="BF163" s="377">
        <f t="shared" si="92"/>
        <v>0</v>
      </c>
      <c r="BG163" s="328"/>
    </row>
    <row r="164" spans="2:59">
      <c r="B164" s="332">
        <v>149</v>
      </c>
      <c r="C164" s="350">
        <v>3044704.8749389509</v>
      </c>
      <c r="D164" s="350">
        <v>3033732.7275683265</v>
      </c>
      <c r="E164" s="350">
        <v>3021866.8881131718</v>
      </c>
      <c r="F164" s="350">
        <v>3007631.2736167139</v>
      </c>
      <c r="G164" s="350">
        <v>2989718.2353288019</v>
      </c>
      <c r="H164" s="348">
        <v>15097653.999565966</v>
      </c>
      <c r="I164" s="369"/>
      <c r="J164" s="350">
        <v>10352970.742078526</v>
      </c>
      <c r="K164" s="350">
        <v>10137090.022404233</v>
      </c>
      <c r="L164" s="350">
        <v>9914977.384551201</v>
      </c>
      <c r="M164" s="350">
        <v>9671118.5138723031</v>
      </c>
      <c r="N164" s="350">
        <v>9392484.2264542915</v>
      </c>
      <c r="O164" s="348">
        <v>49468640.889360547</v>
      </c>
      <c r="P164" s="369"/>
      <c r="Q164" s="350">
        <f t="shared" si="93"/>
        <v>7308265.8671395751</v>
      </c>
      <c r="R164" s="350">
        <f t="shared" si="94"/>
        <v>7103357.2948359065</v>
      </c>
      <c r="S164" s="350">
        <f t="shared" si="95"/>
        <v>6893110.4964380292</v>
      </c>
      <c r="T164" s="350">
        <f t="shared" si="96"/>
        <v>6663487.2402555887</v>
      </c>
      <c r="U164" s="350">
        <f t="shared" si="97"/>
        <v>6402765.9911254896</v>
      </c>
      <c r="V164" s="350">
        <f t="shared" si="98"/>
        <v>34370986.889794581</v>
      </c>
      <c r="W164" s="365"/>
      <c r="X164" s="377">
        <f t="shared" si="76"/>
        <v>0</v>
      </c>
      <c r="Y164" s="377">
        <f t="shared" si="77"/>
        <v>0</v>
      </c>
      <c r="Z164" s="377">
        <f t="shared" si="78"/>
        <v>0</v>
      </c>
      <c r="AA164" s="377">
        <f t="shared" si="79"/>
        <v>0</v>
      </c>
      <c r="AB164" s="377">
        <f t="shared" si="80"/>
        <v>0</v>
      </c>
      <c r="AC164" s="377">
        <f t="shared" si="81"/>
        <v>0</v>
      </c>
      <c r="AD164" s="376"/>
      <c r="AE164" s="332">
        <v>149</v>
      </c>
      <c r="AF164" s="350">
        <v>429482.33633149107</v>
      </c>
      <c r="AG164" s="350">
        <v>427934.61867711466</v>
      </c>
      <c r="AH164" s="350">
        <v>426260.83791311324</v>
      </c>
      <c r="AI164" s="350">
        <v>424252.77958753391</v>
      </c>
      <c r="AJ164" s="350">
        <v>421725.98837108072</v>
      </c>
      <c r="AK164" s="348">
        <v>2129656.5608803337</v>
      </c>
      <c r="AL164" s="369"/>
      <c r="AM164" s="350">
        <v>15783158.903695034</v>
      </c>
      <c r="AN164" s="350">
        <v>15649477.54135678</v>
      </c>
      <c r="AO164" s="350">
        <v>15502304.898269486</v>
      </c>
      <c r="AP164" s="350">
        <v>15311677.617464563</v>
      </c>
      <c r="AQ164" s="350">
        <v>15051944.599490672</v>
      </c>
      <c r="AR164" s="348">
        <v>77298563.560276538</v>
      </c>
      <c r="AS164" s="369"/>
      <c r="AT164" s="350">
        <f t="shared" si="99"/>
        <v>15353676.567363543</v>
      </c>
      <c r="AU164" s="350">
        <f t="shared" si="82"/>
        <v>15221542.922679665</v>
      </c>
      <c r="AV164" s="350">
        <f t="shared" si="83"/>
        <v>15076044.060356373</v>
      </c>
      <c r="AW164" s="350">
        <f t="shared" si="84"/>
        <v>14887424.83787703</v>
      </c>
      <c r="AX164" s="350">
        <f t="shared" si="85"/>
        <v>14630218.611119591</v>
      </c>
      <c r="AY164" s="350">
        <f t="shared" si="86"/>
        <v>75168906.999396205</v>
      </c>
      <c r="AZ164" s="365"/>
      <c r="BA164" s="377">
        <f t="shared" si="87"/>
        <v>0</v>
      </c>
      <c r="BB164" s="377">
        <f t="shared" si="88"/>
        <v>0</v>
      </c>
      <c r="BC164" s="377">
        <f t="shared" si="89"/>
        <v>0</v>
      </c>
      <c r="BD164" s="377">
        <f t="shared" si="90"/>
        <v>0</v>
      </c>
      <c r="BE164" s="377">
        <f t="shared" si="91"/>
        <v>0</v>
      </c>
      <c r="BF164" s="377">
        <f t="shared" si="92"/>
        <v>0</v>
      </c>
      <c r="BG164" s="328"/>
    </row>
    <row r="165" spans="2:59">
      <c r="B165" s="332">
        <v>150</v>
      </c>
      <c r="C165" s="350">
        <v>5187226.3442052938</v>
      </c>
      <c r="D165" s="350">
        <v>5168533.2313318998</v>
      </c>
      <c r="E165" s="350">
        <v>5148317.5462175496</v>
      </c>
      <c r="F165" s="350">
        <v>5124064.5044367909</v>
      </c>
      <c r="G165" s="350">
        <v>5093546.2808557041</v>
      </c>
      <c r="H165" s="348">
        <v>25721687.907047238</v>
      </c>
      <c r="I165" s="369"/>
      <c r="J165" s="350">
        <v>16995212.977670256</v>
      </c>
      <c r="K165" s="350">
        <v>16632054.095881514</v>
      </c>
      <c r="L165" s="350">
        <v>16258844.192480534</v>
      </c>
      <c r="M165" s="350">
        <v>15850398.665552121</v>
      </c>
      <c r="N165" s="350">
        <v>15385588.940429263</v>
      </c>
      <c r="O165" s="348">
        <v>81122098.872013688</v>
      </c>
      <c r="P165" s="369"/>
      <c r="Q165" s="350">
        <f t="shared" si="93"/>
        <v>11807986.633464962</v>
      </c>
      <c r="R165" s="350">
        <f t="shared" si="94"/>
        <v>11463520.864549614</v>
      </c>
      <c r="S165" s="350">
        <f t="shared" si="95"/>
        <v>11110526.646262985</v>
      </c>
      <c r="T165" s="350">
        <f t="shared" si="96"/>
        <v>10726334.16111533</v>
      </c>
      <c r="U165" s="350">
        <f t="shared" si="97"/>
        <v>10292042.659573559</v>
      </c>
      <c r="V165" s="350">
        <f t="shared" si="98"/>
        <v>55400410.964966446</v>
      </c>
      <c r="W165" s="365"/>
      <c r="X165" s="377">
        <f t="shared" si="76"/>
        <v>0</v>
      </c>
      <c r="Y165" s="377">
        <f t="shared" si="77"/>
        <v>0</v>
      </c>
      <c r="Z165" s="377">
        <f t="shared" si="78"/>
        <v>0</v>
      </c>
      <c r="AA165" s="377">
        <f t="shared" si="79"/>
        <v>0</v>
      </c>
      <c r="AB165" s="377">
        <f t="shared" si="80"/>
        <v>0</v>
      </c>
      <c r="AC165" s="377">
        <f t="shared" si="81"/>
        <v>0</v>
      </c>
      <c r="AD165" s="376"/>
      <c r="AE165" s="332">
        <v>150</v>
      </c>
      <c r="AF165" s="350">
        <v>666146.79885969136</v>
      </c>
      <c r="AG165" s="350">
        <v>663746.21780248638</v>
      </c>
      <c r="AH165" s="350">
        <v>661150.10708124842</v>
      </c>
      <c r="AI165" s="350">
        <v>658035.51653269609</v>
      </c>
      <c r="AJ165" s="350">
        <v>654116.34748233529</v>
      </c>
      <c r="AK165" s="348">
        <v>3303194.9877584572</v>
      </c>
      <c r="AL165" s="369"/>
      <c r="AM165" s="350">
        <v>18698887.904712349</v>
      </c>
      <c r="AN165" s="350">
        <v>18533211.463913541</v>
      </c>
      <c r="AO165" s="350">
        <v>18351700.4578669</v>
      </c>
      <c r="AP165" s="350">
        <v>18119091.936608735</v>
      </c>
      <c r="AQ165" s="350">
        <v>17805212.281436678</v>
      </c>
      <c r="AR165" s="348">
        <v>91508104.044538215</v>
      </c>
      <c r="AS165" s="369"/>
      <c r="AT165" s="350">
        <f t="shared" si="99"/>
        <v>18032741.105852656</v>
      </c>
      <c r="AU165" s="350">
        <f t="shared" si="82"/>
        <v>17869465.246111054</v>
      </c>
      <c r="AV165" s="350">
        <f t="shared" si="83"/>
        <v>17690550.35078565</v>
      </c>
      <c r="AW165" s="350">
        <f t="shared" si="84"/>
        <v>17461056.420076039</v>
      </c>
      <c r="AX165" s="350">
        <f t="shared" si="85"/>
        <v>17151095.933954343</v>
      </c>
      <c r="AY165" s="350">
        <f t="shared" si="86"/>
        <v>88204909.056779757</v>
      </c>
      <c r="AZ165" s="365"/>
      <c r="BA165" s="377">
        <f t="shared" si="87"/>
        <v>0</v>
      </c>
      <c r="BB165" s="377">
        <f t="shared" si="88"/>
        <v>0</v>
      </c>
      <c r="BC165" s="377">
        <f t="shared" si="89"/>
        <v>0</v>
      </c>
      <c r="BD165" s="377">
        <f t="shared" si="90"/>
        <v>0</v>
      </c>
      <c r="BE165" s="377">
        <f t="shared" si="91"/>
        <v>0</v>
      </c>
      <c r="BF165" s="377">
        <f t="shared" si="92"/>
        <v>0</v>
      </c>
      <c r="BG165" s="328"/>
    </row>
    <row r="166" spans="2:59">
      <c r="B166" s="332">
        <v>151</v>
      </c>
      <c r="C166" s="350">
        <v>5750420.7789206225</v>
      </c>
      <c r="D166" s="350">
        <v>5729698.0925450893</v>
      </c>
      <c r="E166" s="350">
        <v>5707287.5231910953</v>
      </c>
      <c r="F166" s="350">
        <v>5680401.2479153108</v>
      </c>
      <c r="G166" s="350">
        <v>5646569.5591916293</v>
      </c>
      <c r="H166" s="348">
        <v>28514377.201763749</v>
      </c>
      <c r="I166" s="369"/>
      <c r="J166" s="350">
        <v>22333582.718935393</v>
      </c>
      <c r="K166" s="350">
        <v>21905818.117765121</v>
      </c>
      <c r="L166" s="350">
        <v>21463835.264719889</v>
      </c>
      <c r="M166" s="350">
        <v>20972941.233079098</v>
      </c>
      <c r="N166" s="350">
        <v>20403905.709573593</v>
      </c>
      <c r="O166" s="348">
        <v>107080083.0440731</v>
      </c>
      <c r="P166" s="369"/>
      <c r="Q166" s="350">
        <f t="shared" si="93"/>
        <v>16583161.94001477</v>
      </c>
      <c r="R166" s="350">
        <f t="shared" si="94"/>
        <v>16176120.025220033</v>
      </c>
      <c r="S166" s="350">
        <f t="shared" si="95"/>
        <v>15756547.741528794</v>
      </c>
      <c r="T166" s="350">
        <f t="shared" si="96"/>
        <v>15292539.985163787</v>
      </c>
      <c r="U166" s="350">
        <f t="shared" si="97"/>
        <v>14757336.150381964</v>
      </c>
      <c r="V166" s="350">
        <f t="shared" si="98"/>
        <v>78565705.842309356</v>
      </c>
      <c r="W166" s="365"/>
      <c r="X166" s="377">
        <f t="shared" si="76"/>
        <v>0</v>
      </c>
      <c r="Y166" s="377">
        <f t="shared" si="77"/>
        <v>0</v>
      </c>
      <c r="Z166" s="377">
        <f t="shared" si="78"/>
        <v>0</v>
      </c>
      <c r="AA166" s="377">
        <f t="shared" si="79"/>
        <v>0</v>
      </c>
      <c r="AB166" s="377">
        <f t="shared" si="80"/>
        <v>0</v>
      </c>
      <c r="AC166" s="377">
        <f t="shared" si="81"/>
        <v>0</v>
      </c>
      <c r="AD166" s="376"/>
      <c r="AE166" s="332">
        <v>151</v>
      </c>
      <c r="AF166" s="350">
        <v>649306.31725981471</v>
      </c>
      <c r="AG166" s="350">
        <v>646966.42393869441</v>
      </c>
      <c r="AH166" s="350">
        <v>644435.94402872387</v>
      </c>
      <c r="AI166" s="350">
        <v>641400.09168759629</v>
      </c>
      <c r="AJ166" s="350">
        <v>637580.00094008457</v>
      </c>
      <c r="AK166" s="348">
        <v>3219688.7778549138</v>
      </c>
      <c r="AL166" s="369"/>
      <c r="AM166" s="350">
        <v>19995593.155511335</v>
      </c>
      <c r="AN166" s="350">
        <v>19821352.22497974</v>
      </c>
      <c r="AO166" s="350">
        <v>19630118.934328414</v>
      </c>
      <c r="AP166" s="350">
        <v>19384090.511254668</v>
      </c>
      <c r="AQ166" s="350">
        <v>19050914.279424679</v>
      </c>
      <c r="AR166" s="348">
        <v>97882069.105498835</v>
      </c>
      <c r="AS166" s="369"/>
      <c r="AT166" s="350">
        <f t="shared" si="99"/>
        <v>19346286.83825152</v>
      </c>
      <c r="AU166" s="350">
        <f t="shared" si="82"/>
        <v>19174385.801041044</v>
      </c>
      <c r="AV166" s="350">
        <f t="shared" si="83"/>
        <v>18985682.990299691</v>
      </c>
      <c r="AW166" s="350">
        <f t="shared" si="84"/>
        <v>18742690.419567071</v>
      </c>
      <c r="AX166" s="350">
        <f t="shared" si="85"/>
        <v>18413334.278484594</v>
      </c>
      <c r="AY166" s="350">
        <f t="shared" si="86"/>
        <v>94662380.327643916</v>
      </c>
      <c r="AZ166" s="365"/>
      <c r="BA166" s="377">
        <f t="shared" si="87"/>
        <v>0</v>
      </c>
      <c r="BB166" s="377">
        <f t="shared" si="88"/>
        <v>0</v>
      </c>
      <c r="BC166" s="377">
        <f t="shared" si="89"/>
        <v>0</v>
      </c>
      <c r="BD166" s="377">
        <f t="shared" si="90"/>
        <v>0</v>
      </c>
      <c r="BE166" s="377">
        <f t="shared" si="91"/>
        <v>0</v>
      </c>
      <c r="BF166" s="377">
        <f t="shared" si="92"/>
        <v>0</v>
      </c>
      <c r="BG166" s="328"/>
    </row>
    <row r="167" spans="2:59">
      <c r="B167" s="332">
        <v>152</v>
      </c>
      <c r="C167" s="350">
        <v>8264445.5769375749</v>
      </c>
      <c r="D167" s="350">
        <v>8234663.1452959906</v>
      </c>
      <c r="E167" s="350">
        <v>8202454.9056045273</v>
      </c>
      <c r="F167" s="350">
        <v>8163814.2274131496</v>
      </c>
      <c r="G167" s="350">
        <v>8115191.6724763531</v>
      </c>
      <c r="H167" s="348">
        <v>40980569.527727596</v>
      </c>
      <c r="I167" s="369"/>
      <c r="J167" s="350">
        <v>25739463.204714552</v>
      </c>
      <c r="K167" s="350">
        <v>25170509.69025863</v>
      </c>
      <c r="L167" s="350">
        <v>24586720.631878827</v>
      </c>
      <c r="M167" s="350">
        <v>23950565.485802867</v>
      </c>
      <c r="N167" s="350">
        <v>23230605.848941132</v>
      </c>
      <c r="O167" s="348">
        <v>122677864.861596</v>
      </c>
      <c r="P167" s="369"/>
      <c r="Q167" s="350">
        <f t="shared" si="93"/>
        <v>17475017.627776977</v>
      </c>
      <c r="R167" s="350">
        <f t="shared" si="94"/>
        <v>16935846.544962637</v>
      </c>
      <c r="S167" s="350">
        <f t="shared" si="95"/>
        <v>16384265.7262743</v>
      </c>
      <c r="T167" s="350">
        <f t="shared" si="96"/>
        <v>15786751.258389717</v>
      </c>
      <c r="U167" s="350">
        <f t="shared" si="97"/>
        <v>15115414.176464779</v>
      </c>
      <c r="V167" s="350">
        <f t="shared" si="98"/>
        <v>81697295.333868414</v>
      </c>
      <c r="W167" s="365"/>
      <c r="X167" s="377">
        <f t="shared" si="76"/>
        <v>0</v>
      </c>
      <c r="Y167" s="377">
        <f t="shared" si="77"/>
        <v>0</v>
      </c>
      <c r="Z167" s="377">
        <f t="shared" si="78"/>
        <v>0</v>
      </c>
      <c r="AA167" s="377">
        <f t="shared" si="79"/>
        <v>0</v>
      </c>
      <c r="AB167" s="377">
        <f t="shared" si="80"/>
        <v>0</v>
      </c>
      <c r="AC167" s="377">
        <f t="shared" si="81"/>
        <v>0</v>
      </c>
      <c r="AD167" s="376"/>
      <c r="AE167" s="332">
        <v>152</v>
      </c>
      <c r="AF167" s="350">
        <v>439242.48238416557</v>
      </c>
      <c r="AG167" s="350">
        <v>437659.59226965014</v>
      </c>
      <c r="AH167" s="350">
        <v>435947.7742143916</v>
      </c>
      <c r="AI167" s="350">
        <v>433894.08201546752</v>
      </c>
      <c r="AJ167" s="350">
        <v>431309.86852752388</v>
      </c>
      <c r="AK167" s="348">
        <v>2178053.7994111986</v>
      </c>
      <c r="AL167" s="369"/>
      <c r="AM167" s="350">
        <v>12079102.022980489</v>
      </c>
      <c r="AN167" s="350">
        <v>11971664.310111828</v>
      </c>
      <c r="AO167" s="350">
        <v>11854006.24535604</v>
      </c>
      <c r="AP167" s="350">
        <v>11703362.052650038</v>
      </c>
      <c r="AQ167" s="350">
        <v>11500252.451033855</v>
      </c>
      <c r="AR167" s="348">
        <v>59108387.082132243</v>
      </c>
      <c r="AS167" s="369"/>
      <c r="AT167" s="350">
        <f t="shared" si="99"/>
        <v>11639859.540596323</v>
      </c>
      <c r="AU167" s="350">
        <f t="shared" si="82"/>
        <v>11534004.717842178</v>
      </c>
      <c r="AV167" s="350">
        <f t="shared" si="83"/>
        <v>11418058.471141648</v>
      </c>
      <c r="AW167" s="350">
        <f t="shared" si="84"/>
        <v>11269467.97063457</v>
      </c>
      <c r="AX167" s="350">
        <f t="shared" si="85"/>
        <v>11068942.582506331</v>
      </c>
      <c r="AY167" s="350">
        <f t="shared" si="86"/>
        <v>56930333.282721043</v>
      </c>
      <c r="AZ167" s="365"/>
      <c r="BA167" s="377">
        <f t="shared" si="87"/>
        <v>0</v>
      </c>
      <c r="BB167" s="377">
        <f t="shared" si="88"/>
        <v>0</v>
      </c>
      <c r="BC167" s="377">
        <f t="shared" si="89"/>
        <v>0</v>
      </c>
      <c r="BD167" s="377">
        <f t="shared" si="90"/>
        <v>0</v>
      </c>
      <c r="BE167" s="377">
        <f t="shared" si="91"/>
        <v>0</v>
      </c>
      <c r="BF167" s="377">
        <f t="shared" si="92"/>
        <v>0</v>
      </c>
      <c r="BG167" s="328"/>
    </row>
    <row r="168" spans="2:59">
      <c r="B168" s="332">
        <v>153</v>
      </c>
      <c r="C168" s="350">
        <v>3404715.9388302425</v>
      </c>
      <c r="D168" s="350">
        <v>3392446.4261613968</v>
      </c>
      <c r="E168" s="350">
        <v>3379177.5497415187</v>
      </c>
      <c r="F168" s="350">
        <v>3363258.6920636944</v>
      </c>
      <c r="G168" s="350">
        <v>3343227.585773645</v>
      </c>
      <c r="H168" s="348">
        <v>16882826.192570496</v>
      </c>
      <c r="I168" s="369"/>
      <c r="J168" s="350">
        <v>12219209.92146761</v>
      </c>
      <c r="K168" s="350">
        <v>11973175.349779321</v>
      </c>
      <c r="L168" s="350">
        <v>11719606.58524557</v>
      </c>
      <c r="M168" s="350">
        <v>11439909.732003231</v>
      </c>
      <c r="N168" s="350">
        <v>11118447.473278157</v>
      </c>
      <c r="O168" s="348">
        <v>58470349.061773889</v>
      </c>
      <c r="P168" s="369"/>
      <c r="Q168" s="350">
        <f t="shared" si="93"/>
        <v>8814493.9826373681</v>
      </c>
      <c r="R168" s="350">
        <f t="shared" si="94"/>
        <v>8580728.9236179236</v>
      </c>
      <c r="S168" s="350">
        <f t="shared" si="95"/>
        <v>8340429.0355040515</v>
      </c>
      <c r="T168" s="350">
        <f t="shared" si="96"/>
        <v>8076651.0399395358</v>
      </c>
      <c r="U168" s="350">
        <f t="shared" si="97"/>
        <v>7775219.8875045124</v>
      </c>
      <c r="V168" s="350">
        <f t="shared" si="98"/>
        <v>41587522.869203389</v>
      </c>
      <c r="W168" s="365"/>
      <c r="X168" s="377">
        <f t="shared" si="76"/>
        <v>0</v>
      </c>
      <c r="Y168" s="377">
        <f t="shared" si="77"/>
        <v>0</v>
      </c>
      <c r="Z168" s="377">
        <f t="shared" si="78"/>
        <v>0</v>
      </c>
      <c r="AA168" s="377">
        <f t="shared" si="79"/>
        <v>0</v>
      </c>
      <c r="AB168" s="377">
        <f t="shared" si="80"/>
        <v>0</v>
      </c>
      <c r="AC168" s="377">
        <f t="shared" si="81"/>
        <v>0</v>
      </c>
      <c r="AD168" s="376"/>
      <c r="AE168" s="332">
        <v>153</v>
      </c>
      <c r="AF168" s="350">
        <v>385818.99547355587</v>
      </c>
      <c r="AG168" s="350">
        <v>384428.62660346733</v>
      </c>
      <c r="AH168" s="350">
        <v>382925.01083541027</v>
      </c>
      <c r="AI168" s="350">
        <v>381121.10184896633</v>
      </c>
      <c r="AJ168" s="350">
        <v>378851.19697411038</v>
      </c>
      <c r="AK168" s="348">
        <v>1913144.93173551</v>
      </c>
      <c r="AL168" s="369"/>
      <c r="AM168" s="350">
        <v>10105394.112470958</v>
      </c>
      <c r="AN168" s="350">
        <v>10014660.283029618</v>
      </c>
      <c r="AO168" s="350">
        <v>9915393.4757782761</v>
      </c>
      <c r="AP168" s="350">
        <v>9788575.3032463174</v>
      </c>
      <c r="AQ168" s="350">
        <v>9617934.5834382456</v>
      </c>
      <c r="AR168" s="348">
        <v>49441957.757963419</v>
      </c>
      <c r="AS168" s="369"/>
      <c r="AT168" s="350">
        <f t="shared" si="99"/>
        <v>9719575.1169974022</v>
      </c>
      <c r="AU168" s="350">
        <f t="shared" si="82"/>
        <v>9630231.6564261504</v>
      </c>
      <c r="AV168" s="350">
        <f t="shared" si="83"/>
        <v>9532468.4649428651</v>
      </c>
      <c r="AW168" s="350">
        <f t="shared" si="84"/>
        <v>9407454.2013973519</v>
      </c>
      <c r="AX168" s="350">
        <f t="shared" si="85"/>
        <v>9239083.3864641357</v>
      </c>
      <c r="AY168" s="350">
        <f t="shared" si="86"/>
        <v>47528812.826227911</v>
      </c>
      <c r="AZ168" s="365"/>
      <c r="BA168" s="377">
        <f t="shared" si="87"/>
        <v>0</v>
      </c>
      <c r="BB168" s="377">
        <f t="shared" si="88"/>
        <v>0</v>
      </c>
      <c r="BC168" s="377">
        <f t="shared" si="89"/>
        <v>0</v>
      </c>
      <c r="BD168" s="377">
        <f t="shared" si="90"/>
        <v>0</v>
      </c>
      <c r="BE168" s="377">
        <f t="shared" si="91"/>
        <v>0</v>
      </c>
      <c r="BF168" s="377">
        <f t="shared" si="92"/>
        <v>0</v>
      </c>
      <c r="BG168" s="328"/>
    </row>
    <row r="169" spans="2:59">
      <c r="B169" s="332">
        <v>154</v>
      </c>
      <c r="C169" s="350">
        <v>2520915.9042594736</v>
      </c>
      <c r="D169" s="350">
        <v>2511831.3256396689</v>
      </c>
      <c r="E169" s="350">
        <v>2502006.799247602</v>
      </c>
      <c r="F169" s="350">
        <v>2490220.1767455628</v>
      </c>
      <c r="G169" s="350">
        <v>2475388.7678016955</v>
      </c>
      <c r="H169" s="348">
        <v>12500362.973694</v>
      </c>
      <c r="I169" s="369"/>
      <c r="J169" s="350">
        <v>8578082.6641895901</v>
      </c>
      <c r="K169" s="350">
        <v>8399296.0878227446</v>
      </c>
      <c r="L169" s="350">
        <v>8215344.2612531856</v>
      </c>
      <c r="M169" s="350">
        <v>8013369.8906860091</v>
      </c>
      <c r="N169" s="350">
        <v>7782574.9935948476</v>
      </c>
      <c r="O169" s="348">
        <v>40988667.897546381</v>
      </c>
      <c r="P169" s="369"/>
      <c r="Q169" s="350">
        <f t="shared" si="93"/>
        <v>6057166.7599301171</v>
      </c>
      <c r="R169" s="350">
        <f t="shared" si="94"/>
        <v>5887464.7621830758</v>
      </c>
      <c r="S169" s="350">
        <f t="shared" si="95"/>
        <v>5713337.4620055836</v>
      </c>
      <c r="T169" s="350">
        <f t="shared" si="96"/>
        <v>5523149.7139404463</v>
      </c>
      <c r="U169" s="350">
        <f t="shared" si="97"/>
        <v>5307186.2257931521</v>
      </c>
      <c r="V169" s="350">
        <f t="shared" si="98"/>
        <v>28488304.92385238</v>
      </c>
      <c r="W169" s="365"/>
      <c r="X169" s="377">
        <f t="shared" si="76"/>
        <v>0</v>
      </c>
      <c r="Y169" s="377">
        <f t="shared" si="77"/>
        <v>0</v>
      </c>
      <c r="Z169" s="377">
        <f t="shared" si="78"/>
        <v>0</v>
      </c>
      <c r="AA169" s="377">
        <f t="shared" si="79"/>
        <v>0</v>
      </c>
      <c r="AB169" s="377">
        <f t="shared" si="80"/>
        <v>0</v>
      </c>
      <c r="AC169" s="377">
        <f t="shared" si="81"/>
        <v>0</v>
      </c>
      <c r="AD169" s="376"/>
      <c r="AE169" s="332">
        <v>154</v>
      </c>
      <c r="AF169" s="350">
        <v>322770.31240009674</v>
      </c>
      <c r="AG169" s="350">
        <v>321607.15091811988</v>
      </c>
      <c r="AH169" s="350">
        <v>320349.24880111858</v>
      </c>
      <c r="AI169" s="350">
        <v>318840.12593799667</v>
      </c>
      <c r="AJ169" s="350">
        <v>316941.15799144318</v>
      </c>
      <c r="AK169" s="348">
        <v>1600507.996048775</v>
      </c>
      <c r="AL169" s="369"/>
      <c r="AM169" s="350">
        <v>8727511.0853572544</v>
      </c>
      <c r="AN169" s="350">
        <v>8649633.3864990566</v>
      </c>
      <c r="AO169" s="350">
        <v>8564376.2992414143</v>
      </c>
      <c r="AP169" s="350">
        <v>8455298.970474964</v>
      </c>
      <c r="AQ169" s="350">
        <v>8308334.4658211879</v>
      </c>
      <c r="AR169" s="348">
        <v>42705154.207393885</v>
      </c>
      <c r="AS169" s="369"/>
      <c r="AT169" s="350">
        <f t="shared" si="99"/>
        <v>8404740.7729571573</v>
      </c>
      <c r="AU169" s="350">
        <f t="shared" si="82"/>
        <v>8328026.235580937</v>
      </c>
      <c r="AV169" s="350">
        <f t="shared" si="83"/>
        <v>8244027.0504402956</v>
      </c>
      <c r="AW169" s="350">
        <f t="shared" si="84"/>
        <v>8136458.8445369676</v>
      </c>
      <c r="AX169" s="350">
        <f t="shared" si="85"/>
        <v>7991393.3078297451</v>
      </c>
      <c r="AY169" s="350">
        <f t="shared" si="86"/>
        <v>41104646.211345106</v>
      </c>
      <c r="AZ169" s="365"/>
      <c r="BA169" s="377">
        <f t="shared" si="87"/>
        <v>0</v>
      </c>
      <c r="BB169" s="377">
        <f t="shared" si="88"/>
        <v>0</v>
      </c>
      <c r="BC169" s="377">
        <f t="shared" si="89"/>
        <v>0</v>
      </c>
      <c r="BD169" s="377">
        <f t="shared" si="90"/>
        <v>0</v>
      </c>
      <c r="BE169" s="377">
        <f t="shared" si="91"/>
        <v>0</v>
      </c>
      <c r="BF169" s="377">
        <f t="shared" si="92"/>
        <v>0</v>
      </c>
      <c r="BG169" s="328"/>
    </row>
    <row r="170" spans="2:59">
      <c r="B170" s="332">
        <v>155</v>
      </c>
      <c r="C170" s="350">
        <v>5664537.7769325655</v>
      </c>
      <c r="D170" s="350">
        <v>5644124.5855633309</v>
      </c>
      <c r="E170" s="350">
        <v>5622048.7198851854</v>
      </c>
      <c r="F170" s="350">
        <v>5595563.9933171822</v>
      </c>
      <c r="G170" s="350">
        <v>5562237.5836159606</v>
      </c>
      <c r="H170" s="348">
        <v>28088512.659314223</v>
      </c>
      <c r="I170" s="369"/>
      <c r="J170" s="350">
        <v>21852870.275055543</v>
      </c>
      <c r="K170" s="350">
        <v>21432554.998293653</v>
      </c>
      <c r="L170" s="350">
        <v>20998363.40384987</v>
      </c>
      <c r="M170" s="350">
        <v>20516406.078523673</v>
      </c>
      <c r="N170" s="350">
        <v>19958133.933655631</v>
      </c>
      <c r="O170" s="348">
        <v>104758328.68937837</v>
      </c>
      <c r="P170" s="369"/>
      <c r="Q170" s="350">
        <f t="shared" si="93"/>
        <v>16188332.498122977</v>
      </c>
      <c r="R170" s="350">
        <f t="shared" si="94"/>
        <v>15788430.412730321</v>
      </c>
      <c r="S170" s="350">
        <f t="shared" si="95"/>
        <v>15376314.683964685</v>
      </c>
      <c r="T170" s="350">
        <f t="shared" si="96"/>
        <v>14920842.08520649</v>
      </c>
      <c r="U170" s="350">
        <f t="shared" si="97"/>
        <v>14395896.35003967</v>
      </c>
      <c r="V170" s="350">
        <f t="shared" si="98"/>
        <v>76669816.030064136</v>
      </c>
      <c r="W170" s="365"/>
      <c r="X170" s="377">
        <f t="shared" si="76"/>
        <v>0</v>
      </c>
      <c r="Y170" s="377">
        <f t="shared" si="77"/>
        <v>0</v>
      </c>
      <c r="Z170" s="377">
        <f t="shared" si="78"/>
        <v>0</v>
      </c>
      <c r="AA170" s="377">
        <f t="shared" si="79"/>
        <v>0</v>
      </c>
      <c r="AB170" s="377">
        <f t="shared" si="80"/>
        <v>0</v>
      </c>
      <c r="AC170" s="377">
        <f t="shared" si="81"/>
        <v>0</v>
      </c>
      <c r="AD170" s="376"/>
      <c r="AE170" s="332">
        <v>155</v>
      </c>
      <c r="AF170" s="350">
        <v>497202.55149106571</v>
      </c>
      <c r="AG170" s="350">
        <v>495410.79173368693</v>
      </c>
      <c r="AH170" s="350">
        <v>493473.09139982308</v>
      </c>
      <c r="AI170" s="350">
        <v>491148.4050540491</v>
      </c>
      <c r="AJ170" s="350">
        <v>488223.19269109867</v>
      </c>
      <c r="AK170" s="348">
        <v>2465458.0323697235</v>
      </c>
      <c r="AL170" s="369"/>
      <c r="AM170" s="350">
        <v>12792003.715226591</v>
      </c>
      <c r="AN170" s="350">
        <v>12676738.726919649</v>
      </c>
      <c r="AO170" s="350">
        <v>12550680.539005391</v>
      </c>
      <c r="AP170" s="350">
        <v>12389767.756654914</v>
      </c>
      <c r="AQ170" s="350">
        <v>12173415.464433003</v>
      </c>
      <c r="AR170" s="348">
        <v>62582606.202239543</v>
      </c>
      <c r="AS170" s="369"/>
      <c r="AT170" s="350">
        <f t="shared" si="99"/>
        <v>12294801.163735526</v>
      </c>
      <c r="AU170" s="350">
        <f t="shared" si="82"/>
        <v>12181327.935185961</v>
      </c>
      <c r="AV170" s="350">
        <f t="shared" si="83"/>
        <v>12057207.447605569</v>
      </c>
      <c r="AW170" s="350">
        <f t="shared" si="84"/>
        <v>11898619.351600865</v>
      </c>
      <c r="AX170" s="350">
        <f t="shared" si="85"/>
        <v>11685192.271741904</v>
      </c>
      <c r="AY170" s="350">
        <f t="shared" si="86"/>
        <v>60117148.169869818</v>
      </c>
      <c r="AZ170" s="365"/>
      <c r="BA170" s="377">
        <f t="shared" si="87"/>
        <v>0</v>
      </c>
      <c r="BB170" s="377">
        <f t="shared" si="88"/>
        <v>0</v>
      </c>
      <c r="BC170" s="377">
        <f t="shared" si="89"/>
        <v>0</v>
      </c>
      <c r="BD170" s="377">
        <f t="shared" si="90"/>
        <v>0</v>
      </c>
      <c r="BE170" s="377">
        <f t="shared" si="91"/>
        <v>0</v>
      </c>
      <c r="BF170" s="377">
        <f t="shared" si="92"/>
        <v>0</v>
      </c>
      <c r="BG170" s="328"/>
    </row>
    <row r="171" spans="2:59">
      <c r="B171" s="332">
        <v>156</v>
      </c>
      <c r="C171" s="350">
        <v>3845561.3275066335</v>
      </c>
      <c r="D171" s="350">
        <v>3831703.148359132</v>
      </c>
      <c r="E171" s="350">
        <v>3816716.2070293715</v>
      </c>
      <c r="F171" s="350">
        <v>3798736.1627132641</v>
      </c>
      <c r="G171" s="350">
        <v>3776111.412490298</v>
      </c>
      <c r="H171" s="348">
        <v>19068828.258098699</v>
      </c>
      <c r="I171" s="369"/>
      <c r="J171" s="350">
        <v>12098339.002247319</v>
      </c>
      <c r="K171" s="350">
        <v>11832721.988253573</v>
      </c>
      <c r="L171" s="350">
        <v>11560094.88024915</v>
      </c>
      <c r="M171" s="350">
        <v>11262758.756506931</v>
      </c>
      <c r="N171" s="350">
        <v>10925883.03500334</v>
      </c>
      <c r="O171" s="348">
        <v>57679797.662260316</v>
      </c>
      <c r="P171" s="369"/>
      <c r="Q171" s="350">
        <f t="shared" si="93"/>
        <v>8252777.6747406852</v>
      </c>
      <c r="R171" s="350">
        <f t="shared" si="94"/>
        <v>8001018.839894441</v>
      </c>
      <c r="S171" s="350">
        <f t="shared" si="95"/>
        <v>7743378.6732197786</v>
      </c>
      <c r="T171" s="350">
        <f t="shared" si="96"/>
        <v>7464022.5937936669</v>
      </c>
      <c r="U171" s="350">
        <f t="shared" si="97"/>
        <v>7149771.6225130418</v>
      </c>
      <c r="V171" s="350">
        <f t="shared" si="98"/>
        <v>38610969.404161617</v>
      </c>
      <c r="W171" s="365"/>
      <c r="X171" s="377">
        <f t="shared" si="76"/>
        <v>0</v>
      </c>
      <c r="Y171" s="377">
        <f t="shared" si="77"/>
        <v>0</v>
      </c>
      <c r="Z171" s="377">
        <f t="shared" si="78"/>
        <v>0</v>
      </c>
      <c r="AA171" s="377">
        <f t="shared" si="79"/>
        <v>0</v>
      </c>
      <c r="AB171" s="377">
        <f t="shared" si="80"/>
        <v>0</v>
      </c>
      <c r="AC171" s="377">
        <f t="shared" si="81"/>
        <v>0</v>
      </c>
      <c r="AD171" s="376"/>
      <c r="AE171" s="332">
        <v>156</v>
      </c>
      <c r="AF171" s="350">
        <v>479127.68519885634</v>
      </c>
      <c r="AG171" s="350">
        <v>477401.06150714197</v>
      </c>
      <c r="AH171" s="350">
        <v>475533.8026348995</v>
      </c>
      <c r="AI171" s="350">
        <v>473293.62590144592</v>
      </c>
      <c r="AJ171" s="350">
        <v>470474.75414792739</v>
      </c>
      <c r="AK171" s="348">
        <v>2375830.9293902712</v>
      </c>
      <c r="AL171" s="369"/>
      <c r="AM171" s="350">
        <v>12146424.203644985</v>
      </c>
      <c r="AN171" s="350">
        <v>12036650.748786071</v>
      </c>
      <c r="AO171" s="350">
        <v>11916635.44797403</v>
      </c>
      <c r="AP171" s="350">
        <v>11763541.738604909</v>
      </c>
      <c r="AQ171" s="350">
        <v>11557833.216056725</v>
      </c>
      <c r="AR171" s="348">
        <v>59421085.355066724</v>
      </c>
      <c r="AS171" s="369"/>
      <c r="AT171" s="350">
        <f t="shared" si="99"/>
        <v>11667296.518446129</v>
      </c>
      <c r="AU171" s="350">
        <f t="shared" si="82"/>
        <v>11559249.68727893</v>
      </c>
      <c r="AV171" s="350">
        <f t="shared" si="83"/>
        <v>11441101.645339131</v>
      </c>
      <c r="AW171" s="350">
        <f t="shared" si="84"/>
        <v>11290248.112703463</v>
      </c>
      <c r="AX171" s="350">
        <f t="shared" si="85"/>
        <v>11087358.461908797</v>
      </c>
      <c r="AY171" s="350">
        <f t="shared" si="86"/>
        <v>57045254.42567645</v>
      </c>
      <c r="AZ171" s="365"/>
      <c r="BA171" s="377">
        <f t="shared" si="87"/>
        <v>0</v>
      </c>
      <c r="BB171" s="377">
        <f t="shared" si="88"/>
        <v>0</v>
      </c>
      <c r="BC171" s="377">
        <f t="shared" si="89"/>
        <v>0</v>
      </c>
      <c r="BD171" s="377">
        <f t="shared" si="90"/>
        <v>0</v>
      </c>
      <c r="BE171" s="377">
        <f t="shared" si="91"/>
        <v>0</v>
      </c>
      <c r="BF171" s="377">
        <f t="shared" si="92"/>
        <v>0</v>
      </c>
      <c r="BG171" s="328"/>
    </row>
    <row r="172" spans="2:59">
      <c r="B172" s="332">
        <v>157</v>
      </c>
      <c r="C172" s="350">
        <v>6374165.2823589575</v>
      </c>
      <c r="D172" s="350">
        <v>6351194.81930409</v>
      </c>
      <c r="E172" s="350">
        <v>6326353.3896720614</v>
      </c>
      <c r="F172" s="350">
        <v>6296550.7771288063</v>
      </c>
      <c r="G172" s="350">
        <v>6259049.386535516</v>
      </c>
      <c r="H172" s="348">
        <v>31607313.654999435</v>
      </c>
      <c r="I172" s="369"/>
      <c r="J172" s="350">
        <v>21835093.972880643</v>
      </c>
      <c r="K172" s="350">
        <v>21381982.712804273</v>
      </c>
      <c r="L172" s="350">
        <v>20915683.100032315</v>
      </c>
      <c r="M172" s="350">
        <v>20403403.526503265</v>
      </c>
      <c r="N172" s="350">
        <v>19817599.570258565</v>
      </c>
      <c r="O172" s="348">
        <v>104353762.88247907</v>
      </c>
      <c r="P172" s="369"/>
      <c r="Q172" s="350">
        <f t="shared" si="93"/>
        <v>15460928.690521685</v>
      </c>
      <c r="R172" s="350">
        <f t="shared" si="94"/>
        <v>15030787.893500183</v>
      </c>
      <c r="S172" s="350">
        <f t="shared" si="95"/>
        <v>14589329.710360253</v>
      </c>
      <c r="T172" s="350">
        <f t="shared" si="96"/>
        <v>14106852.749374459</v>
      </c>
      <c r="U172" s="350">
        <f t="shared" si="97"/>
        <v>13558550.183723049</v>
      </c>
      <c r="V172" s="350">
        <f t="shared" si="98"/>
        <v>72746449.227479637</v>
      </c>
      <c r="W172" s="365"/>
      <c r="X172" s="377">
        <f t="shared" si="76"/>
        <v>0</v>
      </c>
      <c r="Y172" s="377">
        <f t="shared" si="77"/>
        <v>0</v>
      </c>
      <c r="Z172" s="377">
        <f t="shared" si="78"/>
        <v>0</v>
      </c>
      <c r="AA172" s="377">
        <f t="shared" si="79"/>
        <v>0</v>
      </c>
      <c r="AB172" s="377">
        <f t="shared" si="80"/>
        <v>0</v>
      </c>
      <c r="AC172" s="377">
        <f t="shared" si="81"/>
        <v>0</v>
      </c>
      <c r="AD172" s="376"/>
      <c r="AE172" s="332">
        <v>157</v>
      </c>
      <c r="AF172" s="350">
        <v>621988.07660797716</v>
      </c>
      <c r="AG172" s="350">
        <v>619746.62953194475</v>
      </c>
      <c r="AH172" s="350">
        <v>617322.61440955976</v>
      </c>
      <c r="AI172" s="350">
        <v>614414.4893716079</v>
      </c>
      <c r="AJ172" s="350">
        <v>610755.12116071477</v>
      </c>
      <c r="AK172" s="348">
        <v>3084226.9310818044</v>
      </c>
      <c r="AL172" s="369"/>
      <c r="AM172" s="350">
        <v>15239318.786914462</v>
      </c>
      <c r="AN172" s="350">
        <v>15100625.520383943</v>
      </c>
      <c r="AO172" s="350">
        <v>14949102.245297682</v>
      </c>
      <c r="AP172" s="350">
        <v>14756128.684602533</v>
      </c>
      <c r="AQ172" s="350">
        <v>14497222.459100997</v>
      </c>
      <c r="AR172" s="348">
        <v>74542397.696299613</v>
      </c>
      <c r="AS172" s="369"/>
      <c r="AT172" s="350">
        <f t="shared" si="99"/>
        <v>14617330.710306484</v>
      </c>
      <c r="AU172" s="350">
        <f t="shared" si="82"/>
        <v>14480878.890851999</v>
      </c>
      <c r="AV172" s="350">
        <f t="shared" si="83"/>
        <v>14331779.630888121</v>
      </c>
      <c r="AW172" s="350">
        <f t="shared" si="84"/>
        <v>14141714.195230925</v>
      </c>
      <c r="AX172" s="350">
        <f t="shared" si="85"/>
        <v>13886467.337940283</v>
      </c>
      <c r="AY172" s="350">
        <f t="shared" si="86"/>
        <v>71458170.765217811</v>
      </c>
      <c r="AZ172" s="365"/>
      <c r="BA172" s="377">
        <f t="shared" si="87"/>
        <v>0</v>
      </c>
      <c r="BB172" s="377">
        <f t="shared" si="88"/>
        <v>0</v>
      </c>
      <c r="BC172" s="377">
        <f t="shared" si="89"/>
        <v>0</v>
      </c>
      <c r="BD172" s="377">
        <f t="shared" si="90"/>
        <v>0</v>
      </c>
      <c r="BE172" s="377">
        <f t="shared" si="91"/>
        <v>0</v>
      </c>
      <c r="BF172" s="377">
        <f t="shared" si="92"/>
        <v>0</v>
      </c>
      <c r="BG172" s="328"/>
    </row>
    <row r="173" spans="2:59">
      <c r="B173" s="332">
        <v>158</v>
      </c>
      <c r="C173" s="350">
        <v>4253244.7999932161</v>
      </c>
      <c r="D173" s="350">
        <v>4237917.4593589939</v>
      </c>
      <c r="E173" s="350">
        <v>4221341.6919092163</v>
      </c>
      <c r="F173" s="350">
        <v>4201455.5105488701</v>
      </c>
      <c r="G173" s="350">
        <v>4176432.219267915</v>
      </c>
      <c r="H173" s="348">
        <v>21090391.681078214</v>
      </c>
      <c r="I173" s="369"/>
      <c r="J173" s="350">
        <v>15129418.195546104</v>
      </c>
      <c r="K173" s="350">
        <v>14823040.079913825</v>
      </c>
      <c r="L173" s="350">
        <v>14507369.037801176</v>
      </c>
      <c r="M173" s="350">
        <v>14159439.127323184</v>
      </c>
      <c r="N173" s="350">
        <v>13759940.464895176</v>
      </c>
      <c r="O173" s="348">
        <v>72379206.905479461</v>
      </c>
      <c r="P173" s="369"/>
      <c r="Q173" s="350">
        <f t="shared" si="93"/>
        <v>10876173.395552889</v>
      </c>
      <c r="R173" s="350">
        <f t="shared" si="94"/>
        <v>10585122.620554831</v>
      </c>
      <c r="S173" s="350">
        <f t="shared" si="95"/>
        <v>10286027.34589196</v>
      </c>
      <c r="T173" s="350">
        <f t="shared" si="96"/>
        <v>9957983.6167743132</v>
      </c>
      <c r="U173" s="350">
        <f t="shared" si="97"/>
        <v>9583508.2456272617</v>
      </c>
      <c r="V173" s="350">
        <f t="shared" si="98"/>
        <v>51288815.22440125</v>
      </c>
      <c r="W173" s="365"/>
      <c r="X173" s="377">
        <f t="shared" si="76"/>
        <v>0</v>
      </c>
      <c r="Y173" s="377">
        <f t="shared" si="77"/>
        <v>0</v>
      </c>
      <c r="Z173" s="377">
        <f t="shared" si="78"/>
        <v>0</v>
      </c>
      <c r="AA173" s="377">
        <f t="shared" si="79"/>
        <v>0</v>
      </c>
      <c r="AB173" s="377">
        <f t="shared" si="80"/>
        <v>0</v>
      </c>
      <c r="AC173" s="377">
        <f t="shared" si="81"/>
        <v>0</v>
      </c>
      <c r="AD173" s="376"/>
      <c r="AE173" s="332">
        <v>158</v>
      </c>
      <c r="AF173" s="350">
        <v>431882.6471936595</v>
      </c>
      <c r="AG173" s="350">
        <v>430326.27958285145</v>
      </c>
      <c r="AH173" s="350">
        <v>428643.14431504661</v>
      </c>
      <c r="AI173" s="350">
        <v>426623.86325967615</v>
      </c>
      <c r="AJ173" s="350">
        <v>424082.95019491814</v>
      </c>
      <c r="AK173" s="348">
        <v>2141558.8845461519</v>
      </c>
      <c r="AL173" s="369"/>
      <c r="AM173" s="350">
        <v>11646635.69359063</v>
      </c>
      <c r="AN173" s="350">
        <v>11542656.392009143</v>
      </c>
      <c r="AO173" s="350">
        <v>11428830.582666801</v>
      </c>
      <c r="AP173" s="350">
        <v>11283220.105647348</v>
      </c>
      <c r="AQ173" s="350">
        <v>11087054.59012717</v>
      </c>
      <c r="AR173" s="348">
        <v>56988397.36404109</v>
      </c>
      <c r="AS173" s="369"/>
      <c r="AT173" s="350">
        <f t="shared" si="99"/>
        <v>11214753.046396971</v>
      </c>
      <c r="AU173" s="350">
        <f t="shared" si="82"/>
        <v>11112330.112426292</v>
      </c>
      <c r="AV173" s="350">
        <f t="shared" si="83"/>
        <v>11000187.438351754</v>
      </c>
      <c r="AW173" s="350">
        <f t="shared" si="84"/>
        <v>10856596.242387671</v>
      </c>
      <c r="AX173" s="350">
        <f t="shared" si="85"/>
        <v>10662971.639932252</v>
      </c>
      <c r="AY173" s="350">
        <f t="shared" si="86"/>
        <v>54846838.479494937</v>
      </c>
      <c r="AZ173" s="365"/>
      <c r="BA173" s="377">
        <f t="shared" si="87"/>
        <v>0</v>
      </c>
      <c r="BB173" s="377">
        <f t="shared" si="88"/>
        <v>0</v>
      </c>
      <c r="BC173" s="377">
        <f t="shared" si="89"/>
        <v>0</v>
      </c>
      <c r="BD173" s="377">
        <f t="shared" si="90"/>
        <v>0</v>
      </c>
      <c r="BE173" s="377">
        <f t="shared" si="91"/>
        <v>0</v>
      </c>
      <c r="BF173" s="377">
        <f t="shared" si="92"/>
        <v>0</v>
      </c>
      <c r="BG173" s="328"/>
    </row>
    <row r="174" spans="2:59">
      <c r="B174" s="332">
        <v>159</v>
      </c>
      <c r="C174" s="350">
        <v>4543500.2670107884</v>
      </c>
      <c r="D174" s="350">
        <v>4527126.9380492708</v>
      </c>
      <c r="E174" s="350">
        <v>4509419.9855046887</v>
      </c>
      <c r="F174" s="350">
        <v>4488176.7054751199</v>
      </c>
      <c r="G174" s="350">
        <v>4461445.7421840616</v>
      </c>
      <c r="H174" s="348">
        <v>22529669.638223927</v>
      </c>
      <c r="I174" s="369"/>
      <c r="J174" s="350">
        <v>14829275.489578439</v>
      </c>
      <c r="K174" s="350">
        <v>14511593.826502156</v>
      </c>
      <c r="L174" s="350">
        <v>14185158.526023354</v>
      </c>
      <c r="M174" s="350">
        <v>13828020.616884604</v>
      </c>
      <c r="N174" s="350">
        <v>13421768.081297588</v>
      </c>
      <c r="O174" s="348">
        <v>70775816.540286139</v>
      </c>
      <c r="P174" s="369"/>
      <c r="Q174" s="350">
        <f t="shared" si="93"/>
        <v>10285775.222567651</v>
      </c>
      <c r="R174" s="350">
        <f t="shared" si="94"/>
        <v>9984466.8884528838</v>
      </c>
      <c r="S174" s="350">
        <f t="shared" si="95"/>
        <v>9675738.5405186657</v>
      </c>
      <c r="T174" s="350">
        <f t="shared" si="96"/>
        <v>9339843.9114094842</v>
      </c>
      <c r="U174" s="350">
        <f t="shared" si="97"/>
        <v>8960322.339113526</v>
      </c>
      <c r="V174" s="350">
        <f t="shared" si="98"/>
        <v>48246146.902062207</v>
      </c>
      <c r="W174" s="365"/>
      <c r="X174" s="377">
        <f t="shared" si="76"/>
        <v>0</v>
      </c>
      <c r="Y174" s="377">
        <f t="shared" si="77"/>
        <v>0</v>
      </c>
      <c r="Z174" s="377">
        <f t="shared" si="78"/>
        <v>0</v>
      </c>
      <c r="AA174" s="377">
        <f t="shared" si="79"/>
        <v>0</v>
      </c>
      <c r="AB174" s="377">
        <f t="shared" si="80"/>
        <v>0</v>
      </c>
      <c r="AC174" s="377">
        <f t="shared" si="81"/>
        <v>0</v>
      </c>
      <c r="AD174" s="376"/>
      <c r="AE174" s="332">
        <v>159</v>
      </c>
      <c r="AF174" s="350">
        <v>426034.732896442</v>
      </c>
      <c r="AG174" s="350">
        <v>424499.43930762151</v>
      </c>
      <c r="AH174" s="350">
        <v>422839.09456141008</v>
      </c>
      <c r="AI174" s="350">
        <v>420847.15561536147</v>
      </c>
      <c r="AJ174" s="350">
        <v>418340.64782698097</v>
      </c>
      <c r="AK174" s="348">
        <v>2112561.0702078161</v>
      </c>
      <c r="AL174" s="369"/>
      <c r="AM174" s="350">
        <v>10275625.699334884</v>
      </c>
      <c r="AN174" s="350">
        <v>10181799.086817799</v>
      </c>
      <c r="AO174" s="350">
        <v>10079327.696626054</v>
      </c>
      <c r="AP174" s="350">
        <v>9948923.2867568806</v>
      </c>
      <c r="AQ174" s="350">
        <v>9774086.9074024279</v>
      </c>
      <c r="AR174" s="348">
        <v>50259762.676938042</v>
      </c>
      <c r="AS174" s="369"/>
      <c r="AT174" s="350">
        <f t="shared" si="99"/>
        <v>9849590.9664384425</v>
      </c>
      <c r="AU174" s="350">
        <f t="shared" si="82"/>
        <v>9757299.6475101784</v>
      </c>
      <c r="AV174" s="350">
        <f t="shared" si="83"/>
        <v>9656488.6020646449</v>
      </c>
      <c r="AW174" s="350">
        <f t="shared" si="84"/>
        <v>9528076.1311415192</v>
      </c>
      <c r="AX174" s="350">
        <f t="shared" si="85"/>
        <v>9355746.2595754471</v>
      </c>
      <c r="AY174" s="350">
        <f t="shared" si="86"/>
        <v>48147201.606730223</v>
      </c>
      <c r="AZ174" s="365"/>
      <c r="BA174" s="377">
        <f t="shared" si="87"/>
        <v>0</v>
      </c>
      <c r="BB174" s="377">
        <f t="shared" si="88"/>
        <v>0</v>
      </c>
      <c r="BC174" s="377">
        <f t="shared" si="89"/>
        <v>0</v>
      </c>
      <c r="BD174" s="377">
        <f t="shared" si="90"/>
        <v>0</v>
      </c>
      <c r="BE174" s="377">
        <f t="shared" si="91"/>
        <v>0</v>
      </c>
      <c r="BF174" s="377">
        <f t="shared" si="92"/>
        <v>0</v>
      </c>
      <c r="BG174" s="328"/>
    </row>
    <row r="175" spans="2:59">
      <c r="B175" s="332">
        <v>160</v>
      </c>
      <c r="C175" s="350">
        <v>4725621.9707210883</v>
      </c>
      <c r="D175" s="350">
        <v>4708592.3331009066</v>
      </c>
      <c r="E175" s="350">
        <v>4690175.6149185058</v>
      </c>
      <c r="F175" s="350">
        <v>4668080.8190698531</v>
      </c>
      <c r="G175" s="350">
        <v>4640278.3716167416</v>
      </c>
      <c r="H175" s="348">
        <v>23432749.109427094</v>
      </c>
      <c r="I175" s="369"/>
      <c r="J175" s="350">
        <v>13004725.728511553</v>
      </c>
      <c r="K175" s="350">
        <v>12691744.482234705</v>
      </c>
      <c r="L175" s="350">
        <v>12371788.787451364</v>
      </c>
      <c r="M175" s="350">
        <v>12026720.762004208</v>
      </c>
      <c r="N175" s="350">
        <v>11641412.161825227</v>
      </c>
      <c r="O175" s="348">
        <v>61736391.922027051</v>
      </c>
      <c r="P175" s="369"/>
      <c r="Q175" s="350">
        <f t="shared" si="93"/>
        <v>8279103.7577904649</v>
      </c>
      <c r="R175" s="350">
        <f t="shared" si="94"/>
        <v>7983152.1491337987</v>
      </c>
      <c r="S175" s="350">
        <f t="shared" si="95"/>
        <v>7681613.1725328583</v>
      </c>
      <c r="T175" s="350">
        <f t="shared" si="96"/>
        <v>7358639.9429343548</v>
      </c>
      <c r="U175" s="350">
        <f t="shared" si="97"/>
        <v>7001133.790208485</v>
      </c>
      <c r="V175" s="350">
        <f t="shared" si="98"/>
        <v>38303642.812599957</v>
      </c>
      <c r="W175" s="365"/>
      <c r="X175" s="377">
        <f t="shared" si="76"/>
        <v>0</v>
      </c>
      <c r="Y175" s="377">
        <f t="shared" si="77"/>
        <v>0</v>
      </c>
      <c r="Z175" s="377">
        <f t="shared" si="78"/>
        <v>0</v>
      </c>
      <c r="AA175" s="377">
        <f t="shared" si="79"/>
        <v>0</v>
      </c>
      <c r="AB175" s="377">
        <f t="shared" si="80"/>
        <v>0</v>
      </c>
      <c r="AC175" s="377">
        <f t="shared" si="81"/>
        <v>0</v>
      </c>
      <c r="AD175" s="376"/>
      <c r="AE175" s="332">
        <v>160</v>
      </c>
      <c r="AF175" s="350">
        <v>265896.43662361009</v>
      </c>
      <c r="AG175" s="350">
        <v>264938.23048942228</v>
      </c>
      <c r="AH175" s="350">
        <v>263901.97753280791</v>
      </c>
      <c r="AI175" s="350">
        <v>262658.77028506726</v>
      </c>
      <c r="AJ175" s="350">
        <v>261094.41076731478</v>
      </c>
      <c r="AK175" s="348">
        <v>1318489.8256982223</v>
      </c>
      <c r="AL175" s="369"/>
      <c r="AM175" s="350">
        <v>10206346.257551551</v>
      </c>
      <c r="AN175" s="350">
        <v>10120448.794512521</v>
      </c>
      <c r="AO175" s="350">
        <v>10025815.84179244</v>
      </c>
      <c r="AP175" s="350">
        <v>9903053.5476237927</v>
      </c>
      <c r="AQ175" s="350">
        <v>9735558.0981372446</v>
      </c>
      <c r="AR175" s="348">
        <v>49991222.539617546</v>
      </c>
      <c r="AS175" s="369"/>
      <c r="AT175" s="350">
        <f t="shared" si="99"/>
        <v>9940449.8209279403</v>
      </c>
      <c r="AU175" s="350">
        <f t="shared" si="82"/>
        <v>9855510.5640230998</v>
      </c>
      <c r="AV175" s="350">
        <f t="shared" si="83"/>
        <v>9761913.8642596323</v>
      </c>
      <c r="AW175" s="350">
        <f t="shared" si="84"/>
        <v>9640394.7773387246</v>
      </c>
      <c r="AX175" s="350">
        <f t="shared" si="85"/>
        <v>9474463.6873699296</v>
      </c>
      <c r="AY175" s="350">
        <f t="shared" si="86"/>
        <v>48672732.713919327</v>
      </c>
      <c r="AZ175" s="365"/>
      <c r="BA175" s="377">
        <f t="shared" si="87"/>
        <v>0</v>
      </c>
      <c r="BB175" s="377">
        <f t="shared" si="88"/>
        <v>0</v>
      </c>
      <c r="BC175" s="377">
        <f t="shared" si="89"/>
        <v>0</v>
      </c>
      <c r="BD175" s="377">
        <f t="shared" si="90"/>
        <v>0</v>
      </c>
      <c r="BE175" s="377">
        <f t="shared" si="91"/>
        <v>0</v>
      </c>
      <c r="BF175" s="377">
        <f t="shared" si="92"/>
        <v>0</v>
      </c>
      <c r="BG175" s="328"/>
    </row>
    <row r="176" spans="2:59">
      <c r="B176" s="332">
        <v>161</v>
      </c>
      <c r="C176" s="350">
        <v>4443587.3804812664</v>
      </c>
      <c r="D176" s="350">
        <v>4427574.1057648249</v>
      </c>
      <c r="E176" s="350">
        <v>4410256.5342340861</v>
      </c>
      <c r="F176" s="350">
        <v>4389480.40008377</v>
      </c>
      <c r="G176" s="350">
        <v>4363337.2584159467</v>
      </c>
      <c r="H176" s="348">
        <v>22034235.678979896</v>
      </c>
      <c r="I176" s="369"/>
      <c r="J176" s="350">
        <v>14263707.060901618</v>
      </c>
      <c r="K176" s="350">
        <v>13954737.245148413</v>
      </c>
      <c r="L176" s="350">
        <v>13637417.155711379</v>
      </c>
      <c r="M176" s="350">
        <v>13290744.865779793</v>
      </c>
      <c r="N176" s="350">
        <v>12897111.385985259</v>
      </c>
      <c r="O176" s="348">
        <v>68043717.713526472</v>
      </c>
      <c r="P176" s="369"/>
      <c r="Q176" s="350">
        <f t="shared" si="93"/>
        <v>9820119.6804203503</v>
      </c>
      <c r="R176" s="350">
        <f t="shared" si="94"/>
        <v>9527163.139383588</v>
      </c>
      <c r="S176" s="350">
        <f t="shared" si="95"/>
        <v>9227160.6214772929</v>
      </c>
      <c r="T176" s="350">
        <f t="shared" si="96"/>
        <v>8901264.4656960219</v>
      </c>
      <c r="U176" s="350">
        <f t="shared" si="97"/>
        <v>8533774.1275693122</v>
      </c>
      <c r="V176" s="350">
        <f t="shared" si="98"/>
        <v>46009482.034546576</v>
      </c>
      <c r="W176" s="365"/>
      <c r="X176" s="377">
        <f t="shared" si="76"/>
        <v>0</v>
      </c>
      <c r="Y176" s="377">
        <f t="shared" si="77"/>
        <v>0</v>
      </c>
      <c r="Z176" s="377">
        <f t="shared" si="78"/>
        <v>0</v>
      </c>
      <c r="AA176" s="377">
        <f t="shared" si="79"/>
        <v>0</v>
      </c>
      <c r="AB176" s="377">
        <f t="shared" si="80"/>
        <v>0</v>
      </c>
      <c r="AC176" s="377">
        <f t="shared" si="81"/>
        <v>0</v>
      </c>
      <c r="AD176" s="376"/>
      <c r="AE176" s="332">
        <v>161</v>
      </c>
      <c r="AF176" s="350">
        <v>560103.55158108124</v>
      </c>
      <c r="AG176" s="350">
        <v>558085.11663806194</v>
      </c>
      <c r="AH176" s="350">
        <v>555902.27820402291</v>
      </c>
      <c r="AI176" s="350">
        <v>553283.4962314138</v>
      </c>
      <c r="AJ176" s="350">
        <v>549988.21580957365</v>
      </c>
      <c r="AK176" s="348">
        <v>2777362.6584641533</v>
      </c>
      <c r="AL176" s="369"/>
      <c r="AM176" s="350">
        <v>17507035.672942214</v>
      </c>
      <c r="AN176" s="350">
        <v>17354869.360649094</v>
      </c>
      <c r="AO176" s="350">
        <v>17187817.525659092</v>
      </c>
      <c r="AP176" s="350">
        <v>16972769.574293457</v>
      </c>
      <c r="AQ176" s="350">
        <v>16681387.758974621</v>
      </c>
      <c r="AR176" s="348">
        <v>85703879.892518476</v>
      </c>
      <c r="AS176" s="369"/>
      <c r="AT176" s="350">
        <f t="shared" si="99"/>
        <v>16946932.121361133</v>
      </c>
      <c r="AU176" s="350">
        <f t="shared" si="82"/>
        <v>16796784.244011033</v>
      </c>
      <c r="AV176" s="350">
        <f t="shared" si="83"/>
        <v>16631915.247455068</v>
      </c>
      <c r="AW176" s="350">
        <f t="shared" si="84"/>
        <v>16419486.078062043</v>
      </c>
      <c r="AX176" s="350">
        <f t="shared" si="85"/>
        <v>16131399.543165047</v>
      </c>
      <c r="AY176" s="350">
        <f t="shared" si="86"/>
        <v>82926517.234054327</v>
      </c>
      <c r="AZ176" s="365"/>
      <c r="BA176" s="377">
        <f t="shared" si="87"/>
        <v>0</v>
      </c>
      <c r="BB176" s="377">
        <f t="shared" si="88"/>
        <v>0</v>
      </c>
      <c r="BC176" s="377">
        <f t="shared" si="89"/>
        <v>0</v>
      </c>
      <c r="BD176" s="377">
        <f t="shared" si="90"/>
        <v>0</v>
      </c>
      <c r="BE176" s="377">
        <f t="shared" si="91"/>
        <v>0</v>
      </c>
      <c r="BF176" s="377">
        <f t="shared" si="92"/>
        <v>0</v>
      </c>
      <c r="BG176" s="328"/>
    </row>
    <row r="177" spans="2:59">
      <c r="B177" s="332">
        <v>162</v>
      </c>
      <c r="C177" s="350">
        <v>4561900.4054010147</v>
      </c>
      <c r="D177" s="350">
        <v>4545460.7681967104</v>
      </c>
      <c r="E177" s="350">
        <v>4527682.1065384187</v>
      </c>
      <c r="F177" s="350">
        <v>4506352.7960764896</v>
      </c>
      <c r="G177" s="350">
        <v>4479513.5784891928</v>
      </c>
      <c r="H177" s="348">
        <v>22620909.654701825</v>
      </c>
      <c r="I177" s="369"/>
      <c r="J177" s="350">
        <v>15191156.371359821</v>
      </c>
      <c r="K177" s="350">
        <v>14870012.802553182</v>
      </c>
      <c r="L177" s="350">
        <v>14539814.367404815</v>
      </c>
      <c r="M177" s="350">
        <v>14177937.901955044</v>
      </c>
      <c r="N177" s="350">
        <v>13765395.005117994</v>
      </c>
      <c r="O177" s="348">
        <v>72544316.448390856</v>
      </c>
      <c r="P177" s="369"/>
      <c r="Q177" s="350">
        <f t="shared" si="93"/>
        <v>10629255.965958808</v>
      </c>
      <c r="R177" s="350">
        <f t="shared" si="94"/>
        <v>10324552.034356471</v>
      </c>
      <c r="S177" s="350">
        <f t="shared" si="95"/>
        <v>10012132.260866396</v>
      </c>
      <c r="T177" s="350">
        <f t="shared" si="96"/>
        <v>9671585.1058785543</v>
      </c>
      <c r="U177" s="350">
        <f t="shared" si="97"/>
        <v>9285881.426628802</v>
      </c>
      <c r="V177" s="350">
        <f t="shared" si="98"/>
        <v>49923406.793689027</v>
      </c>
      <c r="W177" s="365"/>
      <c r="X177" s="377">
        <f t="shared" si="76"/>
        <v>0</v>
      </c>
      <c r="Y177" s="377">
        <f t="shared" si="77"/>
        <v>0</v>
      </c>
      <c r="Z177" s="377">
        <f t="shared" si="78"/>
        <v>0</v>
      </c>
      <c r="AA177" s="377">
        <f t="shared" si="79"/>
        <v>0</v>
      </c>
      <c r="AB177" s="377">
        <f t="shared" si="80"/>
        <v>0</v>
      </c>
      <c r="AC177" s="377">
        <f t="shared" si="81"/>
        <v>0</v>
      </c>
      <c r="AD177" s="376"/>
      <c r="AE177" s="332">
        <v>162</v>
      </c>
      <c r="AF177" s="350">
        <v>448159.02979144629</v>
      </c>
      <c r="AG177" s="350">
        <v>446544.00727782858</v>
      </c>
      <c r="AH177" s="350">
        <v>444797.43960828072</v>
      </c>
      <c r="AI177" s="350">
        <v>442702.05780831398</v>
      </c>
      <c r="AJ177" s="350">
        <v>440065.38522772788</v>
      </c>
      <c r="AK177" s="348">
        <v>2222267.9197135973</v>
      </c>
      <c r="AL177" s="369"/>
      <c r="AM177" s="350">
        <v>14877034.17037398</v>
      </c>
      <c r="AN177" s="350">
        <v>14749017.048538649</v>
      </c>
      <c r="AO177" s="350">
        <v>14608324.246932644</v>
      </c>
      <c r="AP177" s="350">
        <v>14426777.56348886</v>
      </c>
      <c r="AQ177" s="350">
        <v>14180258.095968148</v>
      </c>
      <c r="AR177" s="348">
        <v>72841411.12530227</v>
      </c>
      <c r="AS177" s="369"/>
      <c r="AT177" s="350">
        <f t="shared" si="99"/>
        <v>14428875.140582534</v>
      </c>
      <c r="AU177" s="350">
        <f t="shared" si="82"/>
        <v>14302473.041260822</v>
      </c>
      <c r="AV177" s="350">
        <f t="shared" si="83"/>
        <v>14163526.807324363</v>
      </c>
      <c r="AW177" s="350">
        <f t="shared" si="84"/>
        <v>13984075.505680546</v>
      </c>
      <c r="AX177" s="350">
        <f t="shared" si="85"/>
        <v>13740192.710740419</v>
      </c>
      <c r="AY177" s="350">
        <f t="shared" si="86"/>
        <v>70619143.205588669</v>
      </c>
      <c r="AZ177" s="365"/>
      <c r="BA177" s="377">
        <f t="shared" si="87"/>
        <v>0</v>
      </c>
      <c r="BB177" s="377">
        <f t="shared" si="88"/>
        <v>0</v>
      </c>
      <c r="BC177" s="377">
        <f t="shared" si="89"/>
        <v>0</v>
      </c>
      <c r="BD177" s="377">
        <f t="shared" si="90"/>
        <v>0</v>
      </c>
      <c r="BE177" s="377">
        <f t="shared" si="91"/>
        <v>0</v>
      </c>
      <c r="BF177" s="377">
        <f t="shared" si="92"/>
        <v>0</v>
      </c>
      <c r="BG177" s="328"/>
    </row>
    <row r="178" spans="2:59">
      <c r="B178" s="332">
        <v>163</v>
      </c>
      <c r="C178" s="350">
        <v>3515611.143934723</v>
      </c>
      <c r="D178" s="350">
        <v>3502942.0002398575</v>
      </c>
      <c r="E178" s="350">
        <v>3489240.9424578547</v>
      </c>
      <c r="F178" s="350">
        <v>3472803.5907209283</v>
      </c>
      <c r="G178" s="350">
        <v>3452120.0500779371</v>
      </c>
      <c r="H178" s="348">
        <v>17432717.727431301</v>
      </c>
      <c r="I178" s="369"/>
      <c r="J178" s="350">
        <v>10971019.032798637</v>
      </c>
      <c r="K178" s="350">
        <v>10728835.497315681</v>
      </c>
      <c r="L178" s="350">
        <v>10480321.95241045</v>
      </c>
      <c r="M178" s="350">
        <v>10209471.180077124</v>
      </c>
      <c r="N178" s="350">
        <v>9902873.5028929189</v>
      </c>
      <c r="O178" s="348">
        <v>52292521.165494807</v>
      </c>
      <c r="P178" s="369"/>
      <c r="Q178" s="350">
        <f t="shared" si="93"/>
        <v>7455407.8888639137</v>
      </c>
      <c r="R178" s="350">
        <f t="shared" si="94"/>
        <v>7225893.4970758231</v>
      </c>
      <c r="S178" s="350">
        <f t="shared" si="95"/>
        <v>6991081.0099525955</v>
      </c>
      <c r="T178" s="350">
        <f t="shared" si="96"/>
        <v>6736667.5893561961</v>
      </c>
      <c r="U178" s="350">
        <f t="shared" si="97"/>
        <v>6450753.4528149813</v>
      </c>
      <c r="V178" s="350">
        <f t="shared" si="98"/>
        <v>34859803.438063502</v>
      </c>
      <c r="W178" s="365"/>
      <c r="X178" s="377">
        <f t="shared" si="76"/>
        <v>0</v>
      </c>
      <c r="Y178" s="377">
        <f t="shared" si="77"/>
        <v>0</v>
      </c>
      <c r="Z178" s="377">
        <f t="shared" si="78"/>
        <v>0</v>
      </c>
      <c r="AA178" s="377">
        <f t="shared" si="79"/>
        <v>0</v>
      </c>
      <c r="AB178" s="377">
        <f t="shared" si="80"/>
        <v>0</v>
      </c>
      <c r="AC178" s="377">
        <f t="shared" si="81"/>
        <v>0</v>
      </c>
      <c r="AD178" s="376"/>
      <c r="AE178" s="332">
        <v>163</v>
      </c>
      <c r="AF178" s="350">
        <v>336532.39198219363</v>
      </c>
      <c r="AG178" s="350">
        <v>335319.63634528109</v>
      </c>
      <c r="AH178" s="350">
        <v>334008.10058114567</v>
      </c>
      <c r="AI178" s="350">
        <v>332434.63267715863</v>
      </c>
      <c r="AJ178" s="350">
        <v>330454.69771783997</v>
      </c>
      <c r="AK178" s="348">
        <v>1668749.4593036189</v>
      </c>
      <c r="AL178" s="369"/>
      <c r="AM178" s="350">
        <v>13340405.816802096</v>
      </c>
      <c r="AN178" s="350">
        <v>13228642.799067598</v>
      </c>
      <c r="AO178" s="350">
        <v>13105451.453889832</v>
      </c>
      <c r="AP178" s="350">
        <v>12945466.16352002</v>
      </c>
      <c r="AQ178" s="350">
        <v>12726969.453292131</v>
      </c>
      <c r="AR178" s="348">
        <v>65346935.686571673</v>
      </c>
      <c r="AS178" s="369"/>
      <c r="AT178" s="350">
        <f t="shared" si="99"/>
        <v>13003873.424819902</v>
      </c>
      <c r="AU178" s="350">
        <f t="shared" si="82"/>
        <v>12893323.162722318</v>
      </c>
      <c r="AV178" s="350">
        <f t="shared" si="83"/>
        <v>12771443.353308687</v>
      </c>
      <c r="AW178" s="350">
        <f t="shared" si="84"/>
        <v>12613031.530842861</v>
      </c>
      <c r="AX178" s="350">
        <f t="shared" si="85"/>
        <v>12396514.755574292</v>
      </c>
      <c r="AY178" s="350">
        <f t="shared" si="86"/>
        <v>63678186.227268055</v>
      </c>
      <c r="AZ178" s="365"/>
      <c r="BA178" s="377">
        <f t="shared" si="87"/>
        <v>0</v>
      </c>
      <c r="BB178" s="377">
        <f t="shared" si="88"/>
        <v>0</v>
      </c>
      <c r="BC178" s="377">
        <f t="shared" si="89"/>
        <v>0</v>
      </c>
      <c r="BD178" s="377">
        <f t="shared" si="90"/>
        <v>0</v>
      </c>
      <c r="BE178" s="377">
        <f t="shared" si="91"/>
        <v>0</v>
      </c>
      <c r="BF178" s="377">
        <f t="shared" si="92"/>
        <v>0</v>
      </c>
      <c r="BG178" s="328"/>
    </row>
    <row r="179" spans="2:59">
      <c r="B179" s="332">
        <v>164</v>
      </c>
      <c r="C179" s="350">
        <v>4834281.8089647628</v>
      </c>
      <c r="D179" s="350">
        <v>4816860.5958693055</v>
      </c>
      <c r="E179" s="350">
        <v>4798020.4080079775</v>
      </c>
      <c r="F179" s="350">
        <v>4775417.569629088</v>
      </c>
      <c r="G179" s="350">
        <v>4746975.8392494647</v>
      </c>
      <c r="H179" s="348">
        <v>23971556.221720602</v>
      </c>
      <c r="I179" s="369"/>
      <c r="J179" s="350">
        <v>12652109.39825096</v>
      </c>
      <c r="K179" s="350">
        <v>12336628.169600483</v>
      </c>
      <c r="L179" s="350">
        <v>12014585.941816105</v>
      </c>
      <c r="M179" s="350">
        <v>11668691.451049615</v>
      </c>
      <c r="N179" s="350">
        <v>11284552.028527973</v>
      </c>
      <c r="O179" s="348">
        <v>59956566.989245132</v>
      </c>
      <c r="P179" s="369"/>
      <c r="Q179" s="350">
        <f t="shared" si="93"/>
        <v>7817827.589286197</v>
      </c>
      <c r="R179" s="350">
        <f t="shared" si="94"/>
        <v>7519767.5737311775</v>
      </c>
      <c r="S179" s="350">
        <f t="shared" si="95"/>
        <v>7216565.533808127</v>
      </c>
      <c r="T179" s="350">
        <f t="shared" si="96"/>
        <v>6893273.8814205267</v>
      </c>
      <c r="U179" s="350">
        <f t="shared" si="97"/>
        <v>6537576.1892785085</v>
      </c>
      <c r="V179" s="350">
        <f t="shared" si="98"/>
        <v>35985010.767524526</v>
      </c>
      <c r="W179" s="365"/>
      <c r="X179" s="377">
        <f t="shared" si="76"/>
        <v>0</v>
      </c>
      <c r="Y179" s="377">
        <f t="shared" si="77"/>
        <v>0</v>
      </c>
      <c r="Z179" s="377">
        <f t="shared" si="78"/>
        <v>0</v>
      </c>
      <c r="AA179" s="377">
        <f t="shared" si="79"/>
        <v>0</v>
      </c>
      <c r="AB179" s="377">
        <f t="shared" si="80"/>
        <v>0</v>
      </c>
      <c r="AC179" s="377">
        <f t="shared" si="81"/>
        <v>0</v>
      </c>
      <c r="AD179" s="376"/>
      <c r="AE179" s="332">
        <v>164</v>
      </c>
      <c r="AF179" s="350">
        <v>500169.9540712029</v>
      </c>
      <c r="AG179" s="350">
        <v>498367.50073932193</v>
      </c>
      <c r="AH179" s="350">
        <v>496418.23582890263</v>
      </c>
      <c r="AI179" s="350">
        <v>494079.67529797065</v>
      </c>
      <c r="AJ179" s="350">
        <v>491137.00469252485</v>
      </c>
      <c r="AK179" s="348">
        <v>2480172.370629923</v>
      </c>
      <c r="AL179" s="369"/>
      <c r="AM179" s="350">
        <v>15447259.011653325</v>
      </c>
      <c r="AN179" s="350">
        <v>15312718.956722429</v>
      </c>
      <c r="AO179" s="350">
        <v>15165050.374969168</v>
      </c>
      <c r="AP179" s="350">
        <v>14975047.211963676</v>
      </c>
      <c r="AQ179" s="350">
        <v>14717713.972314926</v>
      </c>
      <c r="AR179" s="348">
        <v>75617789.527623519</v>
      </c>
      <c r="AS179" s="369"/>
      <c r="AT179" s="350">
        <f t="shared" si="99"/>
        <v>14947089.057582121</v>
      </c>
      <c r="AU179" s="350">
        <f t="shared" si="82"/>
        <v>14814351.455983108</v>
      </c>
      <c r="AV179" s="350">
        <f t="shared" si="83"/>
        <v>14668632.139140265</v>
      </c>
      <c r="AW179" s="350">
        <f t="shared" si="84"/>
        <v>14480967.536665706</v>
      </c>
      <c r="AX179" s="350">
        <f t="shared" si="85"/>
        <v>14226576.967622401</v>
      </c>
      <c r="AY179" s="350">
        <f t="shared" si="86"/>
        <v>73137617.156993598</v>
      </c>
      <c r="AZ179" s="365"/>
      <c r="BA179" s="377">
        <f t="shared" si="87"/>
        <v>0</v>
      </c>
      <c r="BB179" s="377">
        <f t="shared" si="88"/>
        <v>0</v>
      </c>
      <c r="BC179" s="377">
        <f t="shared" si="89"/>
        <v>0</v>
      </c>
      <c r="BD179" s="377">
        <f t="shared" si="90"/>
        <v>0</v>
      </c>
      <c r="BE179" s="377">
        <f t="shared" si="91"/>
        <v>0</v>
      </c>
      <c r="BF179" s="377">
        <f t="shared" si="92"/>
        <v>0</v>
      </c>
      <c r="BG179" s="328"/>
    </row>
    <row r="180" spans="2:59">
      <c r="B180" s="332">
        <v>165</v>
      </c>
      <c r="C180" s="350">
        <v>5945713.4139513792</v>
      </c>
      <c r="D180" s="350">
        <v>5924286.9550724458</v>
      </c>
      <c r="E180" s="350">
        <v>5901115.2902595391</v>
      </c>
      <c r="F180" s="350">
        <v>5873315.9180563046</v>
      </c>
      <c r="G180" s="350">
        <v>5838335.2560848566</v>
      </c>
      <c r="H180" s="348">
        <v>29482766.833424527</v>
      </c>
      <c r="I180" s="369"/>
      <c r="J180" s="350">
        <v>19346957.258474551</v>
      </c>
      <c r="K180" s="350">
        <v>18931657.493346203</v>
      </c>
      <c r="L180" s="350">
        <v>18504954.432758648</v>
      </c>
      <c r="M180" s="350">
        <v>18038239.487434618</v>
      </c>
      <c r="N180" s="350">
        <v>17507516.296447046</v>
      </c>
      <c r="O180" s="348">
        <v>92329324.968461066</v>
      </c>
      <c r="P180" s="369"/>
      <c r="Q180" s="350">
        <f t="shared" si="93"/>
        <v>13401243.844523173</v>
      </c>
      <c r="R180" s="350">
        <f t="shared" si="94"/>
        <v>13007370.538273757</v>
      </c>
      <c r="S180" s="350">
        <f t="shared" si="95"/>
        <v>12603839.142499108</v>
      </c>
      <c r="T180" s="350">
        <f t="shared" si="96"/>
        <v>12164923.569378313</v>
      </c>
      <c r="U180" s="350">
        <f t="shared" si="97"/>
        <v>11669181.04036219</v>
      </c>
      <c r="V180" s="350">
        <f t="shared" si="98"/>
        <v>62846558.135036543</v>
      </c>
      <c r="W180" s="365"/>
      <c r="X180" s="377">
        <f t="shared" si="76"/>
        <v>0</v>
      </c>
      <c r="Y180" s="377">
        <f t="shared" si="77"/>
        <v>0</v>
      </c>
      <c r="Z180" s="377">
        <f t="shared" si="78"/>
        <v>0</v>
      </c>
      <c r="AA180" s="377">
        <f t="shared" si="79"/>
        <v>0</v>
      </c>
      <c r="AB180" s="377">
        <f t="shared" si="80"/>
        <v>0</v>
      </c>
      <c r="AC180" s="377">
        <f t="shared" si="81"/>
        <v>0</v>
      </c>
      <c r="AD180" s="376"/>
      <c r="AE180" s="332">
        <v>165</v>
      </c>
      <c r="AF180" s="350">
        <v>374685.69447401294</v>
      </c>
      <c r="AG180" s="350">
        <v>373335.44647747575</v>
      </c>
      <c r="AH180" s="350">
        <v>371875.21946717775</v>
      </c>
      <c r="AI180" s="350">
        <v>370123.36458371347</v>
      </c>
      <c r="AJ180" s="350">
        <v>367918.96071971644</v>
      </c>
      <c r="AK180" s="348">
        <v>1857938.6857220964</v>
      </c>
      <c r="AL180" s="369"/>
      <c r="AM180" s="350">
        <v>9065814.3266105317</v>
      </c>
      <c r="AN180" s="350">
        <v>8983089.6707350016</v>
      </c>
      <c r="AO180" s="350">
        <v>8892736.9121302608</v>
      </c>
      <c r="AP180" s="350">
        <v>8777736.9475839324</v>
      </c>
      <c r="AQ180" s="350">
        <v>8623531.7137570493</v>
      </c>
      <c r="AR180" s="348">
        <v>44342909.570816785</v>
      </c>
      <c r="AS180" s="369"/>
      <c r="AT180" s="350">
        <f t="shared" si="99"/>
        <v>8691128.6321365181</v>
      </c>
      <c r="AU180" s="350">
        <f t="shared" si="82"/>
        <v>8609754.2242575251</v>
      </c>
      <c r="AV180" s="350">
        <f t="shared" si="83"/>
        <v>8520861.6926630829</v>
      </c>
      <c r="AW180" s="350">
        <f t="shared" si="84"/>
        <v>8407613.5830002185</v>
      </c>
      <c r="AX180" s="350">
        <f t="shared" si="85"/>
        <v>8255612.7530373326</v>
      </c>
      <c r="AY180" s="350">
        <f t="shared" si="86"/>
        <v>42484970.885094687</v>
      </c>
      <c r="AZ180" s="365"/>
      <c r="BA180" s="377">
        <f t="shared" si="87"/>
        <v>0</v>
      </c>
      <c r="BB180" s="377">
        <f t="shared" si="88"/>
        <v>0</v>
      </c>
      <c r="BC180" s="377">
        <f t="shared" si="89"/>
        <v>0</v>
      </c>
      <c r="BD180" s="377">
        <f t="shared" si="90"/>
        <v>0</v>
      </c>
      <c r="BE180" s="377">
        <f t="shared" si="91"/>
        <v>0</v>
      </c>
      <c r="BF180" s="377">
        <f t="shared" si="92"/>
        <v>0</v>
      </c>
      <c r="BG180" s="328"/>
    </row>
    <row r="181" spans="2:59">
      <c r="B181" s="332">
        <v>166</v>
      </c>
      <c r="C181" s="350">
        <v>6184408.4535755431</v>
      </c>
      <c r="D181" s="350">
        <v>6162121.8137401706</v>
      </c>
      <c r="E181" s="350">
        <v>6138019.905394556</v>
      </c>
      <c r="F181" s="350">
        <v>6109104.5069405418</v>
      </c>
      <c r="G181" s="350">
        <v>6072719.5205568615</v>
      </c>
      <c r="H181" s="348">
        <v>30666374.200207673</v>
      </c>
      <c r="I181" s="369"/>
      <c r="J181" s="350">
        <v>19483915.349859525</v>
      </c>
      <c r="K181" s="350">
        <v>19056553.906959429</v>
      </c>
      <c r="L181" s="350">
        <v>18617894.710640155</v>
      </c>
      <c r="M181" s="350">
        <v>18139421.250500061</v>
      </c>
      <c r="N181" s="350">
        <v>17597237.452585451</v>
      </c>
      <c r="O181" s="348">
        <v>92895022.670544624</v>
      </c>
      <c r="P181" s="369"/>
      <c r="Q181" s="350">
        <f t="shared" si="93"/>
        <v>13299506.89628398</v>
      </c>
      <c r="R181" s="350">
        <f t="shared" si="94"/>
        <v>12894432.093219258</v>
      </c>
      <c r="S181" s="350">
        <f t="shared" si="95"/>
        <v>12479874.805245599</v>
      </c>
      <c r="T181" s="350">
        <f t="shared" si="96"/>
        <v>12030316.743559519</v>
      </c>
      <c r="U181" s="350">
        <f t="shared" si="97"/>
        <v>11524517.93202859</v>
      </c>
      <c r="V181" s="350">
        <f t="shared" si="98"/>
        <v>62228648.470336951</v>
      </c>
      <c r="W181" s="365"/>
      <c r="X181" s="377">
        <f t="shared" si="76"/>
        <v>0</v>
      </c>
      <c r="Y181" s="377">
        <f t="shared" si="77"/>
        <v>0</v>
      </c>
      <c r="Z181" s="377">
        <f t="shared" si="78"/>
        <v>0</v>
      </c>
      <c r="AA181" s="377">
        <f t="shared" si="79"/>
        <v>0</v>
      </c>
      <c r="AB181" s="377">
        <f t="shared" si="80"/>
        <v>0</v>
      </c>
      <c r="AC181" s="377">
        <f t="shared" si="81"/>
        <v>0</v>
      </c>
      <c r="AD181" s="376"/>
      <c r="AE181" s="332">
        <v>166</v>
      </c>
      <c r="AF181" s="350">
        <v>427350.90389610664</v>
      </c>
      <c r="AG181" s="350">
        <v>425810.86724588409</v>
      </c>
      <c r="AH181" s="350">
        <v>424145.39311130211</v>
      </c>
      <c r="AI181" s="350">
        <v>422147.30036587641</v>
      </c>
      <c r="AJ181" s="350">
        <v>419633.0490941442</v>
      </c>
      <c r="AK181" s="348">
        <v>2119087.5137133133</v>
      </c>
      <c r="AL181" s="369"/>
      <c r="AM181" s="350">
        <v>11526891.598099042</v>
      </c>
      <c r="AN181" s="350">
        <v>11423985.591943372</v>
      </c>
      <c r="AO181" s="350">
        <v>11311334.227662597</v>
      </c>
      <c r="AP181" s="350">
        <v>11167224.764130743</v>
      </c>
      <c r="AQ181" s="350">
        <v>10973079.691264907</v>
      </c>
      <c r="AR181" s="348">
        <v>56402515.873100661</v>
      </c>
      <c r="AS181" s="369"/>
      <c r="AT181" s="350">
        <f t="shared" si="99"/>
        <v>11099540.694202935</v>
      </c>
      <c r="AU181" s="350">
        <f t="shared" si="82"/>
        <v>10998174.724697487</v>
      </c>
      <c r="AV181" s="350">
        <f t="shared" si="83"/>
        <v>10887188.834551295</v>
      </c>
      <c r="AW181" s="350">
        <f t="shared" si="84"/>
        <v>10745077.463764867</v>
      </c>
      <c r="AX181" s="350">
        <f t="shared" si="85"/>
        <v>10553446.642170763</v>
      </c>
      <c r="AY181" s="350">
        <f t="shared" si="86"/>
        <v>54283428.359387346</v>
      </c>
      <c r="AZ181" s="365"/>
      <c r="BA181" s="377">
        <f t="shared" si="87"/>
        <v>0</v>
      </c>
      <c r="BB181" s="377">
        <f t="shared" si="88"/>
        <v>0</v>
      </c>
      <c r="BC181" s="377">
        <f t="shared" si="89"/>
        <v>0</v>
      </c>
      <c r="BD181" s="377">
        <f t="shared" si="90"/>
        <v>0</v>
      </c>
      <c r="BE181" s="377">
        <f t="shared" si="91"/>
        <v>0</v>
      </c>
      <c r="BF181" s="377">
        <f t="shared" si="92"/>
        <v>0</v>
      </c>
      <c r="BG181" s="328"/>
    </row>
    <row r="182" spans="2:59">
      <c r="B182" s="332">
        <v>167</v>
      </c>
      <c r="C182" s="350">
        <v>5614682.1078387722</v>
      </c>
      <c r="D182" s="350">
        <v>5594448.5804340346</v>
      </c>
      <c r="E182" s="350">
        <v>5572567.012525198</v>
      </c>
      <c r="F182" s="350">
        <v>5546315.3877239758</v>
      </c>
      <c r="G182" s="350">
        <v>5513282.2959455205</v>
      </c>
      <c r="H182" s="348">
        <v>27841295.384467501</v>
      </c>
      <c r="I182" s="369"/>
      <c r="J182" s="350">
        <v>17902133.887221895</v>
      </c>
      <c r="K182" s="350">
        <v>17512606.123134635</v>
      </c>
      <c r="L182" s="350">
        <v>17112633.707925729</v>
      </c>
      <c r="M182" s="350">
        <v>16675913.842825552</v>
      </c>
      <c r="N182" s="350">
        <v>16180397.470668655</v>
      </c>
      <c r="O182" s="348">
        <v>85383685.031776473</v>
      </c>
      <c r="P182" s="369"/>
      <c r="Q182" s="350">
        <f t="shared" si="93"/>
        <v>12287451.779383123</v>
      </c>
      <c r="R182" s="350">
        <f t="shared" si="94"/>
        <v>11918157.5427006</v>
      </c>
      <c r="S182" s="350">
        <f t="shared" si="95"/>
        <v>11540066.695400532</v>
      </c>
      <c r="T182" s="350">
        <f t="shared" si="96"/>
        <v>11129598.455101576</v>
      </c>
      <c r="U182" s="350">
        <f t="shared" si="97"/>
        <v>10667115.174723133</v>
      </c>
      <c r="V182" s="350">
        <f t="shared" si="98"/>
        <v>57542389.647308975</v>
      </c>
      <c r="W182" s="365"/>
      <c r="X182" s="377">
        <f t="shared" si="76"/>
        <v>0</v>
      </c>
      <c r="Y182" s="377">
        <f t="shared" si="77"/>
        <v>0</v>
      </c>
      <c r="Z182" s="377">
        <f t="shared" si="78"/>
        <v>0</v>
      </c>
      <c r="AA182" s="377">
        <f t="shared" si="79"/>
        <v>0</v>
      </c>
      <c r="AB182" s="377">
        <f t="shared" si="80"/>
        <v>0</v>
      </c>
      <c r="AC182" s="377">
        <f t="shared" si="81"/>
        <v>0</v>
      </c>
      <c r="AD182" s="376"/>
      <c r="AE182" s="332">
        <v>167</v>
      </c>
      <c r="AF182" s="350">
        <v>514076.12302022998</v>
      </c>
      <c r="AG182" s="350">
        <v>512223.55628119258</v>
      </c>
      <c r="AH182" s="350">
        <v>510220.09617781924</v>
      </c>
      <c r="AI182" s="350">
        <v>507816.51691160339</v>
      </c>
      <c r="AJ182" s="350">
        <v>504792.03156645235</v>
      </c>
      <c r="AK182" s="348">
        <v>2549128.3239572975</v>
      </c>
      <c r="AL182" s="369"/>
      <c r="AM182" s="350">
        <v>16521117.890262248</v>
      </c>
      <c r="AN182" s="350">
        <v>16378192.949020278</v>
      </c>
      <c r="AO182" s="350">
        <v>16221207.04778555</v>
      </c>
      <c r="AP182" s="350">
        <v>16018892.52837326</v>
      </c>
      <c r="AQ182" s="350">
        <v>15744487.594174728</v>
      </c>
      <c r="AR182" s="348">
        <v>80883898.009616062</v>
      </c>
      <c r="AS182" s="369"/>
      <c r="AT182" s="350">
        <f t="shared" si="99"/>
        <v>16007041.767242018</v>
      </c>
      <c r="AU182" s="350">
        <f t="shared" si="82"/>
        <v>15865969.392739085</v>
      </c>
      <c r="AV182" s="350">
        <f t="shared" si="83"/>
        <v>15710986.95160773</v>
      </c>
      <c r="AW182" s="350">
        <f t="shared" si="84"/>
        <v>15511076.011461657</v>
      </c>
      <c r="AX182" s="350">
        <f t="shared" si="85"/>
        <v>15239695.562608276</v>
      </c>
      <c r="AY182" s="350">
        <f t="shared" si="86"/>
        <v>78334769.685658768</v>
      </c>
      <c r="AZ182" s="365"/>
      <c r="BA182" s="377">
        <f t="shared" si="87"/>
        <v>0</v>
      </c>
      <c r="BB182" s="377">
        <f t="shared" si="88"/>
        <v>0</v>
      </c>
      <c r="BC182" s="377">
        <f t="shared" si="89"/>
        <v>0</v>
      </c>
      <c r="BD182" s="377">
        <f t="shared" si="90"/>
        <v>0</v>
      </c>
      <c r="BE182" s="377">
        <f t="shared" si="91"/>
        <v>0</v>
      </c>
      <c r="BF182" s="377">
        <f t="shared" si="92"/>
        <v>0</v>
      </c>
      <c r="BG182" s="328"/>
    </row>
    <row r="183" spans="2:59">
      <c r="B183" s="332">
        <v>168</v>
      </c>
      <c r="C183" s="350">
        <v>4344558.8594001075</v>
      </c>
      <c r="D183" s="350">
        <v>4328902.4519571215</v>
      </c>
      <c r="E183" s="350">
        <v>4311970.8148866668</v>
      </c>
      <c r="F183" s="350">
        <v>4291657.6917368155</v>
      </c>
      <c r="G183" s="350">
        <v>4266097.1686683586</v>
      </c>
      <c r="H183" s="348">
        <v>21543186.986649074</v>
      </c>
      <c r="I183" s="369"/>
      <c r="J183" s="350">
        <v>18740941.347347297</v>
      </c>
      <c r="K183" s="350">
        <v>18404297.035460334</v>
      </c>
      <c r="L183" s="350">
        <v>18055266.109884374</v>
      </c>
      <c r="M183" s="350">
        <v>17664015.943925861</v>
      </c>
      <c r="N183" s="350">
        <v>17205357.570975073</v>
      </c>
      <c r="O183" s="348">
        <v>90069878.007592946</v>
      </c>
      <c r="P183" s="369"/>
      <c r="Q183" s="350">
        <f t="shared" si="93"/>
        <v>14396382.487947188</v>
      </c>
      <c r="R183" s="350">
        <f t="shared" si="94"/>
        <v>14075394.583503213</v>
      </c>
      <c r="S183" s="350">
        <f t="shared" si="95"/>
        <v>13743295.294997707</v>
      </c>
      <c r="T183" s="350">
        <f t="shared" si="96"/>
        <v>13372358.252189046</v>
      </c>
      <c r="U183" s="350">
        <f t="shared" si="97"/>
        <v>12939260.402306713</v>
      </c>
      <c r="V183" s="350">
        <f t="shared" si="98"/>
        <v>68526691.02094388</v>
      </c>
      <c r="W183" s="365"/>
      <c r="X183" s="377">
        <f t="shared" si="76"/>
        <v>0</v>
      </c>
      <c r="Y183" s="377">
        <f t="shared" si="77"/>
        <v>0</v>
      </c>
      <c r="Z183" s="377">
        <f t="shared" si="78"/>
        <v>0</v>
      </c>
      <c r="AA183" s="377">
        <f t="shared" si="79"/>
        <v>0</v>
      </c>
      <c r="AB183" s="377">
        <f t="shared" si="80"/>
        <v>0</v>
      </c>
      <c r="AC183" s="377">
        <f t="shared" si="81"/>
        <v>0</v>
      </c>
      <c r="AD183" s="376"/>
      <c r="AE183" s="332">
        <v>168</v>
      </c>
      <c r="AF183" s="350">
        <v>593666.69555568916</v>
      </c>
      <c r="AG183" s="350">
        <v>591527.30972349108</v>
      </c>
      <c r="AH183" s="350">
        <v>589213.66883260594</v>
      </c>
      <c r="AI183" s="350">
        <v>586437.96131268214</v>
      </c>
      <c r="AJ183" s="350">
        <v>582945.21745587059</v>
      </c>
      <c r="AK183" s="348">
        <v>2943790.8528803387</v>
      </c>
      <c r="AL183" s="369"/>
      <c r="AM183" s="350">
        <v>13714738.344442213</v>
      </c>
      <c r="AN183" s="350">
        <v>13588347.291132992</v>
      </c>
      <c r="AO183" s="350">
        <v>13450441.897209847</v>
      </c>
      <c r="AP183" s="350">
        <v>13275315.934265064</v>
      </c>
      <c r="AQ183" s="350">
        <v>13040982.89089738</v>
      </c>
      <c r="AR183" s="348">
        <v>67069826.357947491</v>
      </c>
      <c r="AS183" s="369"/>
      <c r="AT183" s="350">
        <f t="shared" si="99"/>
        <v>13121071.648886524</v>
      </c>
      <c r="AU183" s="350">
        <f t="shared" si="82"/>
        <v>12996819.981409501</v>
      </c>
      <c r="AV183" s="350">
        <f t="shared" si="83"/>
        <v>12861228.228377242</v>
      </c>
      <c r="AW183" s="350">
        <f t="shared" si="84"/>
        <v>12688877.972952383</v>
      </c>
      <c r="AX183" s="350">
        <f t="shared" si="85"/>
        <v>12458037.673441509</v>
      </c>
      <c r="AY183" s="350">
        <f t="shared" si="86"/>
        <v>64126035.505067155</v>
      </c>
      <c r="AZ183" s="365"/>
      <c r="BA183" s="377">
        <f t="shared" si="87"/>
        <v>0</v>
      </c>
      <c r="BB183" s="377">
        <f t="shared" si="88"/>
        <v>0</v>
      </c>
      <c r="BC183" s="377">
        <f t="shared" si="89"/>
        <v>0</v>
      </c>
      <c r="BD183" s="377">
        <f t="shared" si="90"/>
        <v>0</v>
      </c>
      <c r="BE183" s="377">
        <f t="shared" si="91"/>
        <v>0</v>
      </c>
      <c r="BF183" s="377">
        <f t="shared" si="92"/>
        <v>0</v>
      </c>
      <c r="BG183" s="328"/>
    </row>
    <row r="184" spans="2:59">
      <c r="B184" s="332">
        <v>169</v>
      </c>
      <c r="C184" s="350">
        <v>4024930.3674710258</v>
      </c>
      <c r="D184" s="350">
        <v>4010425.7993889456</v>
      </c>
      <c r="E184" s="350">
        <v>3994739.8201166373</v>
      </c>
      <c r="F184" s="350">
        <v>3975921.1301483521</v>
      </c>
      <c r="G184" s="350">
        <v>3952241.090623952</v>
      </c>
      <c r="H184" s="348">
        <v>19958258.207748912</v>
      </c>
      <c r="I184" s="369"/>
      <c r="J184" s="350">
        <v>16747184.36298861</v>
      </c>
      <c r="K184" s="350">
        <v>16439739.367626205</v>
      </c>
      <c r="L184" s="350">
        <v>16121360.580667472</v>
      </c>
      <c r="M184" s="350">
        <v>15765602.751639415</v>
      </c>
      <c r="N184" s="350">
        <v>15350152.549740784</v>
      </c>
      <c r="O184" s="348">
        <v>80424039.612662494</v>
      </c>
      <c r="P184" s="369"/>
      <c r="Q184" s="350">
        <f t="shared" si="93"/>
        <v>12722253.995517584</v>
      </c>
      <c r="R184" s="350">
        <f t="shared" si="94"/>
        <v>12429313.56823726</v>
      </c>
      <c r="S184" s="350">
        <f t="shared" si="95"/>
        <v>12126620.760550834</v>
      </c>
      <c r="T184" s="350">
        <f t="shared" si="96"/>
        <v>11789681.621491063</v>
      </c>
      <c r="U184" s="350">
        <f t="shared" si="97"/>
        <v>11397911.459116831</v>
      </c>
      <c r="V184" s="350">
        <f t="shared" si="98"/>
        <v>60465781.404913582</v>
      </c>
      <c r="W184" s="365"/>
      <c r="X184" s="377">
        <f t="shared" si="76"/>
        <v>0</v>
      </c>
      <c r="Y184" s="377">
        <f t="shared" si="77"/>
        <v>0</v>
      </c>
      <c r="Z184" s="377">
        <f t="shared" si="78"/>
        <v>0</v>
      </c>
      <c r="AA184" s="377">
        <f t="shared" si="79"/>
        <v>0</v>
      </c>
      <c r="AB184" s="377">
        <f t="shared" si="80"/>
        <v>0</v>
      </c>
      <c r="AC184" s="377">
        <f t="shared" si="81"/>
        <v>0</v>
      </c>
      <c r="AD184" s="376"/>
      <c r="AE184" s="332">
        <v>169</v>
      </c>
      <c r="AF184" s="350">
        <v>295796.83038200857</v>
      </c>
      <c r="AG184" s="350">
        <v>294730.87274472526</v>
      </c>
      <c r="AH184" s="350">
        <v>293578.09182019409</v>
      </c>
      <c r="AI184" s="350">
        <v>292195.08433028858</v>
      </c>
      <c r="AJ184" s="350">
        <v>290454.81058760535</v>
      </c>
      <c r="AK184" s="348">
        <v>1466755.6898648222</v>
      </c>
      <c r="AL184" s="369"/>
      <c r="AM184" s="350">
        <v>10196245.616321314</v>
      </c>
      <c r="AN184" s="350">
        <v>10109033.684090249</v>
      </c>
      <c r="AO184" s="350">
        <v>10013123.484581331</v>
      </c>
      <c r="AP184" s="350">
        <v>9889185.5572216548</v>
      </c>
      <c r="AQ184" s="350">
        <v>9720673.9682386201</v>
      </c>
      <c r="AR184" s="348">
        <v>49928262.310453176</v>
      </c>
      <c r="AS184" s="369"/>
      <c r="AT184" s="350">
        <f t="shared" si="99"/>
        <v>9900448.785939306</v>
      </c>
      <c r="AU184" s="350">
        <f t="shared" si="82"/>
        <v>9814302.8113455232</v>
      </c>
      <c r="AV184" s="350">
        <f t="shared" si="83"/>
        <v>9719545.3927611373</v>
      </c>
      <c r="AW184" s="350">
        <f t="shared" si="84"/>
        <v>9596990.4728913661</v>
      </c>
      <c r="AX184" s="350">
        <f t="shared" si="85"/>
        <v>9430219.1576510146</v>
      </c>
      <c r="AY184" s="350">
        <f t="shared" si="86"/>
        <v>48461506.620588355</v>
      </c>
      <c r="AZ184" s="365"/>
      <c r="BA184" s="377">
        <f t="shared" si="87"/>
        <v>0</v>
      </c>
      <c r="BB184" s="377">
        <f t="shared" si="88"/>
        <v>0</v>
      </c>
      <c r="BC184" s="377">
        <f t="shared" si="89"/>
        <v>0</v>
      </c>
      <c r="BD184" s="377">
        <f t="shared" si="90"/>
        <v>0</v>
      </c>
      <c r="BE184" s="377">
        <f t="shared" si="91"/>
        <v>0</v>
      </c>
      <c r="BF184" s="377">
        <f t="shared" si="92"/>
        <v>0</v>
      </c>
      <c r="BG184" s="328"/>
    </row>
    <row r="185" spans="2:59">
      <c r="B185" s="332">
        <v>170</v>
      </c>
      <c r="C185" s="350">
        <v>7486498.0251901662</v>
      </c>
      <c r="D185" s="350">
        <v>7459519.0689378222</v>
      </c>
      <c r="E185" s="350">
        <v>7430342.6504351851</v>
      </c>
      <c r="F185" s="350">
        <v>7395339.290768927</v>
      </c>
      <c r="G185" s="350">
        <v>7351293.6668822113</v>
      </c>
      <c r="H185" s="348">
        <v>37122992.702214308</v>
      </c>
      <c r="I185" s="369"/>
      <c r="J185" s="350">
        <v>25287957.095453709</v>
      </c>
      <c r="K185" s="350">
        <v>24758351.651841499</v>
      </c>
      <c r="L185" s="350">
        <v>24213571.207973409</v>
      </c>
      <c r="M185" s="350">
        <v>23615795.080195665</v>
      </c>
      <c r="N185" s="350">
        <v>22933266.553192176</v>
      </c>
      <c r="O185" s="348">
        <v>120808941.58865646</v>
      </c>
      <c r="P185" s="369"/>
      <c r="Q185" s="350">
        <f t="shared" si="93"/>
        <v>17801459.070263542</v>
      </c>
      <c r="R185" s="350">
        <f t="shared" si="94"/>
        <v>17298832.582903676</v>
      </c>
      <c r="S185" s="350">
        <f t="shared" si="95"/>
        <v>16783228.557538226</v>
      </c>
      <c r="T185" s="350">
        <f t="shared" si="96"/>
        <v>16220455.789426738</v>
      </c>
      <c r="U185" s="350">
        <f t="shared" si="97"/>
        <v>15581972.886309965</v>
      </c>
      <c r="V185" s="350">
        <f t="shared" si="98"/>
        <v>83685948.886442155</v>
      </c>
      <c r="W185" s="365"/>
      <c r="X185" s="377">
        <f t="shared" si="76"/>
        <v>0</v>
      </c>
      <c r="Y185" s="377">
        <f t="shared" si="77"/>
        <v>0</v>
      </c>
      <c r="Z185" s="377">
        <f t="shared" si="78"/>
        <v>0</v>
      </c>
      <c r="AA185" s="377">
        <f t="shared" si="79"/>
        <v>0</v>
      </c>
      <c r="AB185" s="377">
        <f t="shared" si="80"/>
        <v>0</v>
      </c>
      <c r="AC185" s="377">
        <f t="shared" si="81"/>
        <v>0</v>
      </c>
      <c r="AD185" s="376"/>
      <c r="AE185" s="332">
        <v>170</v>
      </c>
      <c r="AF185" s="350">
        <v>460973.22633167193</v>
      </c>
      <c r="AG185" s="350">
        <v>459312.0255319312</v>
      </c>
      <c r="AH185" s="350">
        <v>457515.5183099017</v>
      </c>
      <c r="AI185" s="350">
        <v>455360.22332638467</v>
      </c>
      <c r="AJ185" s="350">
        <v>452648.16045259062</v>
      </c>
      <c r="AK185" s="348">
        <v>2285809.1539524803</v>
      </c>
      <c r="AL185" s="369"/>
      <c r="AM185" s="350">
        <v>16760285.169139197</v>
      </c>
      <c r="AN185" s="350">
        <v>16618100.241279535</v>
      </c>
      <c r="AO185" s="350">
        <v>16461593.439380486</v>
      </c>
      <c r="AP185" s="350">
        <v>16258953.737498252</v>
      </c>
      <c r="AQ185" s="350">
        <v>15982948.727175567</v>
      </c>
      <c r="AR185" s="348">
        <v>82081881.314473033</v>
      </c>
      <c r="AS185" s="369"/>
      <c r="AT185" s="350">
        <f t="shared" si="99"/>
        <v>16299311.942807525</v>
      </c>
      <c r="AU185" s="350">
        <f t="shared" si="82"/>
        <v>16158788.215747604</v>
      </c>
      <c r="AV185" s="350">
        <f t="shared" si="83"/>
        <v>16004077.921070583</v>
      </c>
      <c r="AW185" s="350">
        <f t="shared" si="84"/>
        <v>15803593.514171867</v>
      </c>
      <c r="AX185" s="350">
        <f t="shared" si="85"/>
        <v>15530300.566722976</v>
      </c>
      <c r="AY185" s="350">
        <f t="shared" si="86"/>
        <v>79796072.160520554</v>
      </c>
      <c r="AZ185" s="365"/>
      <c r="BA185" s="377">
        <f t="shared" si="87"/>
        <v>0</v>
      </c>
      <c r="BB185" s="377">
        <f t="shared" si="88"/>
        <v>0</v>
      </c>
      <c r="BC185" s="377">
        <f t="shared" si="89"/>
        <v>0</v>
      </c>
      <c r="BD185" s="377">
        <f t="shared" si="90"/>
        <v>0</v>
      </c>
      <c r="BE185" s="377">
        <f t="shared" si="91"/>
        <v>0</v>
      </c>
      <c r="BF185" s="377">
        <f t="shared" si="92"/>
        <v>0</v>
      </c>
      <c r="BG185" s="328"/>
    </row>
    <row r="186" spans="2:59">
      <c r="B186" s="332">
        <v>171</v>
      </c>
      <c r="C186" s="350">
        <v>3196389.1275089076</v>
      </c>
      <c r="D186" s="350">
        <v>3184870.3583665974</v>
      </c>
      <c r="E186" s="350">
        <v>3172413.3742643259</v>
      </c>
      <c r="F186" s="350">
        <v>3157468.5552198216</v>
      </c>
      <c r="G186" s="350">
        <v>3138663.1066867243</v>
      </c>
      <c r="H186" s="348">
        <v>15849804.522046378</v>
      </c>
      <c r="I186" s="369"/>
      <c r="J186" s="350">
        <v>10717109.498731153</v>
      </c>
      <c r="K186" s="350">
        <v>10491566.707821514</v>
      </c>
      <c r="L186" s="350">
        <v>10259615.0569386</v>
      </c>
      <c r="M186" s="350">
        <v>10005261.378266312</v>
      </c>
      <c r="N186" s="350">
        <v>9715079.4986679144</v>
      </c>
      <c r="O186" s="348">
        <v>51188632.140425488</v>
      </c>
      <c r="P186" s="369"/>
      <c r="Q186" s="350">
        <f t="shared" si="93"/>
        <v>7520720.3712222455</v>
      </c>
      <c r="R186" s="350">
        <f t="shared" si="94"/>
        <v>7306696.349454917</v>
      </c>
      <c r="S186" s="350">
        <f t="shared" si="95"/>
        <v>7087201.6826742738</v>
      </c>
      <c r="T186" s="350">
        <f t="shared" si="96"/>
        <v>6847792.8230464906</v>
      </c>
      <c r="U186" s="350">
        <f t="shared" si="97"/>
        <v>6576416.3919811901</v>
      </c>
      <c r="V186" s="350">
        <f t="shared" si="98"/>
        <v>35338827.618379109</v>
      </c>
      <c r="W186" s="365"/>
      <c r="X186" s="377">
        <f t="shared" si="76"/>
        <v>0</v>
      </c>
      <c r="Y186" s="377">
        <f t="shared" si="77"/>
        <v>0</v>
      </c>
      <c r="Z186" s="377">
        <f t="shared" si="78"/>
        <v>0</v>
      </c>
      <c r="AA186" s="377">
        <f t="shared" si="79"/>
        <v>0</v>
      </c>
      <c r="AB186" s="377">
        <f t="shared" si="80"/>
        <v>0</v>
      </c>
      <c r="AC186" s="377">
        <f t="shared" si="81"/>
        <v>0</v>
      </c>
      <c r="AD186" s="376"/>
      <c r="AE186" s="332">
        <v>171</v>
      </c>
      <c r="AF186" s="350">
        <v>528501.41769920278</v>
      </c>
      <c r="AG186" s="350">
        <v>526596.86678909324</v>
      </c>
      <c r="AH186" s="350">
        <v>524537.18835330871</v>
      </c>
      <c r="AI186" s="350">
        <v>522066.16316294495</v>
      </c>
      <c r="AJ186" s="350">
        <v>518956.80888418213</v>
      </c>
      <c r="AK186" s="348">
        <v>2620658.4448887319</v>
      </c>
      <c r="AL186" s="369"/>
      <c r="AM186" s="350">
        <v>14598527.314401107</v>
      </c>
      <c r="AN186" s="350">
        <v>14468789.901711222</v>
      </c>
      <c r="AO186" s="350">
        <v>14326698.171656048</v>
      </c>
      <c r="AP186" s="350">
        <v>14144734.394453354</v>
      </c>
      <c r="AQ186" s="350">
        <v>13899353.116402267</v>
      </c>
      <c r="AR186" s="348">
        <v>71438102.898624003</v>
      </c>
      <c r="AS186" s="369"/>
      <c r="AT186" s="350">
        <f t="shared" si="99"/>
        <v>14070025.896701904</v>
      </c>
      <c r="AU186" s="350">
        <f t="shared" si="82"/>
        <v>13942193.034922129</v>
      </c>
      <c r="AV186" s="350">
        <f t="shared" si="83"/>
        <v>13802160.983302739</v>
      </c>
      <c r="AW186" s="350">
        <f t="shared" si="84"/>
        <v>13622668.231290409</v>
      </c>
      <c r="AX186" s="350">
        <f t="shared" si="85"/>
        <v>13380396.307518084</v>
      </c>
      <c r="AY186" s="350">
        <f t="shared" si="86"/>
        <v>68817444.453735277</v>
      </c>
      <c r="AZ186" s="365"/>
      <c r="BA186" s="377">
        <f t="shared" si="87"/>
        <v>0</v>
      </c>
      <c r="BB186" s="377">
        <f t="shared" si="88"/>
        <v>0</v>
      </c>
      <c r="BC186" s="377">
        <f t="shared" si="89"/>
        <v>0</v>
      </c>
      <c r="BD186" s="377">
        <f t="shared" si="90"/>
        <v>0</v>
      </c>
      <c r="BE186" s="377">
        <f t="shared" si="91"/>
        <v>0</v>
      </c>
      <c r="BF186" s="377">
        <f t="shared" si="92"/>
        <v>0</v>
      </c>
      <c r="BG186" s="328"/>
    </row>
    <row r="187" spans="2:59">
      <c r="B187" s="332">
        <v>172</v>
      </c>
      <c r="C187" s="350">
        <v>6253583.7385088997</v>
      </c>
      <c r="D187" s="350">
        <v>6231047.8129621474</v>
      </c>
      <c r="E187" s="350">
        <v>6206676.3143412815</v>
      </c>
      <c r="F187" s="350">
        <v>6177437.4846420614</v>
      </c>
      <c r="G187" s="350">
        <v>6140645.5164396185</v>
      </c>
      <c r="H187" s="348">
        <v>31009390.866894007</v>
      </c>
      <c r="I187" s="369"/>
      <c r="J187" s="350">
        <v>21726693.268974192</v>
      </c>
      <c r="K187" s="350">
        <v>21279957.831857413</v>
      </c>
      <c r="L187" s="350">
        <v>20820015.255713094</v>
      </c>
      <c r="M187" s="350">
        <v>20314103.460538767</v>
      </c>
      <c r="N187" s="350">
        <v>19734692.559396014</v>
      </c>
      <c r="O187" s="348">
        <v>103875462.37647949</v>
      </c>
      <c r="P187" s="369"/>
      <c r="Q187" s="350">
        <f t="shared" si="93"/>
        <v>15473109.530465294</v>
      </c>
      <c r="R187" s="350">
        <f t="shared" si="94"/>
        <v>15048910.018895265</v>
      </c>
      <c r="S187" s="350">
        <f t="shared" si="95"/>
        <v>14613338.941371813</v>
      </c>
      <c r="T187" s="350">
        <f t="shared" si="96"/>
        <v>14136665.975896705</v>
      </c>
      <c r="U187" s="350">
        <f t="shared" si="97"/>
        <v>13594047.042956395</v>
      </c>
      <c r="V187" s="350">
        <f t="shared" si="98"/>
        <v>72866071.509585485</v>
      </c>
      <c r="W187" s="365"/>
      <c r="X187" s="377">
        <f t="shared" si="76"/>
        <v>0</v>
      </c>
      <c r="Y187" s="377">
        <f t="shared" si="77"/>
        <v>0</v>
      </c>
      <c r="Z187" s="377">
        <f t="shared" si="78"/>
        <v>0</v>
      </c>
      <c r="AA187" s="377">
        <f t="shared" si="79"/>
        <v>0</v>
      </c>
      <c r="AB187" s="377">
        <f t="shared" si="80"/>
        <v>0</v>
      </c>
      <c r="AC187" s="377">
        <f t="shared" si="81"/>
        <v>0</v>
      </c>
      <c r="AD187" s="376"/>
      <c r="AE187" s="332">
        <v>172</v>
      </c>
      <c r="AF187" s="350">
        <v>446603.42310284381</v>
      </c>
      <c r="AG187" s="350">
        <v>444994.00650064915</v>
      </c>
      <c r="AH187" s="350">
        <v>443253.50134946691</v>
      </c>
      <c r="AI187" s="350">
        <v>441165.39283805736</v>
      </c>
      <c r="AJ187" s="350">
        <v>438537.87242272828</v>
      </c>
      <c r="AK187" s="348">
        <v>2214554.1962137455</v>
      </c>
      <c r="AL187" s="369"/>
      <c r="AM187" s="350">
        <v>12771942.814972617</v>
      </c>
      <c r="AN187" s="350">
        <v>12659170.02612989</v>
      </c>
      <c r="AO187" s="350">
        <v>12535573.764339438</v>
      </c>
      <c r="AP187" s="350">
        <v>12377055.717457915</v>
      </c>
      <c r="AQ187" s="350">
        <v>12162994.794378826</v>
      </c>
      <c r="AR187" s="348">
        <v>62506737.11727868</v>
      </c>
      <c r="AS187" s="369"/>
      <c r="AT187" s="350">
        <f t="shared" si="99"/>
        <v>12325339.391869772</v>
      </c>
      <c r="AU187" s="350">
        <f t="shared" si="82"/>
        <v>12214176.019629242</v>
      </c>
      <c r="AV187" s="350">
        <f t="shared" si="83"/>
        <v>12092320.26298997</v>
      </c>
      <c r="AW187" s="350">
        <f t="shared" si="84"/>
        <v>11935890.324619858</v>
      </c>
      <c r="AX187" s="350">
        <f t="shared" si="85"/>
        <v>11724456.921956098</v>
      </c>
      <c r="AY187" s="350">
        <f t="shared" si="86"/>
        <v>60292182.921064936</v>
      </c>
      <c r="AZ187" s="365"/>
      <c r="BA187" s="377">
        <f t="shared" si="87"/>
        <v>0</v>
      </c>
      <c r="BB187" s="377">
        <f t="shared" si="88"/>
        <v>0</v>
      </c>
      <c r="BC187" s="377">
        <f t="shared" si="89"/>
        <v>0</v>
      </c>
      <c r="BD187" s="377">
        <f t="shared" si="90"/>
        <v>0</v>
      </c>
      <c r="BE187" s="377">
        <f t="shared" si="91"/>
        <v>0</v>
      </c>
      <c r="BF187" s="377">
        <f t="shared" si="92"/>
        <v>0</v>
      </c>
      <c r="BG187" s="328"/>
    </row>
    <row r="188" spans="2:59">
      <c r="B188" s="332">
        <v>173</v>
      </c>
      <c r="C188" s="350">
        <v>4415781.2361038011</v>
      </c>
      <c r="D188" s="350">
        <v>4399868.1658821953</v>
      </c>
      <c r="E188" s="350">
        <v>4382658.9605999449</v>
      </c>
      <c r="F188" s="350">
        <v>4362012.8349621929</v>
      </c>
      <c r="G188" s="350">
        <v>4336033.2863351833</v>
      </c>
      <c r="H188" s="348">
        <v>21896354.483883314</v>
      </c>
      <c r="I188" s="369"/>
      <c r="J188" s="350">
        <v>17303562.323847182</v>
      </c>
      <c r="K188" s="350">
        <v>16973973.268993162</v>
      </c>
      <c r="L188" s="350">
        <v>16633330.790668542</v>
      </c>
      <c r="M188" s="350">
        <v>16254696.368872689</v>
      </c>
      <c r="N188" s="350">
        <v>15815368.7075516</v>
      </c>
      <c r="O188" s="348">
        <v>82980931.459933177</v>
      </c>
      <c r="P188" s="369"/>
      <c r="Q188" s="350">
        <f t="shared" si="93"/>
        <v>12887781.087743381</v>
      </c>
      <c r="R188" s="350">
        <f t="shared" si="94"/>
        <v>12574105.103110965</v>
      </c>
      <c r="S188" s="350">
        <f t="shared" si="95"/>
        <v>12250671.830068596</v>
      </c>
      <c r="T188" s="350">
        <f t="shared" si="96"/>
        <v>11892683.533910496</v>
      </c>
      <c r="U188" s="350">
        <f t="shared" si="97"/>
        <v>11479335.421216417</v>
      </c>
      <c r="V188" s="350">
        <f t="shared" si="98"/>
        <v>61084576.976049863</v>
      </c>
      <c r="W188" s="365"/>
      <c r="X188" s="377">
        <f t="shared" si="76"/>
        <v>0</v>
      </c>
      <c r="Y188" s="377">
        <f t="shared" si="77"/>
        <v>0</v>
      </c>
      <c r="Z188" s="377">
        <f t="shared" si="78"/>
        <v>0</v>
      </c>
      <c r="AA188" s="377">
        <f t="shared" si="79"/>
        <v>0</v>
      </c>
      <c r="AB188" s="377">
        <f t="shared" si="80"/>
        <v>0</v>
      </c>
      <c r="AC188" s="377">
        <f t="shared" si="81"/>
        <v>0</v>
      </c>
      <c r="AD188" s="376"/>
      <c r="AE188" s="332">
        <v>173</v>
      </c>
      <c r="AF188" s="350">
        <v>367580.57855025085</v>
      </c>
      <c r="AG188" s="350">
        <v>366255.93513024994</v>
      </c>
      <c r="AH188" s="350">
        <v>364823.39821417263</v>
      </c>
      <c r="AI188" s="350">
        <v>363104.76352622744</v>
      </c>
      <c r="AJ188" s="350">
        <v>360942.16148500482</v>
      </c>
      <c r="AK188" s="348">
        <v>1822706.8369059055</v>
      </c>
      <c r="AL188" s="369"/>
      <c r="AM188" s="350">
        <v>10478647.569494568</v>
      </c>
      <c r="AN188" s="350">
        <v>10386069.762112133</v>
      </c>
      <c r="AO188" s="350">
        <v>10284613.021715177</v>
      </c>
      <c r="AP188" s="350">
        <v>10154507.813665057</v>
      </c>
      <c r="AQ188" s="350">
        <v>9978837.3188139796</v>
      </c>
      <c r="AR188" s="348">
        <v>51282675.485800914</v>
      </c>
      <c r="AS188" s="369"/>
      <c r="AT188" s="350">
        <f t="shared" si="99"/>
        <v>10111066.990944317</v>
      </c>
      <c r="AU188" s="350">
        <f t="shared" si="82"/>
        <v>10019813.826981883</v>
      </c>
      <c r="AV188" s="350">
        <f t="shared" si="83"/>
        <v>9919789.6235010047</v>
      </c>
      <c r="AW188" s="350">
        <f t="shared" si="84"/>
        <v>9791403.0501388293</v>
      </c>
      <c r="AX188" s="350">
        <f t="shared" si="85"/>
        <v>9617895.1573289745</v>
      </c>
      <c r="AY188" s="350">
        <f t="shared" si="86"/>
        <v>49459968.64889501</v>
      </c>
      <c r="AZ188" s="365"/>
      <c r="BA188" s="377">
        <f t="shared" si="87"/>
        <v>0</v>
      </c>
      <c r="BB188" s="377">
        <f t="shared" si="88"/>
        <v>0</v>
      </c>
      <c r="BC188" s="377">
        <f t="shared" si="89"/>
        <v>0</v>
      </c>
      <c r="BD188" s="377">
        <f t="shared" si="90"/>
        <v>0</v>
      </c>
      <c r="BE188" s="377">
        <f t="shared" si="91"/>
        <v>0</v>
      </c>
      <c r="BF188" s="377">
        <f t="shared" si="92"/>
        <v>0</v>
      </c>
      <c r="BG188" s="328"/>
    </row>
    <row r="189" spans="2:59">
      <c r="B189" s="332">
        <v>174</v>
      </c>
      <c r="C189" s="350">
        <v>6257145.2544862125</v>
      </c>
      <c r="D189" s="350">
        <v>6234596.494369355</v>
      </c>
      <c r="E189" s="350">
        <v>6210211.1157901566</v>
      </c>
      <c r="F189" s="350">
        <v>6180955.6341096889</v>
      </c>
      <c r="G189" s="350">
        <v>6144142.7122927969</v>
      </c>
      <c r="H189" s="348">
        <v>31027051.211048216</v>
      </c>
      <c r="I189" s="369"/>
      <c r="J189" s="350">
        <v>19730569.940630041</v>
      </c>
      <c r="K189" s="350">
        <v>19298056.048674736</v>
      </c>
      <c r="L189" s="350">
        <v>18854096.118560527</v>
      </c>
      <c r="M189" s="350">
        <v>18369804.315667316</v>
      </c>
      <c r="N189" s="350">
        <v>17820974.424242046</v>
      </c>
      <c r="O189" s="348">
        <v>94073500.84777467</v>
      </c>
      <c r="P189" s="369"/>
      <c r="Q189" s="350">
        <f t="shared" si="93"/>
        <v>13473424.686143829</v>
      </c>
      <c r="R189" s="350">
        <f t="shared" si="94"/>
        <v>13063459.554305382</v>
      </c>
      <c r="S189" s="350">
        <f t="shared" si="95"/>
        <v>12643885.00277037</v>
      </c>
      <c r="T189" s="350">
        <f t="shared" si="96"/>
        <v>12188848.681557627</v>
      </c>
      <c r="U189" s="350">
        <f t="shared" si="97"/>
        <v>11676831.711949248</v>
      </c>
      <c r="V189" s="350">
        <f t="shared" si="98"/>
        <v>63046449.636726454</v>
      </c>
      <c r="W189" s="365"/>
      <c r="X189" s="377">
        <f t="shared" si="76"/>
        <v>0</v>
      </c>
      <c r="Y189" s="377">
        <f t="shared" si="77"/>
        <v>0</v>
      </c>
      <c r="Z189" s="377">
        <f t="shared" si="78"/>
        <v>0</v>
      </c>
      <c r="AA189" s="377">
        <f t="shared" si="79"/>
        <v>0</v>
      </c>
      <c r="AB189" s="377">
        <f t="shared" si="80"/>
        <v>0</v>
      </c>
      <c r="AC189" s="377">
        <f t="shared" si="81"/>
        <v>0</v>
      </c>
      <c r="AD189" s="376"/>
      <c r="AE189" s="332">
        <v>174</v>
      </c>
      <c r="AF189" s="350">
        <v>386890.61237831222</v>
      </c>
      <c r="AG189" s="350">
        <v>385496.38174194854</v>
      </c>
      <c r="AH189" s="350">
        <v>383988.58966299385</v>
      </c>
      <c r="AI189" s="350">
        <v>382179.67029762297</v>
      </c>
      <c r="AJ189" s="350">
        <v>379903.46073464997</v>
      </c>
      <c r="AK189" s="348">
        <v>1918458.7148155274</v>
      </c>
      <c r="AL189" s="369"/>
      <c r="AM189" s="350">
        <v>11996403.411331704</v>
      </c>
      <c r="AN189" s="350">
        <v>11891990.671439128</v>
      </c>
      <c r="AO189" s="350">
        <v>11777380.802644838</v>
      </c>
      <c r="AP189" s="350">
        <v>11629889.95307157</v>
      </c>
      <c r="AQ189" s="350">
        <v>11430104.399783134</v>
      </c>
      <c r="AR189" s="348">
        <v>58725769.23827038</v>
      </c>
      <c r="AS189" s="369"/>
      <c r="AT189" s="350">
        <f t="shared" si="99"/>
        <v>11609512.798953392</v>
      </c>
      <c r="AU189" s="350">
        <f t="shared" si="82"/>
        <v>11506494.28969718</v>
      </c>
      <c r="AV189" s="350">
        <f t="shared" si="83"/>
        <v>11393392.212981844</v>
      </c>
      <c r="AW189" s="350">
        <f t="shared" si="84"/>
        <v>11247710.282773947</v>
      </c>
      <c r="AX189" s="350">
        <f t="shared" si="85"/>
        <v>11050200.939048484</v>
      </c>
      <c r="AY189" s="350">
        <f t="shared" si="86"/>
        <v>56807310.523454852</v>
      </c>
      <c r="AZ189" s="365"/>
      <c r="BA189" s="377">
        <f t="shared" si="87"/>
        <v>0</v>
      </c>
      <c r="BB189" s="377">
        <f t="shared" si="88"/>
        <v>0</v>
      </c>
      <c r="BC189" s="377">
        <f t="shared" si="89"/>
        <v>0</v>
      </c>
      <c r="BD189" s="377">
        <f t="shared" si="90"/>
        <v>0</v>
      </c>
      <c r="BE189" s="377">
        <f t="shared" si="91"/>
        <v>0</v>
      </c>
      <c r="BF189" s="377">
        <f t="shared" si="92"/>
        <v>0</v>
      </c>
      <c r="BG189" s="328"/>
    </row>
    <row r="190" spans="2:59">
      <c r="B190" s="332">
        <v>175</v>
      </c>
      <c r="C190" s="350">
        <v>4595823.7488849526</v>
      </c>
      <c r="D190" s="350">
        <v>4579261.862747075</v>
      </c>
      <c r="E190" s="350">
        <v>4561350.9948605616</v>
      </c>
      <c r="F190" s="350">
        <v>4539863.0747270538</v>
      </c>
      <c r="G190" s="350">
        <v>4512824.2745280946</v>
      </c>
      <c r="H190" s="348">
        <v>22789123.955747735</v>
      </c>
      <c r="I190" s="369"/>
      <c r="J190" s="350">
        <v>19578724.125001639</v>
      </c>
      <c r="K190" s="350">
        <v>19224383.842334479</v>
      </c>
      <c r="L190" s="350">
        <v>18857157.271577016</v>
      </c>
      <c r="M190" s="350">
        <v>18445963.651587576</v>
      </c>
      <c r="N190" s="350">
        <v>17964566.376123834</v>
      </c>
      <c r="O190" s="348">
        <v>94070795.26662454</v>
      </c>
      <c r="P190" s="369"/>
      <c r="Q190" s="350">
        <f t="shared" si="93"/>
        <v>14982900.376116686</v>
      </c>
      <c r="R190" s="350">
        <f t="shared" si="94"/>
        <v>14645121.979587404</v>
      </c>
      <c r="S190" s="350">
        <f t="shared" si="95"/>
        <v>14295806.276716454</v>
      </c>
      <c r="T190" s="350">
        <f t="shared" si="96"/>
        <v>13906100.576860521</v>
      </c>
      <c r="U190" s="350">
        <f t="shared" si="97"/>
        <v>13451742.101595741</v>
      </c>
      <c r="V190" s="350">
        <f t="shared" si="98"/>
        <v>71281671.310876802</v>
      </c>
      <c r="W190" s="365"/>
      <c r="X190" s="377">
        <f t="shared" si="76"/>
        <v>0</v>
      </c>
      <c r="Y190" s="377">
        <f t="shared" si="77"/>
        <v>0</v>
      </c>
      <c r="Z190" s="377">
        <f t="shared" si="78"/>
        <v>0</v>
      </c>
      <c r="AA190" s="377">
        <f t="shared" si="79"/>
        <v>0</v>
      </c>
      <c r="AB190" s="377">
        <f t="shared" si="80"/>
        <v>0</v>
      </c>
      <c r="AC190" s="377">
        <f t="shared" si="81"/>
        <v>0</v>
      </c>
      <c r="AD190" s="376"/>
      <c r="AE190" s="332">
        <v>175</v>
      </c>
      <c r="AF190" s="350">
        <v>501628.86318304803</v>
      </c>
      <c r="AG190" s="350">
        <v>499821.1524070361</v>
      </c>
      <c r="AH190" s="350">
        <v>497866.20182854333</v>
      </c>
      <c r="AI190" s="350">
        <v>495520.82012165012</v>
      </c>
      <c r="AJ190" s="350">
        <v>492569.56625580537</v>
      </c>
      <c r="AK190" s="348">
        <v>2487406.603796083</v>
      </c>
      <c r="AL190" s="369"/>
      <c r="AM190" s="350">
        <v>18346462.031056534</v>
      </c>
      <c r="AN190" s="350">
        <v>18190958.67813367</v>
      </c>
      <c r="AO190" s="350">
        <v>18019775.228919096</v>
      </c>
      <c r="AP190" s="350">
        <v>17798085.64235745</v>
      </c>
      <c r="AQ190" s="350">
        <v>17496076.180008613</v>
      </c>
      <c r="AR190" s="348">
        <v>89851357.760475367</v>
      </c>
      <c r="AS190" s="369"/>
      <c r="AT190" s="350">
        <f t="shared" si="99"/>
        <v>17844833.167873487</v>
      </c>
      <c r="AU190" s="350">
        <f t="shared" si="82"/>
        <v>17691137.525726635</v>
      </c>
      <c r="AV190" s="350">
        <f t="shared" si="83"/>
        <v>17521909.027090553</v>
      </c>
      <c r="AW190" s="350">
        <f t="shared" si="84"/>
        <v>17302564.8222358</v>
      </c>
      <c r="AX190" s="350">
        <f t="shared" si="85"/>
        <v>17003506.613752808</v>
      </c>
      <c r="AY190" s="350">
        <f t="shared" si="86"/>
        <v>87363951.156679288</v>
      </c>
      <c r="AZ190" s="365"/>
      <c r="BA190" s="377">
        <f t="shared" si="87"/>
        <v>0</v>
      </c>
      <c r="BB190" s="377">
        <f t="shared" si="88"/>
        <v>0</v>
      </c>
      <c r="BC190" s="377">
        <f t="shared" si="89"/>
        <v>0</v>
      </c>
      <c r="BD190" s="377">
        <f t="shared" si="90"/>
        <v>0</v>
      </c>
      <c r="BE190" s="377">
        <f t="shared" si="91"/>
        <v>0</v>
      </c>
      <c r="BF190" s="377">
        <f t="shared" si="92"/>
        <v>0</v>
      </c>
      <c r="BG190" s="328"/>
    </row>
    <row r="191" spans="2:59">
      <c r="B191" s="332">
        <v>176</v>
      </c>
      <c r="C191" s="350">
        <v>8685871.458008185</v>
      </c>
      <c r="D191" s="350">
        <v>8654570.3416129649</v>
      </c>
      <c r="E191" s="350">
        <v>8620719.7188162599</v>
      </c>
      <c r="F191" s="350">
        <v>8580108.6505121551</v>
      </c>
      <c r="G191" s="350">
        <v>8529006.7032358032</v>
      </c>
      <c r="H191" s="348">
        <v>43070276.872185364</v>
      </c>
      <c r="I191" s="369"/>
      <c r="J191" s="350">
        <v>25178875.870927274</v>
      </c>
      <c r="K191" s="350">
        <v>24594410.103851721</v>
      </c>
      <c r="L191" s="350">
        <v>23996001.694508031</v>
      </c>
      <c r="M191" s="350">
        <v>23347838.678191487</v>
      </c>
      <c r="N191" s="350">
        <v>22619993.779365316</v>
      </c>
      <c r="O191" s="348">
        <v>119737120.12684382</v>
      </c>
      <c r="P191" s="369"/>
      <c r="Q191" s="350">
        <f t="shared" si="93"/>
        <v>16493004.412919089</v>
      </c>
      <c r="R191" s="350">
        <f t="shared" si="94"/>
        <v>15939839.762238756</v>
      </c>
      <c r="S191" s="350">
        <f t="shared" si="95"/>
        <v>15375281.975691771</v>
      </c>
      <c r="T191" s="350">
        <f t="shared" si="96"/>
        <v>14767730.027679332</v>
      </c>
      <c r="U191" s="350">
        <f t="shared" si="97"/>
        <v>14090987.076129513</v>
      </c>
      <c r="V191" s="350">
        <f t="shared" si="98"/>
        <v>76666843.254658461</v>
      </c>
      <c r="W191" s="365"/>
      <c r="X191" s="377">
        <f t="shared" si="76"/>
        <v>0</v>
      </c>
      <c r="Y191" s="377">
        <f t="shared" si="77"/>
        <v>0</v>
      </c>
      <c r="Z191" s="377">
        <f t="shared" si="78"/>
        <v>0</v>
      </c>
      <c r="AA191" s="377">
        <f t="shared" si="79"/>
        <v>0</v>
      </c>
      <c r="AB191" s="377">
        <f t="shared" si="80"/>
        <v>0</v>
      </c>
      <c r="AC191" s="377">
        <f t="shared" si="81"/>
        <v>0</v>
      </c>
      <c r="AD191" s="376"/>
      <c r="AE191" s="332">
        <v>176</v>
      </c>
      <c r="AF191" s="350">
        <v>648677.56240678765</v>
      </c>
      <c r="AG191" s="350">
        <v>646339.93491805193</v>
      </c>
      <c r="AH191" s="350">
        <v>643811.90539471945</v>
      </c>
      <c r="AI191" s="350">
        <v>640778.9928169084</v>
      </c>
      <c r="AJ191" s="350">
        <v>636962.60124886362</v>
      </c>
      <c r="AK191" s="348">
        <v>3216570.9967853311</v>
      </c>
      <c r="AL191" s="369"/>
      <c r="AM191" s="350">
        <v>19107530.643571671</v>
      </c>
      <c r="AN191" s="350">
        <v>18939719.474272158</v>
      </c>
      <c r="AO191" s="350">
        <v>18755697.350507885</v>
      </c>
      <c r="AP191" s="350">
        <v>18519382.7003548</v>
      </c>
      <c r="AQ191" s="350">
        <v>18199898.486282095</v>
      </c>
      <c r="AR191" s="348">
        <v>93522228.654988602</v>
      </c>
      <c r="AS191" s="369"/>
      <c r="AT191" s="350">
        <f t="shared" si="99"/>
        <v>18458853.081164882</v>
      </c>
      <c r="AU191" s="350">
        <f t="shared" si="82"/>
        <v>18293379.539354105</v>
      </c>
      <c r="AV191" s="350">
        <f t="shared" si="83"/>
        <v>18111885.445113167</v>
      </c>
      <c r="AW191" s="350">
        <f t="shared" si="84"/>
        <v>17878603.707537889</v>
      </c>
      <c r="AX191" s="350">
        <f t="shared" si="85"/>
        <v>17562935.885033231</v>
      </c>
      <c r="AY191" s="350">
        <f t="shared" si="86"/>
        <v>90305657.658203274</v>
      </c>
      <c r="AZ191" s="365"/>
      <c r="BA191" s="377">
        <f t="shared" si="87"/>
        <v>0</v>
      </c>
      <c r="BB191" s="377">
        <f t="shared" si="88"/>
        <v>0</v>
      </c>
      <c r="BC191" s="377">
        <f t="shared" si="89"/>
        <v>0</v>
      </c>
      <c r="BD191" s="377">
        <f t="shared" si="90"/>
        <v>0</v>
      </c>
      <c r="BE191" s="377">
        <f t="shared" si="91"/>
        <v>0</v>
      </c>
      <c r="BF191" s="377">
        <f t="shared" si="92"/>
        <v>0</v>
      </c>
      <c r="BG191" s="328"/>
    </row>
    <row r="192" spans="2:59">
      <c r="B192" s="332">
        <v>177</v>
      </c>
      <c r="C192" s="350">
        <v>4868371.3984639971</v>
      </c>
      <c r="D192" s="350">
        <v>4850827.337337235</v>
      </c>
      <c r="E192" s="350">
        <v>4831854.2953528622</v>
      </c>
      <c r="F192" s="350">
        <v>4809092.0700138612</v>
      </c>
      <c r="G192" s="350">
        <v>4780449.7789405072</v>
      </c>
      <c r="H192" s="348">
        <v>24140594.880108461</v>
      </c>
      <c r="I192" s="369"/>
      <c r="J192" s="350">
        <v>16071653.287593596</v>
      </c>
      <c r="K192" s="350">
        <v>15729944.53173268</v>
      </c>
      <c r="L192" s="350">
        <v>15378695.925420634</v>
      </c>
      <c r="M192" s="350">
        <v>14994036.061374262</v>
      </c>
      <c r="N192" s="350">
        <v>14555933.741541367</v>
      </c>
      <c r="O192" s="348">
        <v>76730263.547662541</v>
      </c>
      <c r="P192" s="369"/>
      <c r="Q192" s="350">
        <f t="shared" si="93"/>
        <v>11203281.889129598</v>
      </c>
      <c r="R192" s="350">
        <f t="shared" si="94"/>
        <v>10879117.194395445</v>
      </c>
      <c r="S192" s="350">
        <f t="shared" si="95"/>
        <v>10546841.630067773</v>
      </c>
      <c r="T192" s="350">
        <f t="shared" si="96"/>
        <v>10184943.9913604</v>
      </c>
      <c r="U192" s="350">
        <f t="shared" si="97"/>
        <v>9775483.9626008607</v>
      </c>
      <c r="V192" s="350">
        <f t="shared" si="98"/>
        <v>52589668.66755408</v>
      </c>
      <c r="W192" s="365"/>
      <c r="X192" s="377">
        <f t="shared" si="76"/>
        <v>0</v>
      </c>
      <c r="Y192" s="377">
        <f t="shared" si="77"/>
        <v>0</v>
      </c>
      <c r="Z192" s="377">
        <f t="shared" si="78"/>
        <v>0</v>
      </c>
      <c r="AA192" s="377">
        <f t="shared" si="79"/>
        <v>0</v>
      </c>
      <c r="AB192" s="377">
        <f t="shared" si="80"/>
        <v>0</v>
      </c>
      <c r="AC192" s="377">
        <f t="shared" si="81"/>
        <v>0</v>
      </c>
      <c r="AD192" s="376"/>
      <c r="AE192" s="332">
        <v>177</v>
      </c>
      <c r="AF192" s="350">
        <v>525593.42177642882</v>
      </c>
      <c r="AG192" s="350">
        <v>523699.35035813495</v>
      </c>
      <c r="AH192" s="350">
        <v>521651.00497897575</v>
      </c>
      <c r="AI192" s="350">
        <v>519193.57621605397</v>
      </c>
      <c r="AJ192" s="350">
        <v>516101.33067013888</v>
      </c>
      <c r="AK192" s="348">
        <v>2606238.6839997326</v>
      </c>
      <c r="AL192" s="369"/>
      <c r="AM192" s="350">
        <v>11713699.861589113</v>
      </c>
      <c r="AN192" s="350">
        <v>11604889.369250331</v>
      </c>
      <c r="AO192" s="350">
        <v>11486262.097434126</v>
      </c>
      <c r="AP192" s="350">
        <v>11335890.254328283</v>
      </c>
      <c r="AQ192" s="350">
        <v>11135020.737085523</v>
      </c>
      <c r="AR192" s="348">
        <v>57275762.319687374</v>
      </c>
      <c r="AS192" s="369"/>
      <c r="AT192" s="350">
        <f t="shared" si="99"/>
        <v>11188106.439812684</v>
      </c>
      <c r="AU192" s="350">
        <f t="shared" si="82"/>
        <v>11081190.018892197</v>
      </c>
      <c r="AV192" s="350">
        <f t="shared" si="83"/>
        <v>10964611.092455151</v>
      </c>
      <c r="AW192" s="350">
        <f t="shared" si="84"/>
        <v>10816696.678112229</v>
      </c>
      <c r="AX192" s="350">
        <f t="shared" si="85"/>
        <v>10618919.406415384</v>
      </c>
      <c r="AY192" s="350">
        <f t="shared" si="86"/>
        <v>54669523.635687642</v>
      </c>
      <c r="AZ192" s="365"/>
      <c r="BA192" s="377">
        <f t="shared" si="87"/>
        <v>0</v>
      </c>
      <c r="BB192" s="377">
        <f t="shared" si="88"/>
        <v>0</v>
      </c>
      <c r="BC192" s="377">
        <f t="shared" si="89"/>
        <v>0</v>
      </c>
      <c r="BD192" s="377">
        <f t="shared" si="90"/>
        <v>0</v>
      </c>
      <c r="BE192" s="377">
        <f t="shared" si="91"/>
        <v>0</v>
      </c>
      <c r="BF192" s="377">
        <f t="shared" si="92"/>
        <v>0</v>
      </c>
      <c r="BG192" s="328"/>
    </row>
    <row r="193" spans="2:59">
      <c r="B193" s="332">
        <v>178</v>
      </c>
      <c r="C193" s="350">
        <v>6730089.704584714</v>
      </c>
      <c r="D193" s="350">
        <v>6705836.6031875852</v>
      </c>
      <c r="E193" s="350">
        <v>6679608.0630716896</v>
      </c>
      <c r="F193" s="350">
        <v>6648141.3145701755</v>
      </c>
      <c r="G193" s="350">
        <v>6608545.8990829121</v>
      </c>
      <c r="H193" s="348">
        <v>33372221.584497079</v>
      </c>
      <c r="I193" s="369"/>
      <c r="J193" s="350">
        <v>20702320.885132916</v>
      </c>
      <c r="K193" s="350">
        <v>20240860.349678069</v>
      </c>
      <c r="L193" s="350">
        <v>19767546.155822195</v>
      </c>
      <c r="M193" s="350">
        <v>19252316.714826833</v>
      </c>
      <c r="N193" s="350">
        <v>18670000.048093379</v>
      </c>
      <c r="O193" s="348">
        <v>98633044.153553396</v>
      </c>
      <c r="P193" s="369"/>
      <c r="Q193" s="350">
        <f t="shared" si="93"/>
        <v>13972231.180548202</v>
      </c>
      <c r="R193" s="350">
        <f t="shared" si="94"/>
        <v>13535023.746490484</v>
      </c>
      <c r="S193" s="350">
        <f t="shared" si="95"/>
        <v>13087938.092750505</v>
      </c>
      <c r="T193" s="350">
        <f t="shared" si="96"/>
        <v>12604175.400256658</v>
      </c>
      <c r="U193" s="350">
        <f t="shared" si="97"/>
        <v>12061454.149010466</v>
      </c>
      <c r="V193" s="350">
        <f t="shared" si="98"/>
        <v>65260822.569056317</v>
      </c>
      <c r="W193" s="365"/>
      <c r="X193" s="377">
        <f t="shared" si="76"/>
        <v>0</v>
      </c>
      <c r="Y193" s="377">
        <f t="shared" si="77"/>
        <v>0</v>
      </c>
      <c r="Z193" s="377">
        <f t="shared" si="78"/>
        <v>0</v>
      </c>
      <c r="AA193" s="377">
        <f t="shared" si="79"/>
        <v>0</v>
      </c>
      <c r="AB193" s="377">
        <f t="shared" si="80"/>
        <v>0</v>
      </c>
      <c r="AC193" s="377">
        <f t="shared" si="81"/>
        <v>0</v>
      </c>
      <c r="AD193" s="376"/>
      <c r="AE193" s="332">
        <v>178</v>
      </c>
      <c r="AF193" s="350">
        <v>598811.02187743783</v>
      </c>
      <c r="AG193" s="350">
        <v>596653.09753039409</v>
      </c>
      <c r="AH193" s="350">
        <v>594319.40814458218</v>
      </c>
      <c r="AI193" s="350">
        <v>591519.64816329733</v>
      </c>
      <c r="AJ193" s="350">
        <v>587996.63847838354</v>
      </c>
      <c r="AK193" s="348">
        <v>2969299.8141940949</v>
      </c>
      <c r="AL193" s="369"/>
      <c r="AM193" s="350">
        <v>15264305.184833206</v>
      </c>
      <c r="AN193" s="350">
        <v>15126507.162258208</v>
      </c>
      <c r="AO193" s="350">
        <v>14975835.170563068</v>
      </c>
      <c r="AP193" s="350">
        <v>14783585.749353692</v>
      </c>
      <c r="AQ193" s="350">
        <v>14525203.128766583</v>
      </c>
      <c r="AR193" s="348">
        <v>74675436.395774752</v>
      </c>
      <c r="AS193" s="369"/>
      <c r="AT193" s="350">
        <f t="shared" si="99"/>
        <v>14665494.162955768</v>
      </c>
      <c r="AU193" s="350">
        <f t="shared" si="82"/>
        <v>14529854.064727813</v>
      </c>
      <c r="AV193" s="350">
        <f t="shared" si="83"/>
        <v>14381515.762418486</v>
      </c>
      <c r="AW193" s="350">
        <f t="shared" si="84"/>
        <v>14192066.101190394</v>
      </c>
      <c r="AX193" s="350">
        <f t="shared" si="85"/>
        <v>13937206.4902882</v>
      </c>
      <c r="AY193" s="350">
        <f t="shared" si="86"/>
        <v>71706136.581580654</v>
      </c>
      <c r="AZ193" s="365"/>
      <c r="BA193" s="377">
        <f t="shared" si="87"/>
        <v>0</v>
      </c>
      <c r="BB193" s="377">
        <f t="shared" si="88"/>
        <v>0</v>
      </c>
      <c r="BC193" s="377">
        <f t="shared" si="89"/>
        <v>0</v>
      </c>
      <c r="BD193" s="377">
        <f t="shared" si="90"/>
        <v>0</v>
      </c>
      <c r="BE193" s="377">
        <f t="shared" si="91"/>
        <v>0</v>
      </c>
      <c r="BF193" s="377">
        <f t="shared" si="92"/>
        <v>0</v>
      </c>
      <c r="BG193" s="328"/>
    </row>
    <row r="194" spans="2:59">
      <c r="B194" s="332">
        <v>179</v>
      </c>
      <c r="C194" s="350">
        <v>4515657.1866037268</v>
      </c>
      <c r="D194" s="350">
        <v>4499384.1952427402</v>
      </c>
      <c r="E194" s="350">
        <v>4481785.7528939303</v>
      </c>
      <c r="F194" s="350">
        <v>4460672.6540725082</v>
      </c>
      <c r="G194" s="350">
        <v>4434105.501129536</v>
      </c>
      <c r="H194" s="348">
        <v>22391605.289942443</v>
      </c>
      <c r="I194" s="369"/>
      <c r="J194" s="350">
        <v>16358948.530908149</v>
      </c>
      <c r="K194" s="350">
        <v>16031533.774628103</v>
      </c>
      <c r="L194" s="350">
        <v>15693992.017562915</v>
      </c>
      <c r="M194" s="350">
        <v>15321366.205189411</v>
      </c>
      <c r="N194" s="350">
        <v>14892662.808337577</v>
      </c>
      <c r="O194" s="348">
        <v>78298503.336626142</v>
      </c>
      <c r="P194" s="369"/>
      <c r="Q194" s="350">
        <f t="shared" si="93"/>
        <v>11843291.344304422</v>
      </c>
      <c r="R194" s="350">
        <f t="shared" si="94"/>
        <v>11532149.579385363</v>
      </c>
      <c r="S194" s="350">
        <f t="shared" si="95"/>
        <v>11212206.264668984</v>
      </c>
      <c r="T194" s="350">
        <f t="shared" si="96"/>
        <v>10860693.551116902</v>
      </c>
      <c r="U194" s="350">
        <f t="shared" si="97"/>
        <v>10458557.307208041</v>
      </c>
      <c r="V194" s="350">
        <f t="shared" si="98"/>
        <v>55906898.046683699</v>
      </c>
      <c r="W194" s="365"/>
      <c r="X194" s="377">
        <f t="shared" si="76"/>
        <v>0</v>
      </c>
      <c r="Y194" s="377">
        <f t="shared" si="77"/>
        <v>0</v>
      </c>
      <c r="Z194" s="377">
        <f t="shared" si="78"/>
        <v>0</v>
      </c>
      <c r="AA194" s="377">
        <f t="shared" si="79"/>
        <v>0</v>
      </c>
      <c r="AB194" s="377">
        <f t="shared" si="80"/>
        <v>0</v>
      </c>
      <c r="AC194" s="377">
        <f t="shared" si="81"/>
        <v>0</v>
      </c>
      <c r="AD194" s="376"/>
      <c r="AE194" s="332">
        <v>179</v>
      </c>
      <c r="AF194" s="350">
        <v>278056.15026698617</v>
      </c>
      <c r="AG194" s="350">
        <v>277054.12439474172</v>
      </c>
      <c r="AH194" s="350">
        <v>275970.48253974819</v>
      </c>
      <c r="AI194" s="350">
        <v>274670.42216406105</v>
      </c>
      <c r="AJ194" s="350">
        <v>273034.52289943298</v>
      </c>
      <c r="AK194" s="348">
        <v>1378785.7022649702</v>
      </c>
      <c r="AL194" s="369"/>
      <c r="AM194" s="350">
        <v>7467018.7691472443</v>
      </c>
      <c r="AN194" s="350">
        <v>7400300.4690801976</v>
      </c>
      <c r="AO194" s="350">
        <v>7327270.3696665475</v>
      </c>
      <c r="AP194" s="350">
        <v>7233864.9796943646</v>
      </c>
      <c r="AQ194" s="350">
        <v>7108051.6310644029</v>
      </c>
      <c r="AR194" s="348">
        <v>36536506.218652755</v>
      </c>
      <c r="AS194" s="369"/>
      <c r="AT194" s="350">
        <f t="shared" si="99"/>
        <v>7188962.6188802579</v>
      </c>
      <c r="AU194" s="350">
        <f t="shared" si="82"/>
        <v>7123246.3446854558</v>
      </c>
      <c r="AV194" s="350">
        <f t="shared" si="83"/>
        <v>7051299.8871267997</v>
      </c>
      <c r="AW194" s="350">
        <f t="shared" si="84"/>
        <v>6959194.5575303035</v>
      </c>
      <c r="AX194" s="350">
        <f t="shared" si="85"/>
        <v>6835017.1081649698</v>
      </c>
      <c r="AY194" s="350">
        <f t="shared" si="86"/>
        <v>35157720.516387783</v>
      </c>
      <c r="AZ194" s="365"/>
      <c r="BA194" s="377">
        <f t="shared" si="87"/>
        <v>0</v>
      </c>
      <c r="BB194" s="377">
        <f t="shared" si="88"/>
        <v>0</v>
      </c>
      <c r="BC194" s="377">
        <f t="shared" si="89"/>
        <v>0</v>
      </c>
      <c r="BD194" s="377">
        <f t="shared" si="90"/>
        <v>0</v>
      </c>
      <c r="BE194" s="377">
        <f t="shared" si="91"/>
        <v>0</v>
      </c>
      <c r="BF194" s="377">
        <f t="shared" si="92"/>
        <v>0</v>
      </c>
      <c r="BG194" s="328"/>
    </row>
    <row r="195" spans="2:59">
      <c r="B195" s="332">
        <v>180</v>
      </c>
      <c r="C195" s="350">
        <v>3719592.4460808346</v>
      </c>
      <c r="D195" s="350">
        <v>3706188.2186915129</v>
      </c>
      <c r="E195" s="350">
        <v>3691692.2039325493</v>
      </c>
      <c r="F195" s="350">
        <v>3674301.1311286855</v>
      </c>
      <c r="G195" s="350">
        <v>3652417.4988428433</v>
      </c>
      <c r="H195" s="348">
        <v>18444191.498676427</v>
      </c>
      <c r="I195" s="369"/>
      <c r="J195" s="350">
        <v>12690400.619913235</v>
      </c>
      <c r="K195" s="350">
        <v>12426360.894947978</v>
      </c>
      <c r="L195" s="350">
        <v>12154670.379378621</v>
      </c>
      <c r="M195" s="350">
        <v>11856293.261176463</v>
      </c>
      <c r="N195" s="350">
        <v>11515241.493917132</v>
      </c>
      <c r="O195" s="348">
        <v>60642966.649333425</v>
      </c>
      <c r="P195" s="369"/>
      <c r="Q195" s="350">
        <f t="shared" si="93"/>
        <v>8970808.1738324016</v>
      </c>
      <c r="R195" s="350">
        <f t="shared" si="94"/>
        <v>8720172.6762564648</v>
      </c>
      <c r="S195" s="350">
        <f t="shared" si="95"/>
        <v>8462978.1754460707</v>
      </c>
      <c r="T195" s="350">
        <f t="shared" si="96"/>
        <v>8181992.1300477777</v>
      </c>
      <c r="U195" s="350">
        <f t="shared" si="97"/>
        <v>7862823.9950742889</v>
      </c>
      <c r="V195" s="350">
        <f t="shared" si="98"/>
        <v>42198775.150656998</v>
      </c>
      <c r="W195" s="365"/>
      <c r="X195" s="377">
        <f t="shared" si="76"/>
        <v>0</v>
      </c>
      <c r="Y195" s="377">
        <f t="shared" si="77"/>
        <v>0</v>
      </c>
      <c r="Z195" s="377">
        <f t="shared" si="78"/>
        <v>0</v>
      </c>
      <c r="AA195" s="377">
        <f t="shared" si="79"/>
        <v>0</v>
      </c>
      <c r="AB195" s="377">
        <f t="shared" si="80"/>
        <v>0</v>
      </c>
      <c r="AC195" s="377">
        <f t="shared" si="81"/>
        <v>0</v>
      </c>
      <c r="AD195" s="376"/>
      <c r="AE195" s="332">
        <v>180</v>
      </c>
      <c r="AF195" s="350">
        <v>467901.95413288969</v>
      </c>
      <c r="AG195" s="350">
        <v>466215.78440326953</v>
      </c>
      <c r="AH195" s="350">
        <v>464392.2745077149</v>
      </c>
      <c r="AI195" s="350">
        <v>462204.58403695683</v>
      </c>
      <c r="AJ195" s="350">
        <v>459451.75709193497</v>
      </c>
      <c r="AK195" s="348">
        <v>2320166.3541727657</v>
      </c>
      <c r="AL195" s="369"/>
      <c r="AM195" s="350">
        <v>15767062.05010571</v>
      </c>
      <c r="AN195" s="350">
        <v>15631714.17482743</v>
      </c>
      <c r="AO195" s="350">
        <v>15482925.592529139</v>
      </c>
      <c r="AP195" s="350">
        <v>15290821.730903404</v>
      </c>
      <c r="AQ195" s="350">
        <v>15029831.046381405</v>
      </c>
      <c r="AR195" s="348">
        <v>77202354.594747081</v>
      </c>
      <c r="AS195" s="369"/>
      <c r="AT195" s="350">
        <f t="shared" si="99"/>
        <v>15299160.095972819</v>
      </c>
      <c r="AU195" s="350">
        <f t="shared" si="82"/>
        <v>15165498.39042416</v>
      </c>
      <c r="AV195" s="350">
        <f t="shared" si="83"/>
        <v>15018533.318021424</v>
      </c>
      <c r="AW195" s="350">
        <f t="shared" si="84"/>
        <v>14828617.146866446</v>
      </c>
      <c r="AX195" s="350">
        <f t="shared" si="85"/>
        <v>14570379.289289469</v>
      </c>
      <c r="AY195" s="350">
        <f t="shared" si="86"/>
        <v>74882188.240574315</v>
      </c>
      <c r="AZ195" s="365"/>
      <c r="BA195" s="377">
        <f t="shared" si="87"/>
        <v>0</v>
      </c>
      <c r="BB195" s="377">
        <f t="shared" si="88"/>
        <v>0</v>
      </c>
      <c r="BC195" s="377">
        <f t="shared" si="89"/>
        <v>0</v>
      </c>
      <c r="BD195" s="377">
        <f t="shared" si="90"/>
        <v>0</v>
      </c>
      <c r="BE195" s="377">
        <f t="shared" si="91"/>
        <v>0</v>
      </c>
      <c r="BF195" s="377">
        <f t="shared" si="92"/>
        <v>0</v>
      </c>
      <c r="BG195" s="328"/>
    </row>
    <row r="196" spans="2:59">
      <c r="B196" s="332">
        <v>181</v>
      </c>
      <c r="C196" s="350">
        <v>7172060.2585546225</v>
      </c>
      <c r="D196" s="350">
        <v>7146214.4359412119</v>
      </c>
      <c r="E196" s="350">
        <v>7118263.4459154829</v>
      </c>
      <c r="F196" s="350">
        <v>7084730.250029562</v>
      </c>
      <c r="G196" s="350">
        <v>7042534.5708778109</v>
      </c>
      <c r="H196" s="348">
        <v>35563802.961318694</v>
      </c>
      <c r="I196" s="369"/>
      <c r="J196" s="350">
        <v>22063304.015429497</v>
      </c>
      <c r="K196" s="350">
        <v>21571528.573374085</v>
      </c>
      <c r="L196" s="350">
        <v>21067119.761295963</v>
      </c>
      <c r="M196" s="350">
        <v>20518039.01967768</v>
      </c>
      <c r="N196" s="350">
        <v>19897458.903461989</v>
      </c>
      <c r="O196" s="348">
        <v>105117450.27323923</v>
      </c>
      <c r="P196" s="369"/>
      <c r="Q196" s="350">
        <f t="shared" si="93"/>
        <v>14891243.756874874</v>
      </c>
      <c r="R196" s="350">
        <f t="shared" si="94"/>
        <v>14425314.137432873</v>
      </c>
      <c r="S196" s="350">
        <f t="shared" si="95"/>
        <v>13948856.31538048</v>
      </c>
      <c r="T196" s="350">
        <f t="shared" si="96"/>
        <v>13433308.769648118</v>
      </c>
      <c r="U196" s="350">
        <f t="shared" si="97"/>
        <v>12854924.332584178</v>
      </c>
      <c r="V196" s="350">
        <f t="shared" si="98"/>
        <v>69553647.311920524</v>
      </c>
      <c r="W196" s="365"/>
      <c r="X196" s="377">
        <f t="shared" si="76"/>
        <v>0</v>
      </c>
      <c r="Y196" s="377">
        <f t="shared" si="77"/>
        <v>0</v>
      </c>
      <c r="Z196" s="377">
        <f t="shared" si="78"/>
        <v>0</v>
      </c>
      <c r="AA196" s="377">
        <f t="shared" si="79"/>
        <v>0</v>
      </c>
      <c r="AB196" s="377">
        <f t="shared" si="80"/>
        <v>0</v>
      </c>
      <c r="AC196" s="377">
        <f t="shared" si="81"/>
        <v>0</v>
      </c>
      <c r="AD196" s="376"/>
      <c r="AE196" s="332">
        <v>181</v>
      </c>
      <c r="AF196" s="350">
        <v>496225.37789730006</v>
      </c>
      <c r="AG196" s="350">
        <v>494437.13956256094</v>
      </c>
      <c r="AH196" s="350">
        <v>492503.24747463863</v>
      </c>
      <c r="AI196" s="350">
        <v>490183.1299350867</v>
      </c>
      <c r="AJ196" s="350">
        <v>487263.66661801032</v>
      </c>
      <c r="AK196" s="348">
        <v>2460612.5614875969</v>
      </c>
      <c r="AL196" s="369"/>
      <c r="AM196" s="350">
        <v>16572750.126295229</v>
      </c>
      <c r="AN196" s="350">
        <v>16430281.261612417</v>
      </c>
      <c r="AO196" s="350">
        <v>16273689.059067868</v>
      </c>
      <c r="AP196" s="350">
        <v>16071578.986322202</v>
      </c>
      <c r="AQ196" s="350">
        <v>15797078.873404196</v>
      </c>
      <c r="AR196" s="348">
        <v>81145378.306701913</v>
      </c>
      <c r="AS196" s="369"/>
      <c r="AT196" s="350">
        <f t="shared" si="99"/>
        <v>16076524.74839793</v>
      </c>
      <c r="AU196" s="350">
        <f t="shared" si="82"/>
        <v>15935844.122049857</v>
      </c>
      <c r="AV196" s="350">
        <f t="shared" si="83"/>
        <v>15781185.811593229</v>
      </c>
      <c r="AW196" s="350">
        <f t="shared" si="84"/>
        <v>15581395.856387116</v>
      </c>
      <c r="AX196" s="350">
        <f t="shared" si="85"/>
        <v>15309815.206786186</v>
      </c>
      <c r="AY196" s="350">
        <f t="shared" si="86"/>
        <v>78684765.745214313</v>
      </c>
      <c r="AZ196" s="365"/>
      <c r="BA196" s="377">
        <f t="shared" si="87"/>
        <v>0</v>
      </c>
      <c r="BB196" s="377">
        <f t="shared" si="88"/>
        <v>0</v>
      </c>
      <c r="BC196" s="377">
        <f t="shared" si="89"/>
        <v>0</v>
      </c>
      <c r="BD196" s="377">
        <f t="shared" si="90"/>
        <v>0</v>
      </c>
      <c r="BE196" s="377">
        <f t="shared" si="91"/>
        <v>0</v>
      </c>
      <c r="BF196" s="377">
        <f t="shared" si="92"/>
        <v>0</v>
      </c>
      <c r="BG196" s="328"/>
    </row>
    <row r="197" spans="2:59">
      <c r="B197" s="332">
        <v>182</v>
      </c>
      <c r="C197" s="350">
        <v>4651095.2849217327</v>
      </c>
      <c r="D197" s="350">
        <v>4634334.2177585326</v>
      </c>
      <c r="E197" s="350">
        <v>4616207.945358282</v>
      </c>
      <c r="F197" s="350">
        <v>4594461.6013998175</v>
      </c>
      <c r="G197" s="350">
        <v>4567097.6198838083</v>
      </c>
      <c r="H197" s="348">
        <v>23063196.669322174</v>
      </c>
      <c r="I197" s="369"/>
      <c r="J197" s="350">
        <v>13305722.579954647</v>
      </c>
      <c r="K197" s="350">
        <v>12994029.703794301</v>
      </c>
      <c r="L197" s="350">
        <v>12675026.722586302</v>
      </c>
      <c r="M197" s="350">
        <v>12329880.383464072</v>
      </c>
      <c r="N197" s="350">
        <v>11942859.593158823</v>
      </c>
      <c r="O197" s="348">
        <v>63247518.982958153</v>
      </c>
      <c r="P197" s="369"/>
      <c r="Q197" s="350">
        <f t="shared" si="93"/>
        <v>8654627.2950329147</v>
      </c>
      <c r="R197" s="350">
        <f t="shared" si="94"/>
        <v>8359695.4860357679</v>
      </c>
      <c r="S197" s="350">
        <f t="shared" si="95"/>
        <v>8058818.7772280201</v>
      </c>
      <c r="T197" s="350">
        <f t="shared" si="96"/>
        <v>7735418.7820642544</v>
      </c>
      <c r="U197" s="350">
        <f t="shared" si="97"/>
        <v>7375761.9732750142</v>
      </c>
      <c r="V197" s="350">
        <f t="shared" si="98"/>
        <v>40184322.313635975</v>
      </c>
      <c r="W197" s="365"/>
      <c r="X197" s="377">
        <f t="shared" si="76"/>
        <v>0</v>
      </c>
      <c r="Y197" s="377">
        <f t="shared" si="77"/>
        <v>0</v>
      </c>
      <c r="Z197" s="377">
        <f t="shared" si="78"/>
        <v>0</v>
      </c>
      <c r="AA197" s="377">
        <f t="shared" si="79"/>
        <v>0</v>
      </c>
      <c r="AB197" s="377">
        <f t="shared" si="80"/>
        <v>0</v>
      </c>
      <c r="AC197" s="377">
        <f t="shared" si="81"/>
        <v>0</v>
      </c>
      <c r="AD197" s="376"/>
      <c r="AE197" s="332">
        <v>182</v>
      </c>
      <c r="AF197" s="350">
        <v>487478.06491385581</v>
      </c>
      <c r="AG197" s="350">
        <v>485721.34911121539</v>
      </c>
      <c r="AH197" s="350">
        <v>483821.54709631793</v>
      </c>
      <c r="AI197" s="350">
        <v>481542.32789687678</v>
      </c>
      <c r="AJ197" s="350">
        <v>478674.32800854801</v>
      </c>
      <c r="AK197" s="348">
        <v>2417237.6170268138</v>
      </c>
      <c r="AL197" s="369"/>
      <c r="AM197" s="350">
        <v>12675003.927534807</v>
      </c>
      <c r="AN197" s="350">
        <v>12561033.379599672</v>
      </c>
      <c r="AO197" s="350">
        <v>12436363.445454847</v>
      </c>
      <c r="AP197" s="350">
        <v>12277145.046257902</v>
      </c>
      <c r="AQ197" s="350">
        <v>12062974.429157395</v>
      </c>
      <c r="AR197" s="348">
        <v>62012520.228004619</v>
      </c>
      <c r="AS197" s="369"/>
      <c r="AT197" s="350">
        <f t="shared" si="99"/>
        <v>12187525.862620952</v>
      </c>
      <c r="AU197" s="350">
        <f t="shared" si="82"/>
        <v>12075312.030488456</v>
      </c>
      <c r="AV197" s="350">
        <f t="shared" si="83"/>
        <v>11952541.898358529</v>
      </c>
      <c r="AW197" s="350">
        <f t="shared" si="84"/>
        <v>11795602.718361026</v>
      </c>
      <c r="AX197" s="350">
        <f t="shared" si="85"/>
        <v>11584300.101148847</v>
      </c>
      <c r="AY197" s="350">
        <f t="shared" si="86"/>
        <v>59595282.610977806</v>
      </c>
      <c r="AZ197" s="365"/>
      <c r="BA197" s="377">
        <f t="shared" si="87"/>
        <v>0</v>
      </c>
      <c r="BB197" s="377">
        <f t="shared" si="88"/>
        <v>0</v>
      </c>
      <c r="BC197" s="377">
        <f t="shared" si="89"/>
        <v>0</v>
      </c>
      <c r="BD197" s="377">
        <f t="shared" si="90"/>
        <v>0</v>
      </c>
      <c r="BE197" s="377">
        <f t="shared" si="91"/>
        <v>0</v>
      </c>
      <c r="BF197" s="377">
        <f t="shared" si="92"/>
        <v>0</v>
      </c>
      <c r="BG197" s="328"/>
    </row>
    <row r="198" spans="2:59">
      <c r="B198" s="332">
        <v>183</v>
      </c>
      <c r="C198" s="350">
        <v>6376377.3390793679</v>
      </c>
      <c r="D198" s="350">
        <v>6353398.904476082</v>
      </c>
      <c r="E198" s="350">
        <v>6328548.8540052557</v>
      </c>
      <c r="F198" s="350">
        <v>6298735.8989204373</v>
      </c>
      <c r="G198" s="350">
        <v>6261221.4940422308</v>
      </c>
      <c r="H198" s="348">
        <v>31618282.490523376</v>
      </c>
      <c r="I198" s="369"/>
      <c r="J198" s="350">
        <v>20500526.829135831</v>
      </c>
      <c r="K198" s="350">
        <v>20056931.648273282</v>
      </c>
      <c r="L198" s="350">
        <v>19601325.390451733</v>
      </c>
      <c r="M198" s="350">
        <v>19103507.772437055</v>
      </c>
      <c r="N198" s="350">
        <v>18538156.278338425</v>
      </c>
      <c r="O198" s="348">
        <v>97800447.918636322</v>
      </c>
      <c r="P198" s="369"/>
      <c r="Q198" s="350">
        <f t="shared" si="93"/>
        <v>14124149.490056463</v>
      </c>
      <c r="R198" s="350">
        <f t="shared" si="94"/>
        <v>13703532.7437972</v>
      </c>
      <c r="S198" s="350">
        <f t="shared" si="95"/>
        <v>13272776.536446478</v>
      </c>
      <c r="T198" s="350">
        <f t="shared" si="96"/>
        <v>12804771.873516617</v>
      </c>
      <c r="U198" s="350">
        <f t="shared" si="97"/>
        <v>12276934.784296194</v>
      </c>
      <c r="V198" s="350">
        <f t="shared" si="98"/>
        <v>66182165.428112946</v>
      </c>
      <c r="W198" s="365"/>
      <c r="X198" s="377">
        <f t="shared" si="76"/>
        <v>0</v>
      </c>
      <c r="Y198" s="377">
        <f t="shared" si="77"/>
        <v>0</v>
      </c>
      <c r="Z198" s="377">
        <f t="shared" si="78"/>
        <v>0</v>
      </c>
      <c r="AA198" s="377">
        <f t="shared" si="79"/>
        <v>0</v>
      </c>
      <c r="AB198" s="377">
        <f t="shared" si="80"/>
        <v>0</v>
      </c>
      <c r="AC198" s="377">
        <f t="shared" si="81"/>
        <v>0</v>
      </c>
      <c r="AD198" s="376"/>
      <c r="AE198" s="332">
        <v>183</v>
      </c>
      <c r="AF198" s="350">
        <v>569285.41812390287</v>
      </c>
      <c r="AG198" s="350">
        <v>567233.89465605689</v>
      </c>
      <c r="AH198" s="350">
        <v>565015.27260463242</v>
      </c>
      <c r="AI198" s="350">
        <v>562353.56052292231</v>
      </c>
      <c r="AJ198" s="350">
        <v>559004.26004538161</v>
      </c>
      <c r="AK198" s="348">
        <v>2822892.4059528965</v>
      </c>
      <c r="AL198" s="369"/>
      <c r="AM198" s="350">
        <v>18527862.435227767</v>
      </c>
      <c r="AN198" s="350">
        <v>18367912.648600329</v>
      </c>
      <c r="AO198" s="350">
        <v>18192187.128729928</v>
      </c>
      <c r="AP198" s="350">
        <v>17965609.4396859</v>
      </c>
      <c r="AQ198" s="350">
        <v>17658157.212722987</v>
      </c>
      <c r="AR198" s="348">
        <v>90711728.864966899</v>
      </c>
      <c r="AS198" s="369"/>
      <c r="AT198" s="350">
        <f t="shared" si="99"/>
        <v>17958577.017103862</v>
      </c>
      <c r="AU198" s="350">
        <f t="shared" si="82"/>
        <v>17800678.75394427</v>
      </c>
      <c r="AV198" s="350">
        <f t="shared" si="83"/>
        <v>17627171.856125295</v>
      </c>
      <c r="AW198" s="350">
        <f t="shared" si="84"/>
        <v>17403255.879162978</v>
      </c>
      <c r="AX198" s="350">
        <f t="shared" si="85"/>
        <v>17099152.952677604</v>
      </c>
      <c r="AY198" s="350">
        <f t="shared" si="86"/>
        <v>87888836.459013999</v>
      </c>
      <c r="AZ198" s="365"/>
      <c r="BA198" s="377">
        <f t="shared" si="87"/>
        <v>0</v>
      </c>
      <c r="BB198" s="377">
        <f t="shared" si="88"/>
        <v>0</v>
      </c>
      <c r="BC198" s="377">
        <f t="shared" si="89"/>
        <v>0</v>
      </c>
      <c r="BD198" s="377">
        <f t="shared" si="90"/>
        <v>0</v>
      </c>
      <c r="BE198" s="377">
        <f t="shared" si="91"/>
        <v>0</v>
      </c>
      <c r="BF198" s="377">
        <f t="shared" si="92"/>
        <v>0</v>
      </c>
      <c r="BG198" s="328"/>
    </row>
    <row r="199" spans="2:59">
      <c r="B199" s="332">
        <v>184</v>
      </c>
      <c r="C199" s="350">
        <v>7863428.7428889722</v>
      </c>
      <c r="D199" s="350">
        <v>7835091.4482908826</v>
      </c>
      <c r="E199" s="350">
        <v>7804446.0534619205</v>
      </c>
      <c r="F199" s="350">
        <v>7767680.3422346944</v>
      </c>
      <c r="G199" s="350">
        <v>7721417.106245866</v>
      </c>
      <c r="H199" s="348">
        <v>38992063.693122335</v>
      </c>
      <c r="I199" s="369"/>
      <c r="J199" s="350">
        <v>25300234.531371437</v>
      </c>
      <c r="K199" s="350">
        <v>24753052.402276706</v>
      </c>
      <c r="L199" s="350">
        <v>24191041.571578119</v>
      </c>
      <c r="M199" s="350">
        <v>23576922.354515649</v>
      </c>
      <c r="N199" s="350">
        <v>22879435.570289105</v>
      </c>
      <c r="O199" s="348">
        <v>120700686.430031</v>
      </c>
      <c r="P199" s="369"/>
      <c r="Q199" s="350">
        <f t="shared" si="93"/>
        <v>17436805.788482465</v>
      </c>
      <c r="R199" s="350">
        <f t="shared" si="94"/>
        <v>16917960.953985825</v>
      </c>
      <c r="S199" s="350">
        <f t="shared" si="95"/>
        <v>16386595.518116198</v>
      </c>
      <c r="T199" s="350">
        <f t="shared" si="96"/>
        <v>15809242.012280956</v>
      </c>
      <c r="U199" s="350">
        <f t="shared" si="97"/>
        <v>15158018.464043239</v>
      </c>
      <c r="V199" s="350">
        <f t="shared" si="98"/>
        <v>81708622.736908674</v>
      </c>
      <c r="W199" s="365"/>
      <c r="X199" s="377">
        <f t="shared" si="76"/>
        <v>0</v>
      </c>
      <c r="Y199" s="377">
        <f t="shared" si="77"/>
        <v>0</v>
      </c>
      <c r="Z199" s="377">
        <f t="shared" si="78"/>
        <v>0</v>
      </c>
      <c r="AA199" s="377">
        <f t="shared" si="79"/>
        <v>0</v>
      </c>
      <c r="AB199" s="377">
        <f t="shared" si="80"/>
        <v>0</v>
      </c>
      <c r="AC199" s="377">
        <f t="shared" si="81"/>
        <v>0</v>
      </c>
      <c r="AD199" s="376"/>
      <c r="AE199" s="332">
        <v>184</v>
      </c>
      <c r="AF199" s="350">
        <v>532156.1743711282</v>
      </c>
      <c r="AG199" s="350">
        <v>530238.45288112515</v>
      </c>
      <c r="AH199" s="350">
        <v>528164.53110889299</v>
      </c>
      <c r="AI199" s="350">
        <v>525676.41798745003</v>
      </c>
      <c r="AJ199" s="350">
        <v>522545.56152739649</v>
      </c>
      <c r="AK199" s="348">
        <v>2638781.1378759928</v>
      </c>
      <c r="AL199" s="369"/>
      <c r="AM199" s="350">
        <v>16074028.961435702</v>
      </c>
      <c r="AN199" s="350">
        <v>15933487.504797764</v>
      </c>
      <c r="AO199" s="350">
        <v>15779295.910646761</v>
      </c>
      <c r="AP199" s="350">
        <v>15581080.6133851</v>
      </c>
      <c r="AQ199" s="350">
        <v>15312847.99563466</v>
      </c>
      <c r="AR199" s="348">
        <v>78680740.985899985</v>
      </c>
      <c r="AS199" s="369"/>
      <c r="AT199" s="350">
        <f t="shared" si="99"/>
        <v>15541872.787064573</v>
      </c>
      <c r="AU199" s="350">
        <f t="shared" si="82"/>
        <v>15403249.051916638</v>
      </c>
      <c r="AV199" s="350">
        <f t="shared" si="83"/>
        <v>15251131.379537867</v>
      </c>
      <c r="AW199" s="350">
        <f t="shared" si="84"/>
        <v>15055404.195397649</v>
      </c>
      <c r="AX199" s="350">
        <f t="shared" si="85"/>
        <v>14790302.434107265</v>
      </c>
      <c r="AY199" s="350">
        <f t="shared" si="86"/>
        <v>76041959.848023996</v>
      </c>
      <c r="AZ199" s="365"/>
      <c r="BA199" s="377">
        <f t="shared" si="87"/>
        <v>0</v>
      </c>
      <c r="BB199" s="377">
        <f t="shared" si="88"/>
        <v>0</v>
      </c>
      <c r="BC199" s="377">
        <f t="shared" si="89"/>
        <v>0</v>
      </c>
      <c r="BD199" s="377">
        <f t="shared" si="90"/>
        <v>0</v>
      </c>
      <c r="BE199" s="377">
        <f t="shared" si="91"/>
        <v>0</v>
      </c>
      <c r="BF199" s="377">
        <f t="shared" si="92"/>
        <v>0</v>
      </c>
      <c r="BG199" s="328"/>
    </row>
    <row r="200" spans="2:59">
      <c r="B200" s="332">
        <v>185</v>
      </c>
      <c r="C200" s="350">
        <v>4757039.6091234004</v>
      </c>
      <c r="D200" s="350">
        <v>4739896.7523333011</v>
      </c>
      <c r="E200" s="350">
        <v>4721357.5931693744</v>
      </c>
      <c r="F200" s="350">
        <v>4699115.9031529613</v>
      </c>
      <c r="G200" s="350">
        <v>4671128.6150066685</v>
      </c>
      <c r="H200" s="348">
        <v>23588538.472785704</v>
      </c>
      <c r="I200" s="369"/>
      <c r="J200" s="350">
        <v>17795099.666726083</v>
      </c>
      <c r="K200" s="350">
        <v>17446134.791492514</v>
      </c>
      <c r="L200" s="350">
        <v>17086006.972955737</v>
      </c>
      <c r="M200" s="350">
        <v>16687335.850069055</v>
      </c>
      <c r="N200" s="350">
        <v>16227071.820351988</v>
      </c>
      <c r="O200" s="348">
        <v>85241649.101595387</v>
      </c>
      <c r="P200" s="369"/>
      <c r="Q200" s="350">
        <f t="shared" si="93"/>
        <v>13038060.057602681</v>
      </c>
      <c r="R200" s="350">
        <f t="shared" si="94"/>
        <v>12706238.039159212</v>
      </c>
      <c r="S200" s="350">
        <f t="shared" si="95"/>
        <v>12364649.379786363</v>
      </c>
      <c r="T200" s="350">
        <f t="shared" si="96"/>
        <v>11988219.946916094</v>
      </c>
      <c r="U200" s="350">
        <f t="shared" si="97"/>
        <v>11555943.20534532</v>
      </c>
      <c r="V200" s="350">
        <f t="shared" si="98"/>
        <v>61653110.628809683</v>
      </c>
      <c r="W200" s="365"/>
      <c r="X200" s="377">
        <f t="shared" si="76"/>
        <v>0</v>
      </c>
      <c r="Y200" s="377">
        <f t="shared" si="77"/>
        <v>0</v>
      </c>
      <c r="Z200" s="377">
        <f t="shared" si="78"/>
        <v>0</v>
      </c>
      <c r="AA200" s="377">
        <f t="shared" si="79"/>
        <v>0</v>
      </c>
      <c r="AB200" s="377">
        <f t="shared" si="80"/>
        <v>0</v>
      </c>
      <c r="AC200" s="377">
        <f t="shared" si="81"/>
        <v>0</v>
      </c>
      <c r="AD200" s="376"/>
      <c r="AE200" s="332">
        <v>185</v>
      </c>
      <c r="AF200" s="350">
        <v>495309.75195678143</v>
      </c>
      <c r="AG200" s="350">
        <v>493524.81324652757</v>
      </c>
      <c r="AH200" s="350">
        <v>491594.48954071692</v>
      </c>
      <c r="AI200" s="350">
        <v>489278.65303937648</v>
      </c>
      <c r="AJ200" s="350">
        <v>486364.5766623168</v>
      </c>
      <c r="AK200" s="348">
        <v>2456072.2844457193</v>
      </c>
      <c r="AL200" s="369"/>
      <c r="AM200" s="350">
        <v>13701665.991856601</v>
      </c>
      <c r="AN200" s="350">
        <v>13579932.55580209</v>
      </c>
      <c r="AO200" s="350">
        <v>13446603.105418781</v>
      </c>
      <c r="AP200" s="350">
        <v>13275849.380556788</v>
      </c>
      <c r="AQ200" s="350">
        <v>13045571.450052477</v>
      </c>
      <c r="AR200" s="348">
        <v>67049622.483686738</v>
      </c>
      <c r="AS200" s="369"/>
      <c r="AT200" s="350">
        <f t="shared" si="99"/>
        <v>13206356.23989982</v>
      </c>
      <c r="AU200" s="350">
        <f t="shared" si="82"/>
        <v>13086407.742555562</v>
      </c>
      <c r="AV200" s="350">
        <f t="shared" si="83"/>
        <v>12955008.615878064</v>
      </c>
      <c r="AW200" s="350">
        <f t="shared" si="84"/>
        <v>12786570.727517411</v>
      </c>
      <c r="AX200" s="350">
        <f t="shared" si="85"/>
        <v>12559206.873390161</v>
      </c>
      <c r="AY200" s="350">
        <f t="shared" si="86"/>
        <v>64593550.19924102</v>
      </c>
      <c r="AZ200" s="365"/>
      <c r="BA200" s="377">
        <f t="shared" si="87"/>
        <v>0</v>
      </c>
      <c r="BB200" s="377">
        <f t="shared" si="88"/>
        <v>0</v>
      </c>
      <c r="BC200" s="377">
        <f t="shared" si="89"/>
        <v>0</v>
      </c>
      <c r="BD200" s="377">
        <f t="shared" si="90"/>
        <v>0</v>
      </c>
      <c r="BE200" s="377">
        <f t="shared" si="91"/>
        <v>0</v>
      </c>
      <c r="BF200" s="377">
        <f t="shared" si="92"/>
        <v>0</v>
      </c>
      <c r="BG200" s="328"/>
    </row>
    <row r="201" spans="2:59">
      <c r="B201" s="332">
        <v>186</v>
      </c>
      <c r="C201" s="350">
        <v>5199331.4901897125</v>
      </c>
      <c r="D201" s="350">
        <v>5180594.7542227386</v>
      </c>
      <c r="E201" s="350">
        <v>5160331.8928713705</v>
      </c>
      <c r="F201" s="350">
        <v>5136022.2530954909</v>
      </c>
      <c r="G201" s="350">
        <v>5105432.8108076956</v>
      </c>
      <c r="H201" s="348">
        <v>25781713.201187007</v>
      </c>
      <c r="I201" s="369"/>
      <c r="J201" s="350">
        <v>19943582.319688749</v>
      </c>
      <c r="K201" s="350">
        <v>19558611.834155492</v>
      </c>
      <c r="L201" s="350">
        <v>19161005.549548112</v>
      </c>
      <c r="M201" s="350">
        <v>18719879.486075107</v>
      </c>
      <c r="N201" s="350">
        <v>18209219.710716855</v>
      </c>
      <c r="O201" s="348">
        <v>95592298.900184318</v>
      </c>
      <c r="P201" s="369"/>
      <c r="Q201" s="350">
        <f t="shared" si="93"/>
        <v>14744250.829499036</v>
      </c>
      <c r="R201" s="350">
        <f t="shared" si="94"/>
        <v>14378017.079932753</v>
      </c>
      <c r="S201" s="350">
        <f t="shared" si="95"/>
        <v>14000673.656676741</v>
      </c>
      <c r="T201" s="350">
        <f t="shared" si="96"/>
        <v>13583857.232979616</v>
      </c>
      <c r="U201" s="350">
        <f t="shared" si="97"/>
        <v>13103786.899909159</v>
      </c>
      <c r="V201" s="350">
        <f t="shared" si="98"/>
        <v>69810585.698997319</v>
      </c>
      <c r="W201" s="365"/>
      <c r="X201" s="377">
        <f t="shared" si="76"/>
        <v>0</v>
      </c>
      <c r="Y201" s="377">
        <f t="shared" si="77"/>
        <v>0</v>
      </c>
      <c r="Z201" s="377">
        <f t="shared" si="78"/>
        <v>0</v>
      </c>
      <c r="AA201" s="377">
        <f t="shared" si="79"/>
        <v>0</v>
      </c>
      <c r="AB201" s="377">
        <f t="shared" si="80"/>
        <v>0</v>
      </c>
      <c r="AC201" s="377">
        <f t="shared" si="81"/>
        <v>0</v>
      </c>
      <c r="AD201" s="376"/>
      <c r="AE201" s="332">
        <v>186</v>
      </c>
      <c r="AF201" s="350">
        <v>392276.53273849987</v>
      </c>
      <c r="AG201" s="350">
        <v>390862.89295926486</v>
      </c>
      <c r="AH201" s="350">
        <v>389334.11084385769</v>
      </c>
      <c r="AI201" s="350">
        <v>387500.00943651388</v>
      </c>
      <c r="AJ201" s="350">
        <v>385192.11266522657</v>
      </c>
      <c r="AK201" s="348">
        <v>1945165.658643363</v>
      </c>
      <c r="AL201" s="369"/>
      <c r="AM201" s="350">
        <v>15516644.443128061</v>
      </c>
      <c r="AN201" s="350">
        <v>15386610.159685889</v>
      </c>
      <c r="AO201" s="350">
        <v>15243284.030840976</v>
      </c>
      <c r="AP201" s="350">
        <v>15057163.777375164</v>
      </c>
      <c r="AQ201" s="350">
        <v>14802990.284648126</v>
      </c>
      <c r="AR201" s="348">
        <v>76006692.695678219</v>
      </c>
      <c r="AS201" s="369"/>
      <c r="AT201" s="350">
        <f t="shared" si="99"/>
        <v>15124367.910389561</v>
      </c>
      <c r="AU201" s="350">
        <f t="shared" si="82"/>
        <v>14995747.266726624</v>
      </c>
      <c r="AV201" s="350">
        <f t="shared" si="83"/>
        <v>14853949.919997118</v>
      </c>
      <c r="AW201" s="350">
        <f t="shared" si="84"/>
        <v>14669663.767938649</v>
      </c>
      <c r="AX201" s="350">
        <f t="shared" si="85"/>
        <v>14417798.171982899</v>
      </c>
      <c r="AY201" s="350">
        <f t="shared" si="86"/>
        <v>74061527.037034854</v>
      </c>
      <c r="AZ201" s="365"/>
      <c r="BA201" s="377">
        <f t="shared" si="87"/>
        <v>0</v>
      </c>
      <c r="BB201" s="377">
        <f t="shared" si="88"/>
        <v>0</v>
      </c>
      <c r="BC201" s="377">
        <f t="shared" si="89"/>
        <v>0</v>
      </c>
      <c r="BD201" s="377">
        <f t="shared" si="90"/>
        <v>0</v>
      </c>
      <c r="BE201" s="377">
        <f t="shared" si="91"/>
        <v>0</v>
      </c>
      <c r="BF201" s="377">
        <f t="shared" si="92"/>
        <v>0</v>
      </c>
      <c r="BG201" s="328"/>
    </row>
    <row r="202" spans="2:59">
      <c r="B202" s="332">
        <v>187</v>
      </c>
      <c r="C202" s="350">
        <v>4868136.2771488028</v>
      </c>
      <c r="D202" s="350">
        <v>4850593.0633244319</v>
      </c>
      <c r="E202" s="350">
        <v>4831620.9376560552</v>
      </c>
      <c r="F202" s="350">
        <v>4808859.8116342435</v>
      </c>
      <c r="G202" s="350">
        <v>4780218.9038598603</v>
      </c>
      <c r="H202" s="348">
        <v>24139428.993623395</v>
      </c>
      <c r="I202" s="369"/>
      <c r="J202" s="350">
        <v>18135365.571649011</v>
      </c>
      <c r="K202" s="350">
        <v>17778793.799989771</v>
      </c>
      <c r="L202" s="350">
        <v>17410864.711669385</v>
      </c>
      <c r="M202" s="350">
        <v>17003704.569025889</v>
      </c>
      <c r="N202" s="350">
        <v>16533850.699516095</v>
      </c>
      <c r="O202" s="348">
        <v>86862579.351850152</v>
      </c>
      <c r="P202" s="369"/>
      <c r="Q202" s="350">
        <f t="shared" si="93"/>
        <v>13267229.294500209</v>
      </c>
      <c r="R202" s="350">
        <f t="shared" si="94"/>
        <v>12928200.736665338</v>
      </c>
      <c r="S202" s="350">
        <f t="shared" si="95"/>
        <v>12579243.774013329</v>
      </c>
      <c r="T202" s="350">
        <f t="shared" si="96"/>
        <v>12194844.757391647</v>
      </c>
      <c r="U202" s="350">
        <f t="shared" si="97"/>
        <v>11753631.795656234</v>
      </c>
      <c r="V202" s="350">
        <f t="shared" si="98"/>
        <v>62723150.358226761</v>
      </c>
      <c r="W202" s="365"/>
      <c r="X202" s="377">
        <f t="shared" si="76"/>
        <v>0</v>
      </c>
      <c r="Y202" s="377">
        <f t="shared" si="77"/>
        <v>0</v>
      </c>
      <c r="Z202" s="377">
        <f t="shared" si="78"/>
        <v>0</v>
      </c>
      <c r="AA202" s="377">
        <f t="shared" si="79"/>
        <v>0</v>
      </c>
      <c r="AB202" s="377">
        <f t="shared" si="80"/>
        <v>0</v>
      </c>
      <c r="AC202" s="377">
        <f t="shared" si="81"/>
        <v>0</v>
      </c>
      <c r="AD202" s="376"/>
      <c r="AE202" s="332">
        <v>187</v>
      </c>
      <c r="AF202" s="350">
        <v>380584.68395153852</v>
      </c>
      <c r="AG202" s="350">
        <v>379213.17787431896</v>
      </c>
      <c r="AH202" s="350">
        <v>377729.96129197272</v>
      </c>
      <c r="AI202" s="350">
        <v>375950.52549555624</v>
      </c>
      <c r="AJ202" s="350">
        <v>373711.41586245806</v>
      </c>
      <c r="AK202" s="348">
        <v>1887189.7644758446</v>
      </c>
      <c r="AL202" s="369"/>
      <c r="AM202" s="350">
        <v>13491648.606000725</v>
      </c>
      <c r="AN202" s="350">
        <v>13376751.662351681</v>
      </c>
      <c r="AO202" s="350">
        <v>13250334.947172374</v>
      </c>
      <c r="AP202" s="350">
        <v>13086805.560349274</v>
      </c>
      <c r="AQ202" s="350">
        <v>12864255.102270951</v>
      </c>
      <c r="AR202" s="348">
        <v>66069795.878145002</v>
      </c>
      <c r="AS202" s="369"/>
      <c r="AT202" s="350">
        <f t="shared" si="99"/>
        <v>13111063.922049187</v>
      </c>
      <c r="AU202" s="350">
        <f t="shared" si="82"/>
        <v>12997538.484477362</v>
      </c>
      <c r="AV202" s="350">
        <f t="shared" si="83"/>
        <v>12872604.985880401</v>
      </c>
      <c r="AW202" s="350">
        <f t="shared" si="84"/>
        <v>12710855.034853717</v>
      </c>
      <c r="AX202" s="350">
        <f t="shared" si="85"/>
        <v>12490543.686408494</v>
      </c>
      <c r="AY202" s="350">
        <f t="shared" si="86"/>
        <v>64182606.113669157</v>
      </c>
      <c r="AZ202" s="365"/>
      <c r="BA202" s="377">
        <f t="shared" si="87"/>
        <v>0</v>
      </c>
      <c r="BB202" s="377">
        <f t="shared" si="88"/>
        <v>0</v>
      </c>
      <c r="BC202" s="377">
        <f t="shared" si="89"/>
        <v>0</v>
      </c>
      <c r="BD202" s="377">
        <f t="shared" si="90"/>
        <v>0</v>
      </c>
      <c r="BE202" s="377">
        <f t="shared" si="91"/>
        <v>0</v>
      </c>
      <c r="BF202" s="377">
        <f t="shared" si="92"/>
        <v>0</v>
      </c>
      <c r="BG202" s="328"/>
    </row>
    <row r="203" spans="2:59">
      <c r="B203" s="332">
        <v>188</v>
      </c>
      <c r="C203" s="350">
        <v>4738156.1731659668</v>
      </c>
      <c r="D203" s="350">
        <v>4721081.3662692718</v>
      </c>
      <c r="E203" s="350">
        <v>4702615.7997288136</v>
      </c>
      <c r="F203" s="350">
        <v>4680462.39981791</v>
      </c>
      <c r="G203" s="350">
        <v>4652586.2093724459</v>
      </c>
      <c r="H203" s="348">
        <v>23494901.948354408</v>
      </c>
      <c r="I203" s="369"/>
      <c r="J203" s="350">
        <v>16921926.209426608</v>
      </c>
      <c r="K203" s="350">
        <v>16580130.734590575</v>
      </c>
      <c r="L203" s="350">
        <v>16227923.316491365</v>
      </c>
      <c r="M203" s="350">
        <v>15839588.567894882</v>
      </c>
      <c r="N203" s="350">
        <v>15393502.686334897</v>
      </c>
      <c r="O203" s="348">
        <v>80963071.514738336</v>
      </c>
      <c r="P203" s="369"/>
      <c r="Q203" s="350">
        <f t="shared" si="93"/>
        <v>12183770.036260642</v>
      </c>
      <c r="R203" s="350">
        <f t="shared" si="94"/>
        <v>11859049.368321303</v>
      </c>
      <c r="S203" s="350">
        <f t="shared" si="95"/>
        <v>11525307.516762551</v>
      </c>
      <c r="T203" s="350">
        <f t="shared" si="96"/>
        <v>11159126.168076972</v>
      </c>
      <c r="U203" s="350">
        <f t="shared" si="97"/>
        <v>10740916.476962451</v>
      </c>
      <c r="V203" s="350">
        <f t="shared" si="98"/>
        <v>57468169.566383928</v>
      </c>
      <c r="W203" s="365"/>
      <c r="X203" s="377">
        <f t="shared" si="76"/>
        <v>0</v>
      </c>
      <c r="Y203" s="377">
        <f t="shared" si="77"/>
        <v>0</v>
      </c>
      <c r="Z203" s="377">
        <f t="shared" si="78"/>
        <v>0</v>
      </c>
      <c r="AA203" s="377">
        <f t="shared" si="79"/>
        <v>0</v>
      </c>
      <c r="AB203" s="377">
        <f t="shared" si="80"/>
        <v>0</v>
      </c>
      <c r="AC203" s="377">
        <f t="shared" si="81"/>
        <v>0</v>
      </c>
      <c r="AD203" s="376"/>
      <c r="AE203" s="332">
        <v>188</v>
      </c>
      <c r="AF203" s="350">
        <v>425017.05807612994</v>
      </c>
      <c r="AG203" s="350">
        <v>423485.43186347978</v>
      </c>
      <c r="AH203" s="350">
        <v>421829.05320479791</v>
      </c>
      <c r="AI203" s="350">
        <v>419841.87242974434</v>
      </c>
      <c r="AJ203" s="350">
        <v>417341.35196978156</v>
      </c>
      <c r="AK203" s="348">
        <v>2107514.7675439334</v>
      </c>
      <c r="AL203" s="369"/>
      <c r="AM203" s="350">
        <v>9366223.0151342861</v>
      </c>
      <c r="AN203" s="350">
        <v>9278998.014682224</v>
      </c>
      <c r="AO203" s="350">
        <v>9183928.0652607102</v>
      </c>
      <c r="AP203" s="350">
        <v>9063486.9256163836</v>
      </c>
      <c r="AQ203" s="350">
        <v>8902686.2307346594</v>
      </c>
      <c r="AR203" s="348">
        <v>45795322.251428261</v>
      </c>
      <c r="AS203" s="369"/>
      <c r="AT203" s="350">
        <f t="shared" si="99"/>
        <v>8941205.9570581559</v>
      </c>
      <c r="AU203" s="350">
        <f t="shared" si="82"/>
        <v>8855512.5828187447</v>
      </c>
      <c r="AV203" s="350">
        <f t="shared" si="83"/>
        <v>8762099.012055913</v>
      </c>
      <c r="AW203" s="350">
        <f t="shared" si="84"/>
        <v>8643645.0531866401</v>
      </c>
      <c r="AX203" s="350">
        <f t="shared" si="85"/>
        <v>8485344.8787648771</v>
      </c>
      <c r="AY203" s="350">
        <f t="shared" si="86"/>
        <v>43687807.483884327</v>
      </c>
      <c r="AZ203" s="365"/>
      <c r="BA203" s="377">
        <f t="shared" si="87"/>
        <v>0</v>
      </c>
      <c r="BB203" s="377">
        <f t="shared" si="88"/>
        <v>0</v>
      </c>
      <c r="BC203" s="377">
        <f t="shared" si="89"/>
        <v>0</v>
      </c>
      <c r="BD203" s="377">
        <f t="shared" si="90"/>
        <v>0</v>
      </c>
      <c r="BE203" s="377">
        <f t="shared" si="91"/>
        <v>0</v>
      </c>
      <c r="BF203" s="377">
        <f t="shared" si="92"/>
        <v>0</v>
      </c>
      <c r="BG203" s="328"/>
    </row>
    <row r="204" spans="2:59">
      <c r="B204" s="332">
        <v>189</v>
      </c>
      <c r="C204" s="350">
        <v>5036567.6648936393</v>
      </c>
      <c r="D204" s="350">
        <v>5018417.4779523043</v>
      </c>
      <c r="E204" s="350">
        <v>4998788.9406157099</v>
      </c>
      <c r="F204" s="350">
        <v>4975240.3082826044</v>
      </c>
      <c r="G204" s="350">
        <v>4945608.4611490769</v>
      </c>
      <c r="H204" s="348">
        <v>24974622.852893334</v>
      </c>
      <c r="I204" s="369"/>
      <c r="J204" s="350">
        <v>16427523.60849876</v>
      </c>
      <c r="K204" s="350">
        <v>16075446.278374288</v>
      </c>
      <c r="L204" s="350">
        <v>15713675.080670658</v>
      </c>
      <c r="M204" s="350">
        <v>15317900.531430816</v>
      </c>
      <c r="N204" s="350">
        <v>14867730.880022243</v>
      </c>
      <c r="O204" s="348">
        <v>78402276.37899676</v>
      </c>
      <c r="P204" s="369"/>
      <c r="Q204" s="350">
        <f t="shared" si="93"/>
        <v>11390955.943605121</v>
      </c>
      <c r="R204" s="350">
        <f t="shared" si="94"/>
        <v>11057028.800421983</v>
      </c>
      <c r="S204" s="350">
        <f t="shared" si="95"/>
        <v>10714886.140054949</v>
      </c>
      <c r="T204" s="350">
        <f t="shared" si="96"/>
        <v>10342660.223148212</v>
      </c>
      <c r="U204" s="350">
        <f t="shared" si="97"/>
        <v>9922122.4188731648</v>
      </c>
      <c r="V204" s="350">
        <f t="shared" si="98"/>
        <v>53427653.526103422</v>
      </c>
      <c r="W204" s="365"/>
      <c r="X204" s="377">
        <f t="shared" si="76"/>
        <v>0</v>
      </c>
      <c r="Y204" s="377">
        <f t="shared" si="77"/>
        <v>0</v>
      </c>
      <c r="Z204" s="377">
        <f t="shared" si="78"/>
        <v>0</v>
      </c>
      <c r="AA204" s="377">
        <f t="shared" si="79"/>
        <v>0</v>
      </c>
      <c r="AB204" s="377">
        <f t="shared" si="80"/>
        <v>0</v>
      </c>
      <c r="AC204" s="377">
        <f t="shared" si="81"/>
        <v>0</v>
      </c>
      <c r="AD204" s="376"/>
      <c r="AE204" s="332">
        <v>189</v>
      </c>
      <c r="AF204" s="350">
        <v>371982.0291904491</v>
      </c>
      <c r="AG204" s="350">
        <v>370641.52434313338</v>
      </c>
      <c r="AH204" s="350">
        <v>369191.8340710458</v>
      </c>
      <c r="AI204" s="350">
        <v>367452.62026061979</v>
      </c>
      <c r="AJ204" s="350">
        <v>365264.1229825585</v>
      </c>
      <c r="AK204" s="348">
        <v>1844532.1308478066</v>
      </c>
      <c r="AL204" s="369"/>
      <c r="AM204" s="350">
        <v>13225511.133515596</v>
      </c>
      <c r="AN204" s="350">
        <v>13112931.470876142</v>
      </c>
      <c r="AO204" s="350">
        <v>12989058.239139004</v>
      </c>
      <c r="AP204" s="350">
        <v>12828801.744937159</v>
      </c>
      <c r="AQ204" s="350">
        <v>12610684.25077486</v>
      </c>
      <c r="AR204" s="348">
        <v>64766986.839242764</v>
      </c>
      <c r="AS204" s="369"/>
      <c r="AT204" s="350">
        <f t="shared" si="99"/>
        <v>12853529.104325147</v>
      </c>
      <c r="AU204" s="350">
        <f t="shared" si="82"/>
        <v>12742289.946533009</v>
      </c>
      <c r="AV204" s="350">
        <f t="shared" si="83"/>
        <v>12619866.405067958</v>
      </c>
      <c r="AW204" s="350">
        <f t="shared" si="84"/>
        <v>12461349.124676539</v>
      </c>
      <c r="AX204" s="350">
        <f t="shared" si="85"/>
        <v>12245420.127792303</v>
      </c>
      <c r="AY204" s="350">
        <f t="shared" si="86"/>
        <v>62922454.70839496</v>
      </c>
      <c r="AZ204" s="365"/>
      <c r="BA204" s="377">
        <f t="shared" si="87"/>
        <v>0</v>
      </c>
      <c r="BB204" s="377">
        <f t="shared" si="88"/>
        <v>0</v>
      </c>
      <c r="BC204" s="377">
        <f t="shared" si="89"/>
        <v>0</v>
      </c>
      <c r="BD204" s="377">
        <f t="shared" si="90"/>
        <v>0</v>
      </c>
      <c r="BE204" s="377">
        <f t="shared" si="91"/>
        <v>0</v>
      </c>
      <c r="BF204" s="377">
        <f t="shared" si="92"/>
        <v>0</v>
      </c>
      <c r="BG204" s="328"/>
    </row>
    <row r="205" spans="2:59">
      <c r="B205" s="332">
        <v>190</v>
      </c>
      <c r="C205" s="350">
        <v>7100295.3665954731</v>
      </c>
      <c r="D205" s="350">
        <v>7074708.1618130039</v>
      </c>
      <c r="E205" s="350">
        <v>7047036.854292307</v>
      </c>
      <c r="F205" s="350">
        <v>7013839.1974416208</v>
      </c>
      <c r="G205" s="350">
        <v>6972065.7356508914</v>
      </c>
      <c r="H205" s="348">
        <v>35207945.315793298</v>
      </c>
      <c r="I205" s="369"/>
      <c r="J205" s="350">
        <v>25594061.681505021</v>
      </c>
      <c r="K205" s="350">
        <v>25080168.412336279</v>
      </c>
      <c r="L205" s="350">
        <v>24550464.702176739</v>
      </c>
      <c r="M205" s="350">
        <v>23965957.564432986</v>
      </c>
      <c r="N205" s="350">
        <v>23293850.662982028</v>
      </c>
      <c r="O205" s="348">
        <v>122484503.02343304</v>
      </c>
      <c r="P205" s="369"/>
      <c r="Q205" s="350">
        <f t="shared" si="93"/>
        <v>18493766.314909548</v>
      </c>
      <c r="R205" s="350">
        <f t="shared" si="94"/>
        <v>18005460.250523277</v>
      </c>
      <c r="S205" s="350">
        <f t="shared" si="95"/>
        <v>17503427.847884431</v>
      </c>
      <c r="T205" s="350">
        <f t="shared" si="96"/>
        <v>16952118.366991363</v>
      </c>
      <c r="U205" s="350">
        <f t="shared" si="97"/>
        <v>16321784.927331137</v>
      </c>
      <c r="V205" s="350">
        <f t="shared" si="98"/>
        <v>87276557.707639754</v>
      </c>
      <c r="W205" s="365"/>
      <c r="X205" s="377">
        <f t="shared" si="76"/>
        <v>0</v>
      </c>
      <c r="Y205" s="377">
        <f t="shared" si="77"/>
        <v>0</v>
      </c>
      <c r="Z205" s="377">
        <f t="shared" si="78"/>
        <v>0</v>
      </c>
      <c r="AA205" s="377">
        <f t="shared" si="79"/>
        <v>0</v>
      </c>
      <c r="AB205" s="377">
        <f t="shared" si="80"/>
        <v>0</v>
      </c>
      <c r="AC205" s="377">
        <f t="shared" si="81"/>
        <v>0</v>
      </c>
      <c r="AD205" s="376"/>
      <c r="AE205" s="332">
        <v>190</v>
      </c>
      <c r="AF205" s="350">
        <v>418318.10089189024</v>
      </c>
      <c r="AG205" s="350">
        <v>416810.61558894196</v>
      </c>
      <c r="AH205" s="350">
        <v>415180.34414055798</v>
      </c>
      <c r="AI205" s="350">
        <v>413224.4845529169</v>
      </c>
      <c r="AJ205" s="350">
        <v>410763.37634519499</v>
      </c>
      <c r="AK205" s="348">
        <v>2074296.9215195021</v>
      </c>
      <c r="AL205" s="369"/>
      <c r="AM205" s="350">
        <v>13270967.224465158</v>
      </c>
      <c r="AN205" s="350">
        <v>13155910.120126147</v>
      </c>
      <c r="AO205" s="350">
        <v>13029563.318899121</v>
      </c>
      <c r="AP205" s="350">
        <v>12866818.410115225</v>
      </c>
      <c r="AQ205" s="350">
        <v>12646185.751677234</v>
      </c>
      <c r="AR205" s="348">
        <v>64969444.825282887</v>
      </c>
      <c r="AS205" s="369"/>
      <c r="AT205" s="350">
        <f t="shared" si="99"/>
        <v>12852649.123573268</v>
      </c>
      <c r="AU205" s="350">
        <f t="shared" si="82"/>
        <v>12739099.504537204</v>
      </c>
      <c r="AV205" s="350">
        <f t="shared" si="83"/>
        <v>12614382.974758564</v>
      </c>
      <c r="AW205" s="350">
        <f t="shared" si="84"/>
        <v>12453593.925562309</v>
      </c>
      <c r="AX205" s="350">
        <f t="shared" si="85"/>
        <v>12235422.375332039</v>
      </c>
      <c r="AY205" s="350">
        <f t="shared" si="86"/>
        <v>62895147.903763384</v>
      </c>
      <c r="AZ205" s="365"/>
      <c r="BA205" s="377">
        <f t="shared" si="87"/>
        <v>0</v>
      </c>
      <c r="BB205" s="377">
        <f t="shared" si="88"/>
        <v>0</v>
      </c>
      <c r="BC205" s="377">
        <f t="shared" si="89"/>
        <v>0</v>
      </c>
      <c r="BD205" s="377">
        <f t="shared" si="90"/>
        <v>0</v>
      </c>
      <c r="BE205" s="377">
        <f t="shared" si="91"/>
        <v>0</v>
      </c>
      <c r="BF205" s="377">
        <f t="shared" si="92"/>
        <v>0</v>
      </c>
      <c r="BG205" s="328"/>
    </row>
    <row r="206" spans="2:59">
      <c r="B206" s="332">
        <v>191</v>
      </c>
      <c r="C206" s="350">
        <v>6562834.1744050514</v>
      </c>
      <c r="D206" s="350">
        <v>6539183.8087084442</v>
      </c>
      <c r="E206" s="350">
        <v>6513607.0977026336</v>
      </c>
      <c r="F206" s="350">
        <v>6482922.3577529583</v>
      </c>
      <c r="G206" s="350">
        <v>6444310.9636533279</v>
      </c>
      <c r="H206" s="348">
        <v>32542858.40222241</v>
      </c>
      <c r="I206" s="369"/>
      <c r="J206" s="350">
        <v>23474185.570337243</v>
      </c>
      <c r="K206" s="350">
        <v>23000507.239370607</v>
      </c>
      <c r="L206" s="350">
        <v>22512375.968289249</v>
      </c>
      <c r="M206" s="350">
        <v>21974104.309711888</v>
      </c>
      <c r="N206" s="350">
        <v>21355681.922672495</v>
      </c>
      <c r="O206" s="348">
        <v>112316855.01038149</v>
      </c>
      <c r="P206" s="369"/>
      <c r="Q206" s="350">
        <f t="shared" si="93"/>
        <v>16911351.39593219</v>
      </c>
      <c r="R206" s="350">
        <f t="shared" si="94"/>
        <v>16461323.430662163</v>
      </c>
      <c r="S206" s="350">
        <f t="shared" si="95"/>
        <v>15998768.870586615</v>
      </c>
      <c r="T206" s="350">
        <f t="shared" si="96"/>
        <v>15491181.95195893</v>
      </c>
      <c r="U206" s="350">
        <f t="shared" si="97"/>
        <v>14911370.959019167</v>
      </c>
      <c r="V206" s="350">
        <f t="shared" si="98"/>
        <v>79773996.60815908</v>
      </c>
      <c r="W206" s="365"/>
      <c r="X206" s="377">
        <f t="shared" si="76"/>
        <v>0</v>
      </c>
      <c r="Y206" s="377">
        <f t="shared" si="77"/>
        <v>0</v>
      </c>
      <c r="Z206" s="377">
        <f t="shared" si="78"/>
        <v>0</v>
      </c>
      <c r="AA206" s="377">
        <f t="shared" si="79"/>
        <v>0</v>
      </c>
      <c r="AB206" s="377">
        <f t="shared" si="80"/>
        <v>0</v>
      </c>
      <c r="AC206" s="377">
        <f t="shared" si="81"/>
        <v>0</v>
      </c>
      <c r="AD206" s="376"/>
      <c r="AE206" s="332">
        <v>191</v>
      </c>
      <c r="AF206" s="350">
        <v>410588.9389561814</v>
      </c>
      <c r="AG206" s="350">
        <v>409109.30709298956</v>
      </c>
      <c r="AH206" s="350">
        <v>407509.15777414484</v>
      </c>
      <c r="AI206" s="350">
        <v>405589.43612900295</v>
      </c>
      <c r="AJ206" s="350">
        <v>403173.80121980247</v>
      </c>
      <c r="AK206" s="348">
        <v>2035970.6411721213</v>
      </c>
      <c r="AL206" s="369"/>
      <c r="AM206" s="350">
        <v>13849979.361397604</v>
      </c>
      <c r="AN206" s="350">
        <v>13731107.710781947</v>
      </c>
      <c r="AO206" s="350">
        <v>13600429.17974568</v>
      </c>
      <c r="AP206" s="350">
        <v>13431700.947978798</v>
      </c>
      <c r="AQ206" s="350">
        <v>13202460.080473065</v>
      </c>
      <c r="AR206" s="348">
        <v>67815677.28037709</v>
      </c>
      <c r="AS206" s="369"/>
      <c r="AT206" s="350">
        <f t="shared" si="99"/>
        <v>13439390.422441423</v>
      </c>
      <c r="AU206" s="350">
        <f t="shared" si="82"/>
        <v>13321998.403688958</v>
      </c>
      <c r="AV206" s="350">
        <f t="shared" si="83"/>
        <v>13192920.021971535</v>
      </c>
      <c r="AW206" s="350">
        <f t="shared" si="84"/>
        <v>13026111.511849795</v>
      </c>
      <c r="AX206" s="350">
        <f t="shared" si="85"/>
        <v>12799286.279253263</v>
      </c>
      <c r="AY206" s="350">
        <f t="shared" si="86"/>
        <v>65779706.639204971</v>
      </c>
      <c r="AZ206" s="365"/>
      <c r="BA206" s="377">
        <f t="shared" si="87"/>
        <v>0</v>
      </c>
      <c r="BB206" s="377">
        <f t="shared" si="88"/>
        <v>0</v>
      </c>
      <c r="BC206" s="377">
        <f t="shared" si="89"/>
        <v>0</v>
      </c>
      <c r="BD206" s="377">
        <f t="shared" si="90"/>
        <v>0</v>
      </c>
      <c r="BE206" s="377">
        <f t="shared" si="91"/>
        <v>0</v>
      </c>
      <c r="BF206" s="377">
        <f t="shared" si="92"/>
        <v>0</v>
      </c>
      <c r="BG206" s="328"/>
    </row>
    <row r="207" spans="2:59">
      <c r="B207" s="332">
        <v>192</v>
      </c>
      <c r="C207" s="350">
        <v>3086368.6097465255</v>
      </c>
      <c r="D207" s="350">
        <v>3075246.319535431</v>
      </c>
      <c r="E207" s="350">
        <v>3063218.1079592863</v>
      </c>
      <c r="F207" s="350">
        <v>3048787.6933453903</v>
      </c>
      <c r="G207" s="350">
        <v>3030629.5330809718</v>
      </c>
      <c r="H207" s="348">
        <v>15304250.263667606</v>
      </c>
      <c r="I207" s="369"/>
      <c r="J207" s="350">
        <v>9716634.7128329873</v>
      </c>
      <c r="K207" s="350">
        <v>9503407.254320791</v>
      </c>
      <c r="L207" s="350">
        <v>9284547.6889929213</v>
      </c>
      <c r="M207" s="350">
        <v>9045838.1239578575</v>
      </c>
      <c r="N207" s="350">
        <v>8775364.6056583151</v>
      </c>
      <c r="O207" s="348">
        <v>46325792.385762878</v>
      </c>
      <c r="P207" s="369"/>
      <c r="Q207" s="350">
        <f t="shared" si="93"/>
        <v>6630266.1030864622</v>
      </c>
      <c r="R207" s="350">
        <f t="shared" si="94"/>
        <v>6428160.9347853605</v>
      </c>
      <c r="S207" s="350">
        <f t="shared" si="95"/>
        <v>6221329.581033635</v>
      </c>
      <c r="T207" s="350">
        <f t="shared" si="96"/>
        <v>5997050.4306124672</v>
      </c>
      <c r="U207" s="350">
        <f t="shared" si="97"/>
        <v>5744735.0725773433</v>
      </c>
      <c r="V207" s="350">
        <f t="shared" si="98"/>
        <v>31021542.122095272</v>
      </c>
      <c r="W207" s="365"/>
      <c r="X207" s="377">
        <f t="shared" si="76"/>
        <v>0</v>
      </c>
      <c r="Y207" s="377">
        <f t="shared" si="77"/>
        <v>0</v>
      </c>
      <c r="Z207" s="377">
        <f t="shared" si="78"/>
        <v>0</v>
      </c>
      <c r="AA207" s="377">
        <f t="shared" si="79"/>
        <v>0</v>
      </c>
      <c r="AB207" s="377">
        <f t="shared" si="80"/>
        <v>0</v>
      </c>
      <c r="AC207" s="377">
        <f t="shared" si="81"/>
        <v>0</v>
      </c>
      <c r="AD207" s="376"/>
      <c r="AE207" s="332">
        <v>192</v>
      </c>
      <c r="AF207" s="350">
        <v>497687.89746676618</v>
      </c>
      <c r="AG207" s="350">
        <v>495894.38867695571</v>
      </c>
      <c r="AH207" s="350">
        <v>493954.79685026599</v>
      </c>
      <c r="AI207" s="350">
        <v>491627.84125394351</v>
      </c>
      <c r="AJ207" s="350">
        <v>488699.77343491348</v>
      </c>
      <c r="AK207" s="348">
        <v>2467864.6976828449</v>
      </c>
      <c r="AL207" s="369"/>
      <c r="AM207" s="350">
        <v>17140680.900832295</v>
      </c>
      <c r="AN207" s="350">
        <v>16994050.897099108</v>
      </c>
      <c r="AO207" s="350">
        <v>16832798.838225074</v>
      </c>
      <c r="AP207" s="350">
        <v>16624431.044522151</v>
      </c>
      <c r="AQ207" s="350">
        <v>16341133.107557677</v>
      </c>
      <c r="AR207" s="348">
        <v>83933094.78823632</v>
      </c>
      <c r="AS207" s="369"/>
      <c r="AT207" s="350">
        <f t="shared" si="99"/>
        <v>16642993.00336553</v>
      </c>
      <c r="AU207" s="350">
        <f t="shared" si="82"/>
        <v>16498156.508422151</v>
      </c>
      <c r="AV207" s="350">
        <f t="shared" si="83"/>
        <v>16338844.041374808</v>
      </c>
      <c r="AW207" s="350">
        <f t="shared" si="84"/>
        <v>16132803.203268208</v>
      </c>
      <c r="AX207" s="350">
        <f t="shared" si="85"/>
        <v>15852433.334122764</v>
      </c>
      <c r="AY207" s="350">
        <f t="shared" si="86"/>
        <v>81465230.090553477</v>
      </c>
      <c r="AZ207" s="365"/>
      <c r="BA207" s="377">
        <f t="shared" si="87"/>
        <v>0</v>
      </c>
      <c r="BB207" s="377">
        <f t="shared" si="88"/>
        <v>0</v>
      </c>
      <c r="BC207" s="377">
        <f t="shared" si="89"/>
        <v>0</v>
      </c>
      <c r="BD207" s="377">
        <f t="shared" si="90"/>
        <v>0</v>
      </c>
      <c r="BE207" s="377">
        <f t="shared" si="91"/>
        <v>0</v>
      </c>
      <c r="BF207" s="377">
        <f t="shared" si="92"/>
        <v>0</v>
      </c>
      <c r="BG207" s="328"/>
    </row>
    <row r="208" spans="2:59">
      <c r="B208" s="332">
        <v>193</v>
      </c>
      <c r="C208" s="350">
        <v>9365702.8795470111</v>
      </c>
      <c r="D208" s="350">
        <v>9331951.8670696765</v>
      </c>
      <c r="E208" s="350">
        <v>9295451.8017700408</v>
      </c>
      <c r="F208" s="350">
        <v>9251662.1600287333</v>
      </c>
      <c r="G208" s="350">
        <v>9196560.5323946588</v>
      </c>
      <c r="H208" s="348">
        <v>46441329.240810126</v>
      </c>
      <c r="I208" s="369"/>
      <c r="J208" s="350">
        <v>27804372.383197971</v>
      </c>
      <c r="K208" s="350">
        <v>27169442.033432454</v>
      </c>
      <c r="L208" s="350">
        <v>26518901.189969342</v>
      </c>
      <c r="M208" s="350">
        <v>25812865.176162902</v>
      </c>
      <c r="N208" s="350">
        <v>25017975.704549372</v>
      </c>
      <c r="O208" s="348">
        <v>132323556.48731203</v>
      </c>
      <c r="P208" s="369"/>
      <c r="Q208" s="350">
        <f t="shared" si="93"/>
        <v>18438669.50365096</v>
      </c>
      <c r="R208" s="350">
        <f t="shared" si="94"/>
        <v>17837490.166362777</v>
      </c>
      <c r="S208" s="350">
        <f t="shared" si="95"/>
        <v>17223449.3881993</v>
      </c>
      <c r="T208" s="350">
        <f t="shared" si="96"/>
        <v>16561203.016134169</v>
      </c>
      <c r="U208" s="350">
        <f t="shared" si="97"/>
        <v>15821415.172154713</v>
      </c>
      <c r="V208" s="350">
        <f t="shared" si="98"/>
        <v>85882227.246501908</v>
      </c>
      <c r="W208" s="365"/>
      <c r="X208" s="377">
        <f t="shared" ref="X208:X271" si="100">IF(Q208&lt;Q$8,1,0)</f>
        <v>0</v>
      </c>
      <c r="Y208" s="377">
        <f t="shared" ref="Y208:Y271" si="101">IF(R208&lt;R$8,1,0)</f>
        <v>0</v>
      </c>
      <c r="Z208" s="377">
        <f t="shared" ref="Z208:Z271" si="102">IF(S208&lt;S$8,1,0)</f>
        <v>0</v>
      </c>
      <c r="AA208" s="377">
        <f t="shared" ref="AA208:AA271" si="103">IF(T208&lt;T$8,1,0)</f>
        <v>0</v>
      </c>
      <c r="AB208" s="377">
        <f t="shared" ref="AB208:AB271" si="104">IF(U208&lt;U$8,1,0)</f>
        <v>0</v>
      </c>
      <c r="AC208" s="377">
        <f t="shared" ref="AC208:AC271" si="105">IF(V208&lt;V$8,1,0)</f>
        <v>0</v>
      </c>
      <c r="AD208" s="376"/>
      <c r="AE208" s="332">
        <v>193</v>
      </c>
      <c r="AF208" s="350">
        <v>579190.8543547882</v>
      </c>
      <c r="AG208" s="350">
        <v>577103.63484724029</v>
      </c>
      <c r="AH208" s="350">
        <v>574846.4092789311</v>
      </c>
      <c r="AI208" s="350">
        <v>572138.38401502639</v>
      </c>
      <c r="AJ208" s="350">
        <v>568730.80647427263</v>
      </c>
      <c r="AK208" s="348">
        <v>2872010.0889702588</v>
      </c>
      <c r="AL208" s="369"/>
      <c r="AM208" s="350">
        <v>12221629.88659469</v>
      </c>
      <c r="AN208" s="350">
        <v>12106671.834400581</v>
      </c>
      <c r="AO208" s="350">
        <v>11981500.513715267</v>
      </c>
      <c r="AP208" s="350">
        <v>11823283.460577551</v>
      </c>
      <c r="AQ208" s="350">
        <v>11612496.731103959</v>
      </c>
      <c r="AR208" s="348">
        <v>59745582.426392049</v>
      </c>
      <c r="AS208" s="369"/>
      <c r="AT208" s="350">
        <f t="shared" si="99"/>
        <v>11642439.032239903</v>
      </c>
      <c r="AU208" s="350">
        <f t="shared" ref="AU208:AU271" si="106">AN208-AG208</f>
        <v>11529568.199553341</v>
      </c>
      <c r="AV208" s="350">
        <f t="shared" ref="AV208:AV271" si="107">AO208-AH208</f>
        <v>11406654.104436336</v>
      </c>
      <c r="AW208" s="350">
        <f t="shared" ref="AW208:AW271" si="108">AP208-AI208</f>
        <v>11251145.076562526</v>
      </c>
      <c r="AX208" s="350">
        <f t="shared" ref="AX208:AX271" si="109">AQ208-AJ208</f>
        <v>11043765.924629686</v>
      </c>
      <c r="AY208" s="350">
        <f t="shared" ref="AY208:AY271" si="110">AR208-AK208</f>
        <v>56873572.33742179</v>
      </c>
      <c r="AZ208" s="365"/>
      <c r="BA208" s="377">
        <f t="shared" ref="BA208:BA271" si="111">IF(AT208&lt;AT$8,1,0)</f>
        <v>0</v>
      </c>
      <c r="BB208" s="377">
        <f t="shared" ref="BB208:BB271" si="112">IF(AU208&lt;AU$8,1,0)</f>
        <v>0</v>
      </c>
      <c r="BC208" s="377">
        <f t="shared" ref="BC208:BC271" si="113">IF(AV208&lt;AV$8,1,0)</f>
        <v>0</v>
      </c>
      <c r="BD208" s="377">
        <f t="shared" ref="BD208:BD271" si="114">IF(AW208&lt;AW$8,1,0)</f>
        <v>0</v>
      </c>
      <c r="BE208" s="377">
        <f t="shared" ref="BE208:BE271" si="115">IF(AX208&lt;AX$8,1,0)</f>
        <v>0</v>
      </c>
      <c r="BF208" s="377">
        <f t="shared" ref="BF208:BF271" si="116">IF(AY208&lt;AY$8,1,0)</f>
        <v>0</v>
      </c>
      <c r="BG208" s="328"/>
    </row>
    <row r="209" spans="2:59">
      <c r="B209" s="332">
        <v>194</v>
      </c>
      <c r="C209" s="350">
        <v>4994595.8718065731</v>
      </c>
      <c r="D209" s="350">
        <v>4976596.9378497079</v>
      </c>
      <c r="E209" s="350">
        <v>4957131.9732004078</v>
      </c>
      <c r="F209" s="350">
        <v>4933779.5813210262</v>
      </c>
      <c r="G209" s="350">
        <v>4904394.6685760384</v>
      </c>
      <c r="H209" s="348">
        <v>24766499.032753754</v>
      </c>
      <c r="I209" s="369"/>
      <c r="J209" s="350">
        <v>16249476.499033697</v>
      </c>
      <c r="K209" s="350">
        <v>15900629.75581466</v>
      </c>
      <c r="L209" s="350">
        <v>15542206.163283704</v>
      </c>
      <c r="M209" s="350">
        <v>15150178.616639178</v>
      </c>
      <c r="N209" s="350">
        <v>14704393.714210294</v>
      </c>
      <c r="O209" s="348">
        <v>77546884.748981535</v>
      </c>
      <c r="P209" s="369"/>
      <c r="Q209" s="350">
        <f t="shared" ref="Q209:Q272" si="117">J209-C209</f>
        <v>11254880.627227124</v>
      </c>
      <c r="R209" s="350">
        <f t="shared" ref="R209:R272" si="118">K209-D209</f>
        <v>10924032.817964952</v>
      </c>
      <c r="S209" s="350">
        <f t="shared" ref="S209:S272" si="119">L209-E209</f>
        <v>10585074.190083295</v>
      </c>
      <c r="T209" s="350">
        <f t="shared" ref="T209:T272" si="120">M209-F209</f>
        <v>10216399.035318151</v>
      </c>
      <c r="U209" s="350">
        <f t="shared" ref="U209:U272" si="121">N209-G209</f>
        <v>9799999.0456342548</v>
      </c>
      <c r="V209" s="350">
        <f t="shared" ref="V209:V272" si="122">O209-H209</f>
        <v>52780385.716227785</v>
      </c>
      <c r="W209" s="365"/>
      <c r="X209" s="377">
        <f t="shared" si="100"/>
        <v>0</v>
      </c>
      <c r="Y209" s="377">
        <f t="shared" si="101"/>
        <v>0</v>
      </c>
      <c r="Z209" s="377">
        <f t="shared" si="102"/>
        <v>0</v>
      </c>
      <c r="AA209" s="377">
        <f t="shared" si="103"/>
        <v>0</v>
      </c>
      <c r="AB209" s="377">
        <f t="shared" si="104"/>
        <v>0</v>
      </c>
      <c r="AC209" s="377">
        <f t="shared" si="105"/>
        <v>0</v>
      </c>
      <c r="AD209" s="376"/>
      <c r="AE209" s="332">
        <v>194</v>
      </c>
      <c r="AF209" s="350">
        <v>632137.59853626916</v>
      </c>
      <c r="AG209" s="350">
        <v>629859.57581336354</v>
      </c>
      <c r="AH209" s="350">
        <v>627396.00592206197</v>
      </c>
      <c r="AI209" s="350">
        <v>624440.42647147283</v>
      </c>
      <c r="AJ209" s="350">
        <v>620721.34515787393</v>
      </c>
      <c r="AK209" s="348">
        <v>3134554.951901041</v>
      </c>
      <c r="AL209" s="369"/>
      <c r="AM209" s="350">
        <v>17662729.340919256</v>
      </c>
      <c r="AN209" s="350">
        <v>17506098.773200698</v>
      </c>
      <c r="AO209" s="350">
        <v>17334513.829720099</v>
      </c>
      <c r="AP209" s="350">
        <v>17114669.932167269</v>
      </c>
      <c r="AQ209" s="350">
        <v>16818069.458158687</v>
      </c>
      <c r="AR209" s="348">
        <v>86436081.334166005</v>
      </c>
      <c r="AS209" s="369"/>
      <c r="AT209" s="350">
        <f t="shared" ref="AT209:AT272" si="123">AM209-AF209</f>
        <v>17030591.742382988</v>
      </c>
      <c r="AU209" s="350">
        <f t="shared" si="106"/>
        <v>16876239.197387334</v>
      </c>
      <c r="AV209" s="350">
        <f t="shared" si="107"/>
        <v>16707117.823798036</v>
      </c>
      <c r="AW209" s="350">
        <f t="shared" si="108"/>
        <v>16490229.505695796</v>
      </c>
      <c r="AX209" s="350">
        <f t="shared" si="109"/>
        <v>16197348.113000812</v>
      </c>
      <c r="AY209" s="350">
        <f t="shared" si="110"/>
        <v>83301526.382264972</v>
      </c>
      <c r="AZ209" s="365"/>
      <c r="BA209" s="377">
        <f t="shared" si="111"/>
        <v>0</v>
      </c>
      <c r="BB209" s="377">
        <f t="shared" si="112"/>
        <v>0</v>
      </c>
      <c r="BC209" s="377">
        <f t="shared" si="113"/>
        <v>0</v>
      </c>
      <c r="BD209" s="377">
        <f t="shared" si="114"/>
        <v>0</v>
      </c>
      <c r="BE209" s="377">
        <f t="shared" si="115"/>
        <v>0</v>
      </c>
      <c r="BF209" s="377">
        <f t="shared" si="116"/>
        <v>0</v>
      </c>
      <c r="BG209" s="328"/>
    </row>
    <row r="210" spans="2:59">
      <c r="B210" s="332">
        <v>195</v>
      </c>
      <c r="C210" s="350">
        <v>6182924.9276191704</v>
      </c>
      <c r="D210" s="350">
        <v>6160643.6339392001</v>
      </c>
      <c r="E210" s="350">
        <v>6136547.5071985517</v>
      </c>
      <c r="F210" s="350">
        <v>6107639.0450173393</v>
      </c>
      <c r="G210" s="350">
        <v>6071262.7867233567</v>
      </c>
      <c r="H210" s="348">
        <v>30659017.900497619</v>
      </c>
      <c r="I210" s="369"/>
      <c r="J210" s="350">
        <v>18985323.286151592</v>
      </c>
      <c r="K210" s="350">
        <v>18561624.207628272</v>
      </c>
      <c r="L210" s="350">
        <v>18127065.015463568</v>
      </c>
      <c r="M210" s="350">
        <v>17654093.852585699</v>
      </c>
      <c r="N210" s="350">
        <v>17119641.571311485</v>
      </c>
      <c r="O210" s="348">
        <v>90447747.933140621</v>
      </c>
      <c r="P210" s="369"/>
      <c r="Q210" s="350">
        <f t="shared" si="117"/>
        <v>12802398.358532421</v>
      </c>
      <c r="R210" s="350">
        <f t="shared" si="118"/>
        <v>12400980.573689073</v>
      </c>
      <c r="S210" s="350">
        <f t="shared" si="119"/>
        <v>11990517.508265017</v>
      </c>
      <c r="T210" s="350">
        <f t="shared" si="120"/>
        <v>11546454.80756836</v>
      </c>
      <c r="U210" s="350">
        <f t="shared" si="121"/>
        <v>11048378.784588128</v>
      </c>
      <c r="V210" s="350">
        <f t="shared" si="122"/>
        <v>59788730.032643005</v>
      </c>
      <c r="W210" s="365"/>
      <c r="X210" s="377">
        <f t="shared" si="100"/>
        <v>0</v>
      </c>
      <c r="Y210" s="377">
        <f t="shared" si="101"/>
        <v>0</v>
      </c>
      <c r="Z210" s="377">
        <f t="shared" si="102"/>
        <v>0</v>
      </c>
      <c r="AA210" s="377">
        <f t="shared" si="103"/>
        <v>0</v>
      </c>
      <c r="AB210" s="377">
        <f t="shared" si="104"/>
        <v>0</v>
      </c>
      <c r="AC210" s="377">
        <f t="shared" si="105"/>
        <v>0</v>
      </c>
      <c r="AD210" s="376"/>
      <c r="AE210" s="332">
        <v>195</v>
      </c>
      <c r="AF210" s="350">
        <v>454498.10957328888</v>
      </c>
      <c r="AG210" s="350">
        <v>452860.24303359416</v>
      </c>
      <c r="AH210" s="350">
        <v>451088.9706698067</v>
      </c>
      <c r="AI210" s="350">
        <v>448963.95030067035</v>
      </c>
      <c r="AJ210" s="350">
        <v>446289.9827494694</v>
      </c>
      <c r="AK210" s="348">
        <v>2253701.2563268295</v>
      </c>
      <c r="AL210" s="369"/>
      <c r="AM210" s="350">
        <v>11889022.721098924</v>
      </c>
      <c r="AN210" s="350">
        <v>11782247.173915815</v>
      </c>
      <c r="AO210" s="350">
        <v>11665433.106415721</v>
      </c>
      <c r="AP210" s="350">
        <v>11516206.206440831</v>
      </c>
      <c r="AQ210" s="350">
        <v>11315424.184055574</v>
      </c>
      <c r="AR210" s="348">
        <v>58168333.391926862</v>
      </c>
      <c r="AS210" s="369"/>
      <c r="AT210" s="350">
        <f t="shared" si="123"/>
        <v>11434524.611525634</v>
      </c>
      <c r="AU210" s="350">
        <f t="shared" si="106"/>
        <v>11329386.930882221</v>
      </c>
      <c r="AV210" s="350">
        <f t="shared" si="107"/>
        <v>11214344.135745915</v>
      </c>
      <c r="AW210" s="350">
        <f t="shared" si="108"/>
        <v>11067242.256140159</v>
      </c>
      <c r="AX210" s="350">
        <f t="shared" si="109"/>
        <v>10869134.201306105</v>
      </c>
      <c r="AY210" s="350">
        <f t="shared" si="110"/>
        <v>55914632.13560003</v>
      </c>
      <c r="AZ210" s="365"/>
      <c r="BA210" s="377">
        <f t="shared" si="111"/>
        <v>0</v>
      </c>
      <c r="BB210" s="377">
        <f t="shared" si="112"/>
        <v>0</v>
      </c>
      <c r="BC210" s="377">
        <f t="shared" si="113"/>
        <v>0</v>
      </c>
      <c r="BD210" s="377">
        <f t="shared" si="114"/>
        <v>0</v>
      </c>
      <c r="BE210" s="377">
        <f t="shared" si="115"/>
        <v>0</v>
      </c>
      <c r="BF210" s="377">
        <f t="shared" si="116"/>
        <v>0</v>
      </c>
      <c r="BG210" s="328"/>
    </row>
    <row r="211" spans="2:59">
      <c r="B211" s="332">
        <v>196</v>
      </c>
      <c r="C211" s="350">
        <v>3489010.690593306</v>
      </c>
      <c r="D211" s="350">
        <v>3476437.4064665008</v>
      </c>
      <c r="E211" s="350">
        <v>3462840.016107697</v>
      </c>
      <c r="F211" s="350">
        <v>3446527.0356365433</v>
      </c>
      <c r="G211" s="350">
        <v>3425999.9945423603</v>
      </c>
      <c r="H211" s="348">
        <v>17300815.143346407</v>
      </c>
      <c r="I211" s="369"/>
      <c r="J211" s="350">
        <v>10490251.630147398</v>
      </c>
      <c r="K211" s="350">
        <v>10252767.323186569</v>
      </c>
      <c r="L211" s="350">
        <v>10009351.154564239</v>
      </c>
      <c r="M211" s="350">
        <v>9744888.3576184101</v>
      </c>
      <c r="N211" s="350">
        <v>9446732.0321025476</v>
      </c>
      <c r="O211" s="348">
        <v>49943990.49761916</v>
      </c>
      <c r="P211" s="369"/>
      <c r="Q211" s="350">
        <f t="shared" si="117"/>
        <v>7001240.9395540915</v>
      </c>
      <c r="R211" s="350">
        <f t="shared" si="118"/>
        <v>6776329.9167200681</v>
      </c>
      <c r="S211" s="350">
        <f t="shared" si="119"/>
        <v>6546511.138456542</v>
      </c>
      <c r="T211" s="350">
        <f t="shared" si="120"/>
        <v>6298361.3219818668</v>
      </c>
      <c r="U211" s="350">
        <f t="shared" si="121"/>
        <v>6020732.0375601873</v>
      </c>
      <c r="V211" s="350">
        <f t="shared" si="122"/>
        <v>32643175.354272753</v>
      </c>
      <c r="W211" s="365"/>
      <c r="X211" s="377">
        <f t="shared" si="100"/>
        <v>0</v>
      </c>
      <c r="Y211" s="377">
        <f t="shared" si="101"/>
        <v>0</v>
      </c>
      <c r="Z211" s="377">
        <f t="shared" si="102"/>
        <v>0</v>
      </c>
      <c r="AA211" s="377">
        <f t="shared" si="103"/>
        <v>0</v>
      </c>
      <c r="AB211" s="377">
        <f t="shared" si="104"/>
        <v>0</v>
      </c>
      <c r="AC211" s="377">
        <f t="shared" si="105"/>
        <v>0</v>
      </c>
      <c r="AD211" s="376"/>
      <c r="AE211" s="332">
        <v>196</v>
      </c>
      <c r="AF211" s="350">
        <v>311445.94049755839</v>
      </c>
      <c r="AG211" s="350">
        <v>310323.58844785753</v>
      </c>
      <c r="AH211" s="350">
        <v>309109.81973111851</v>
      </c>
      <c r="AI211" s="350">
        <v>307653.64432906127</v>
      </c>
      <c r="AJ211" s="350">
        <v>305821.30152872356</v>
      </c>
      <c r="AK211" s="348">
        <v>1544354.2945343191</v>
      </c>
      <c r="AL211" s="369"/>
      <c r="AM211" s="350">
        <v>10220442.741835373</v>
      </c>
      <c r="AN211" s="350">
        <v>10132330.351032047</v>
      </c>
      <c r="AO211" s="350">
        <v>10035513.211885061</v>
      </c>
      <c r="AP211" s="350">
        <v>9910638.3896641675</v>
      </c>
      <c r="AQ211" s="350">
        <v>9741141.2238990422</v>
      </c>
      <c r="AR211" s="348">
        <v>50040065.918315694</v>
      </c>
      <c r="AS211" s="369"/>
      <c r="AT211" s="350">
        <f t="shared" si="123"/>
        <v>9908996.801337814</v>
      </c>
      <c r="AU211" s="350">
        <f t="shared" si="106"/>
        <v>9822006.762584189</v>
      </c>
      <c r="AV211" s="350">
        <f t="shared" si="107"/>
        <v>9726403.392153943</v>
      </c>
      <c r="AW211" s="350">
        <f t="shared" si="108"/>
        <v>9602984.7453351058</v>
      </c>
      <c r="AX211" s="350">
        <f t="shared" si="109"/>
        <v>9435319.9223703183</v>
      </c>
      <c r="AY211" s="350">
        <f t="shared" si="110"/>
        <v>48495711.623781376</v>
      </c>
      <c r="AZ211" s="365"/>
      <c r="BA211" s="377">
        <f t="shared" si="111"/>
        <v>0</v>
      </c>
      <c r="BB211" s="377">
        <f t="shared" si="112"/>
        <v>0</v>
      </c>
      <c r="BC211" s="377">
        <f t="shared" si="113"/>
        <v>0</v>
      </c>
      <c r="BD211" s="377">
        <f t="shared" si="114"/>
        <v>0</v>
      </c>
      <c r="BE211" s="377">
        <f t="shared" si="115"/>
        <v>0</v>
      </c>
      <c r="BF211" s="377">
        <f t="shared" si="116"/>
        <v>0</v>
      </c>
      <c r="BG211" s="328"/>
    </row>
    <row r="212" spans="2:59">
      <c r="B212" s="332">
        <v>197</v>
      </c>
      <c r="C212" s="350">
        <v>5702857.7084968053</v>
      </c>
      <c r="D212" s="350">
        <v>5682306.4242897984</v>
      </c>
      <c r="E212" s="350">
        <v>5660081.2179778162</v>
      </c>
      <c r="F212" s="350">
        <v>5633417.3253508061</v>
      </c>
      <c r="G212" s="350">
        <v>5599865.4664091831</v>
      </c>
      <c r="H212" s="348">
        <v>28278528.14252441</v>
      </c>
      <c r="I212" s="369"/>
      <c r="J212" s="350">
        <v>19305340.670822829</v>
      </c>
      <c r="K212" s="350">
        <v>18901608.462169521</v>
      </c>
      <c r="L212" s="350">
        <v>18486279.519257016</v>
      </c>
      <c r="M212" s="350">
        <v>18030462.051930133</v>
      </c>
      <c r="N212" s="350">
        <v>17509895.179180935</v>
      </c>
      <c r="O212" s="348">
        <v>92233585.883360431</v>
      </c>
      <c r="P212" s="369"/>
      <c r="Q212" s="350">
        <f t="shared" si="117"/>
        <v>13602482.962326024</v>
      </c>
      <c r="R212" s="350">
        <f t="shared" si="118"/>
        <v>13219302.037879722</v>
      </c>
      <c r="S212" s="350">
        <f t="shared" si="119"/>
        <v>12826198.3012792</v>
      </c>
      <c r="T212" s="350">
        <f t="shared" si="120"/>
        <v>12397044.726579327</v>
      </c>
      <c r="U212" s="350">
        <f t="shared" si="121"/>
        <v>11910029.712771751</v>
      </c>
      <c r="V212" s="350">
        <f t="shared" si="122"/>
        <v>63955057.740836024</v>
      </c>
      <c r="W212" s="365"/>
      <c r="X212" s="377">
        <f t="shared" si="100"/>
        <v>0</v>
      </c>
      <c r="Y212" s="377">
        <f t="shared" si="101"/>
        <v>0</v>
      </c>
      <c r="Z212" s="377">
        <f t="shared" si="102"/>
        <v>0</v>
      </c>
      <c r="AA212" s="377">
        <f t="shared" si="103"/>
        <v>0</v>
      </c>
      <c r="AB212" s="377">
        <f t="shared" si="104"/>
        <v>0</v>
      </c>
      <c r="AC212" s="377">
        <f t="shared" si="105"/>
        <v>0</v>
      </c>
      <c r="AD212" s="376"/>
      <c r="AE212" s="332">
        <v>197</v>
      </c>
      <c r="AF212" s="350">
        <v>378081.62992996711</v>
      </c>
      <c r="AG212" s="350">
        <v>376719.14406282682</v>
      </c>
      <c r="AH212" s="350">
        <v>375245.68239545182</v>
      </c>
      <c r="AI212" s="350">
        <v>373477.94970773667</v>
      </c>
      <c r="AJ212" s="350">
        <v>371253.56639602821</v>
      </c>
      <c r="AK212" s="348">
        <v>1874777.9724920108</v>
      </c>
      <c r="AL212" s="369"/>
      <c r="AM212" s="350">
        <v>13475814.240763312</v>
      </c>
      <c r="AN212" s="350">
        <v>13361147.553631099</v>
      </c>
      <c r="AO212" s="350">
        <v>13234972.666807346</v>
      </c>
      <c r="AP212" s="350">
        <v>13071723.635716034</v>
      </c>
      <c r="AQ212" s="350">
        <v>12849514.94765017</v>
      </c>
      <c r="AR212" s="348">
        <v>65993173.044567965</v>
      </c>
      <c r="AS212" s="369"/>
      <c r="AT212" s="350">
        <f t="shared" si="123"/>
        <v>13097732.610833345</v>
      </c>
      <c r="AU212" s="350">
        <f t="shared" si="106"/>
        <v>12984428.409568273</v>
      </c>
      <c r="AV212" s="350">
        <f t="shared" si="107"/>
        <v>12859726.984411893</v>
      </c>
      <c r="AW212" s="350">
        <f t="shared" si="108"/>
        <v>12698245.686008297</v>
      </c>
      <c r="AX212" s="350">
        <f t="shared" si="109"/>
        <v>12478261.381254142</v>
      </c>
      <c r="AY212" s="350">
        <f t="shared" si="110"/>
        <v>64118395.072075956</v>
      </c>
      <c r="AZ212" s="365"/>
      <c r="BA212" s="377">
        <f t="shared" si="111"/>
        <v>0</v>
      </c>
      <c r="BB212" s="377">
        <f t="shared" si="112"/>
        <v>0</v>
      </c>
      <c r="BC212" s="377">
        <f t="shared" si="113"/>
        <v>0</v>
      </c>
      <c r="BD212" s="377">
        <f t="shared" si="114"/>
        <v>0</v>
      </c>
      <c r="BE212" s="377">
        <f t="shared" si="115"/>
        <v>0</v>
      </c>
      <c r="BF212" s="377">
        <f t="shared" si="116"/>
        <v>0</v>
      </c>
      <c r="BG212" s="328"/>
    </row>
    <row r="213" spans="2:59">
      <c r="B213" s="332">
        <v>198</v>
      </c>
      <c r="C213" s="350">
        <v>5552480.6031408673</v>
      </c>
      <c r="D213" s="350">
        <v>5532471.2301629968</v>
      </c>
      <c r="E213" s="350">
        <v>5510832.0742773041</v>
      </c>
      <c r="F213" s="350">
        <v>5484871.2745899614</v>
      </c>
      <c r="G213" s="350">
        <v>5452204.1355001843</v>
      </c>
      <c r="H213" s="348">
        <v>27532859.317671314</v>
      </c>
      <c r="I213" s="369"/>
      <c r="J213" s="350">
        <v>21319915.646314178</v>
      </c>
      <c r="K213" s="350">
        <v>20908640.607581392</v>
      </c>
      <c r="L213" s="350">
        <v>20483852.390467174</v>
      </c>
      <c r="M213" s="350">
        <v>20012527.183640637</v>
      </c>
      <c r="N213" s="350">
        <v>19466848.015110921</v>
      </c>
      <c r="O213" s="348">
        <v>102191783.8431143</v>
      </c>
      <c r="P213" s="369"/>
      <c r="Q213" s="350">
        <f t="shared" si="117"/>
        <v>15767435.043173309</v>
      </c>
      <c r="R213" s="350">
        <f t="shared" si="118"/>
        <v>15376169.377418395</v>
      </c>
      <c r="S213" s="350">
        <f t="shared" si="119"/>
        <v>14973020.31618987</v>
      </c>
      <c r="T213" s="350">
        <f t="shared" si="120"/>
        <v>14527655.909050675</v>
      </c>
      <c r="U213" s="350">
        <f t="shared" si="121"/>
        <v>14014643.879610736</v>
      </c>
      <c r="V213" s="350">
        <f t="shared" si="122"/>
        <v>74658924.525442988</v>
      </c>
      <c r="W213" s="365"/>
      <c r="X213" s="377">
        <f t="shared" si="100"/>
        <v>0</v>
      </c>
      <c r="Y213" s="377">
        <f t="shared" si="101"/>
        <v>0</v>
      </c>
      <c r="Z213" s="377">
        <f t="shared" si="102"/>
        <v>0</v>
      </c>
      <c r="AA213" s="377">
        <f t="shared" si="103"/>
        <v>0</v>
      </c>
      <c r="AB213" s="377">
        <f t="shared" si="104"/>
        <v>0</v>
      </c>
      <c r="AC213" s="377">
        <f t="shared" si="105"/>
        <v>0</v>
      </c>
      <c r="AD213" s="376"/>
      <c r="AE213" s="332">
        <v>198</v>
      </c>
      <c r="AF213" s="350">
        <v>405641.22100609553</v>
      </c>
      <c r="AG213" s="350">
        <v>404179.41914374987</v>
      </c>
      <c r="AH213" s="350">
        <v>402598.55209667754</v>
      </c>
      <c r="AI213" s="350">
        <v>400701.96366420068</v>
      </c>
      <c r="AJ213" s="350">
        <v>398315.43786892685</v>
      </c>
      <c r="AK213" s="348">
        <v>2011436.5937796505</v>
      </c>
      <c r="AL213" s="369"/>
      <c r="AM213" s="350">
        <v>14510357.754809266</v>
      </c>
      <c r="AN213" s="350">
        <v>14386956.072970664</v>
      </c>
      <c r="AO213" s="350">
        <v>14251161.313663103</v>
      </c>
      <c r="AP213" s="350">
        <v>14075442.628240788</v>
      </c>
      <c r="AQ213" s="350">
        <v>13836232.33035641</v>
      </c>
      <c r="AR213" s="348">
        <v>71060150.100040227</v>
      </c>
      <c r="AS213" s="369"/>
      <c r="AT213" s="350">
        <f t="shared" si="123"/>
        <v>14104716.533803171</v>
      </c>
      <c r="AU213" s="350">
        <f t="shared" si="106"/>
        <v>13982776.653826915</v>
      </c>
      <c r="AV213" s="350">
        <f t="shared" si="107"/>
        <v>13848562.761566425</v>
      </c>
      <c r="AW213" s="350">
        <f t="shared" si="108"/>
        <v>13674740.664576588</v>
      </c>
      <c r="AX213" s="350">
        <f t="shared" si="109"/>
        <v>13437916.892487483</v>
      </c>
      <c r="AY213" s="350">
        <f t="shared" si="110"/>
        <v>69048713.506260574</v>
      </c>
      <c r="AZ213" s="365"/>
      <c r="BA213" s="377">
        <f t="shared" si="111"/>
        <v>0</v>
      </c>
      <c r="BB213" s="377">
        <f t="shared" si="112"/>
        <v>0</v>
      </c>
      <c r="BC213" s="377">
        <f t="shared" si="113"/>
        <v>0</v>
      </c>
      <c r="BD213" s="377">
        <f t="shared" si="114"/>
        <v>0</v>
      </c>
      <c r="BE213" s="377">
        <f t="shared" si="115"/>
        <v>0</v>
      </c>
      <c r="BF213" s="377">
        <f t="shared" si="116"/>
        <v>0</v>
      </c>
      <c r="BG213" s="328"/>
    </row>
    <row r="214" spans="2:59">
      <c r="B214" s="332">
        <v>199</v>
      </c>
      <c r="C214" s="350">
        <v>6154137.4447349571</v>
      </c>
      <c r="D214" s="350">
        <v>6131959.8919814881</v>
      </c>
      <c r="E214" s="350">
        <v>6107975.9559667865</v>
      </c>
      <c r="F214" s="350">
        <v>6079202.0905775446</v>
      </c>
      <c r="G214" s="350">
        <v>6042995.1988738561</v>
      </c>
      <c r="H214" s="348">
        <v>30516270.582134634</v>
      </c>
      <c r="I214" s="369"/>
      <c r="J214" s="350">
        <v>21717565.407916784</v>
      </c>
      <c r="K214" s="350">
        <v>21275509.700507905</v>
      </c>
      <c r="L214" s="350">
        <v>20820160.674888466</v>
      </c>
      <c r="M214" s="350">
        <v>20318624.937779717</v>
      </c>
      <c r="N214" s="350">
        <v>19743251.127429374</v>
      </c>
      <c r="O214" s="348">
        <v>103875111.84852225</v>
      </c>
      <c r="P214" s="369"/>
      <c r="Q214" s="350">
        <f t="shared" si="117"/>
        <v>15563427.963181827</v>
      </c>
      <c r="R214" s="350">
        <f t="shared" si="118"/>
        <v>15143549.808526417</v>
      </c>
      <c r="S214" s="350">
        <f t="shared" si="119"/>
        <v>14712184.71892168</v>
      </c>
      <c r="T214" s="350">
        <f t="shared" si="120"/>
        <v>14239422.847202173</v>
      </c>
      <c r="U214" s="350">
        <f t="shared" si="121"/>
        <v>13700255.928555518</v>
      </c>
      <c r="V214" s="350">
        <f t="shared" si="122"/>
        <v>73358841.266387612</v>
      </c>
      <c r="W214" s="365"/>
      <c r="X214" s="377">
        <f t="shared" si="100"/>
        <v>0</v>
      </c>
      <c r="Y214" s="377">
        <f t="shared" si="101"/>
        <v>0</v>
      </c>
      <c r="Z214" s="377">
        <f t="shared" si="102"/>
        <v>0</v>
      </c>
      <c r="AA214" s="377">
        <f t="shared" si="103"/>
        <v>0</v>
      </c>
      <c r="AB214" s="377">
        <f t="shared" si="104"/>
        <v>0</v>
      </c>
      <c r="AC214" s="377">
        <f t="shared" si="105"/>
        <v>0</v>
      </c>
      <c r="AD214" s="376"/>
      <c r="AE214" s="332">
        <v>199</v>
      </c>
      <c r="AF214" s="350">
        <v>463604.13361739763</v>
      </c>
      <c r="AG214" s="350">
        <v>461933.45186510385</v>
      </c>
      <c r="AH214" s="350">
        <v>460126.69145770621</v>
      </c>
      <c r="AI214" s="350">
        <v>457959.09558348416</v>
      </c>
      <c r="AJ214" s="350">
        <v>455231.55418389634</v>
      </c>
      <c r="AK214" s="348">
        <v>2298854.9267075881</v>
      </c>
      <c r="AL214" s="369"/>
      <c r="AM214" s="350">
        <v>15382539.328070624</v>
      </c>
      <c r="AN214" s="350">
        <v>15250162.250867123</v>
      </c>
      <c r="AO214" s="350">
        <v>15104678.994058428</v>
      </c>
      <c r="AP214" s="350">
        <v>14916954.216848921</v>
      </c>
      <c r="AQ214" s="350">
        <v>14662049.781789985</v>
      </c>
      <c r="AR214" s="348">
        <v>75316384.571635082</v>
      </c>
      <c r="AS214" s="369"/>
      <c r="AT214" s="350">
        <f t="shared" si="123"/>
        <v>14918935.194453226</v>
      </c>
      <c r="AU214" s="350">
        <f t="shared" si="106"/>
        <v>14788228.79900202</v>
      </c>
      <c r="AV214" s="350">
        <f t="shared" si="107"/>
        <v>14644552.302600723</v>
      </c>
      <c r="AW214" s="350">
        <f t="shared" si="108"/>
        <v>14458995.121265437</v>
      </c>
      <c r="AX214" s="350">
        <f t="shared" si="109"/>
        <v>14206818.227606088</v>
      </c>
      <c r="AY214" s="350">
        <f t="shared" si="110"/>
        <v>73017529.644927502</v>
      </c>
      <c r="AZ214" s="365"/>
      <c r="BA214" s="377">
        <f t="shared" si="111"/>
        <v>0</v>
      </c>
      <c r="BB214" s="377">
        <f t="shared" si="112"/>
        <v>0</v>
      </c>
      <c r="BC214" s="377">
        <f t="shared" si="113"/>
        <v>0</v>
      </c>
      <c r="BD214" s="377">
        <f t="shared" si="114"/>
        <v>0</v>
      </c>
      <c r="BE214" s="377">
        <f t="shared" si="115"/>
        <v>0</v>
      </c>
      <c r="BF214" s="377">
        <f t="shared" si="116"/>
        <v>0</v>
      </c>
      <c r="BG214" s="328"/>
    </row>
    <row r="215" spans="2:59">
      <c r="B215" s="332">
        <v>200</v>
      </c>
      <c r="C215" s="350">
        <v>3604067.4397513107</v>
      </c>
      <c r="D215" s="350">
        <v>3591079.5277181575</v>
      </c>
      <c r="E215" s="350">
        <v>3577033.7376063988</v>
      </c>
      <c r="F215" s="350">
        <v>3560182.8056445415</v>
      </c>
      <c r="G215" s="350">
        <v>3538978.8464129334</v>
      </c>
      <c r="H215" s="348">
        <v>17871342.357133344</v>
      </c>
      <c r="I215" s="369"/>
      <c r="J215" s="350">
        <v>12504393.370790541</v>
      </c>
      <c r="K215" s="350">
        <v>12247054.202641044</v>
      </c>
      <c r="L215" s="350">
        <v>11982118.586202566</v>
      </c>
      <c r="M215" s="350">
        <v>11690738.310050789</v>
      </c>
      <c r="N215" s="350">
        <v>11357075.840579133</v>
      </c>
      <c r="O215" s="348">
        <v>59781380.310264081</v>
      </c>
      <c r="P215" s="369"/>
      <c r="Q215" s="350">
        <f t="shared" si="117"/>
        <v>8900325.9310392309</v>
      </c>
      <c r="R215" s="350">
        <f t="shared" si="118"/>
        <v>8655974.6749228872</v>
      </c>
      <c r="S215" s="350">
        <f t="shared" si="119"/>
        <v>8405084.8485961668</v>
      </c>
      <c r="T215" s="350">
        <f t="shared" si="120"/>
        <v>8130555.5044062473</v>
      </c>
      <c r="U215" s="350">
        <f t="shared" si="121"/>
        <v>7818096.9941662</v>
      </c>
      <c r="V215" s="350">
        <f t="shared" si="122"/>
        <v>41910037.953130737</v>
      </c>
      <c r="W215" s="365"/>
      <c r="X215" s="377">
        <f t="shared" si="100"/>
        <v>0</v>
      </c>
      <c r="Y215" s="377">
        <f t="shared" si="101"/>
        <v>0</v>
      </c>
      <c r="Z215" s="377">
        <f t="shared" si="102"/>
        <v>0</v>
      </c>
      <c r="AA215" s="377">
        <f t="shared" si="103"/>
        <v>0</v>
      </c>
      <c r="AB215" s="377">
        <f t="shared" si="104"/>
        <v>0</v>
      </c>
      <c r="AC215" s="377">
        <f t="shared" si="105"/>
        <v>0</v>
      </c>
      <c r="AD215" s="376"/>
      <c r="AE215" s="332">
        <v>200</v>
      </c>
      <c r="AF215" s="350">
        <v>357075.19051785022</v>
      </c>
      <c r="AG215" s="350">
        <v>355788.40517290478</v>
      </c>
      <c r="AH215" s="350">
        <v>354396.80990895047</v>
      </c>
      <c r="AI215" s="350">
        <v>352727.2934969326</v>
      </c>
      <c r="AJ215" s="350">
        <v>350626.49824020412</v>
      </c>
      <c r="AK215" s="348">
        <v>1770614.1973368421</v>
      </c>
      <c r="AL215" s="369"/>
      <c r="AM215" s="350">
        <v>15430687.766514916</v>
      </c>
      <c r="AN215" s="350">
        <v>15302906.216761893</v>
      </c>
      <c r="AO215" s="350">
        <v>15161875.162212696</v>
      </c>
      <c r="AP215" s="350">
        <v>14978206.264926767</v>
      </c>
      <c r="AQ215" s="350">
        <v>14726734.952024853</v>
      </c>
      <c r="AR215" s="348">
        <v>75600410.362441123</v>
      </c>
      <c r="AS215" s="369"/>
      <c r="AT215" s="350">
        <f t="shared" si="123"/>
        <v>15073612.575997066</v>
      </c>
      <c r="AU215" s="350">
        <f t="shared" si="106"/>
        <v>14947117.811588988</v>
      </c>
      <c r="AV215" s="350">
        <f t="shared" si="107"/>
        <v>14807478.352303745</v>
      </c>
      <c r="AW215" s="350">
        <f t="shared" si="108"/>
        <v>14625478.971429834</v>
      </c>
      <c r="AX215" s="350">
        <f t="shared" si="109"/>
        <v>14376108.453784648</v>
      </c>
      <c r="AY215" s="350">
        <f t="shared" si="110"/>
        <v>73829796.165104285</v>
      </c>
      <c r="AZ215" s="365"/>
      <c r="BA215" s="377">
        <f t="shared" si="111"/>
        <v>0</v>
      </c>
      <c r="BB215" s="377">
        <f t="shared" si="112"/>
        <v>0</v>
      </c>
      <c r="BC215" s="377">
        <f t="shared" si="113"/>
        <v>0</v>
      </c>
      <c r="BD215" s="377">
        <f t="shared" si="114"/>
        <v>0</v>
      </c>
      <c r="BE215" s="377">
        <f t="shared" si="115"/>
        <v>0</v>
      </c>
      <c r="BF215" s="377">
        <f t="shared" si="116"/>
        <v>0</v>
      </c>
      <c r="BG215" s="328"/>
    </row>
    <row r="216" spans="2:59">
      <c r="B216" s="332">
        <v>201</v>
      </c>
      <c r="C216" s="350">
        <v>6980907.8262903076</v>
      </c>
      <c r="D216" s="350">
        <v>6955750.856207178</v>
      </c>
      <c r="E216" s="350">
        <v>6928544.8264209069</v>
      </c>
      <c r="F216" s="350">
        <v>6895905.3698126972</v>
      </c>
      <c r="G216" s="350">
        <v>6854834.305682309</v>
      </c>
      <c r="H216" s="348">
        <v>34615943.184413403</v>
      </c>
      <c r="I216" s="369"/>
      <c r="J216" s="350">
        <v>20018243.103089519</v>
      </c>
      <c r="K216" s="350">
        <v>19550075.927463271</v>
      </c>
      <c r="L216" s="350">
        <v>19070895.100754164</v>
      </c>
      <c r="M216" s="350">
        <v>18552341.442379214</v>
      </c>
      <c r="N216" s="350">
        <v>17970724.98279129</v>
      </c>
      <c r="O216" s="348">
        <v>95162280.556477457</v>
      </c>
      <c r="P216" s="369"/>
      <c r="Q216" s="350">
        <f t="shared" si="117"/>
        <v>13037335.276799211</v>
      </c>
      <c r="R216" s="350">
        <f t="shared" si="118"/>
        <v>12594325.071256094</v>
      </c>
      <c r="S216" s="350">
        <f t="shared" si="119"/>
        <v>12142350.274333257</v>
      </c>
      <c r="T216" s="350">
        <f t="shared" si="120"/>
        <v>11656436.072566517</v>
      </c>
      <c r="U216" s="350">
        <f t="shared" si="121"/>
        <v>11115890.677108981</v>
      </c>
      <c r="V216" s="350">
        <f t="shared" si="122"/>
        <v>60546337.372064054</v>
      </c>
      <c r="W216" s="365"/>
      <c r="X216" s="377">
        <f t="shared" si="100"/>
        <v>0</v>
      </c>
      <c r="Y216" s="377">
        <f t="shared" si="101"/>
        <v>0</v>
      </c>
      <c r="Z216" s="377">
        <f t="shared" si="102"/>
        <v>0</v>
      </c>
      <c r="AA216" s="377">
        <f t="shared" si="103"/>
        <v>0</v>
      </c>
      <c r="AB216" s="377">
        <f t="shared" si="104"/>
        <v>0</v>
      </c>
      <c r="AC216" s="377">
        <f t="shared" si="105"/>
        <v>0</v>
      </c>
      <c r="AD216" s="376"/>
      <c r="AE216" s="332">
        <v>201</v>
      </c>
      <c r="AF216" s="350">
        <v>539799.81225521362</v>
      </c>
      <c r="AG216" s="350">
        <v>537854.54552691744</v>
      </c>
      <c r="AH216" s="350">
        <v>535750.83492991864</v>
      </c>
      <c r="AI216" s="350">
        <v>533226.98373640038</v>
      </c>
      <c r="AJ216" s="350">
        <v>530051.15714502044</v>
      </c>
      <c r="AK216" s="348">
        <v>2676683.3335934705</v>
      </c>
      <c r="AL216" s="369"/>
      <c r="AM216" s="350">
        <v>14549704.427727688</v>
      </c>
      <c r="AN216" s="350">
        <v>14419794.695418879</v>
      </c>
      <c r="AO216" s="350">
        <v>14277584.341989689</v>
      </c>
      <c r="AP216" s="350">
        <v>14095667.245591523</v>
      </c>
      <c r="AQ216" s="350">
        <v>13850594.651329938</v>
      </c>
      <c r="AR216" s="348">
        <v>71193345.362057716</v>
      </c>
      <c r="AS216" s="369"/>
      <c r="AT216" s="350">
        <f t="shared" si="123"/>
        <v>14009904.615472475</v>
      </c>
      <c r="AU216" s="350">
        <f t="shared" si="106"/>
        <v>13881940.149891961</v>
      </c>
      <c r="AV216" s="350">
        <f t="shared" si="107"/>
        <v>13741833.50705977</v>
      </c>
      <c r="AW216" s="350">
        <f t="shared" si="108"/>
        <v>13562440.261855124</v>
      </c>
      <c r="AX216" s="350">
        <f t="shared" si="109"/>
        <v>13320543.494184919</v>
      </c>
      <c r="AY216" s="350">
        <f t="shared" si="110"/>
        <v>68516662.028464243</v>
      </c>
      <c r="AZ216" s="365"/>
      <c r="BA216" s="377">
        <f t="shared" si="111"/>
        <v>0</v>
      </c>
      <c r="BB216" s="377">
        <f t="shared" si="112"/>
        <v>0</v>
      </c>
      <c r="BC216" s="377">
        <f t="shared" si="113"/>
        <v>0</v>
      </c>
      <c r="BD216" s="377">
        <f t="shared" si="114"/>
        <v>0</v>
      </c>
      <c r="BE216" s="377">
        <f t="shared" si="115"/>
        <v>0</v>
      </c>
      <c r="BF216" s="377">
        <f t="shared" si="116"/>
        <v>0</v>
      </c>
      <c r="BG216" s="328"/>
    </row>
    <row r="217" spans="2:59">
      <c r="B217" s="332">
        <v>202</v>
      </c>
      <c r="C217" s="350">
        <v>7593303.0118257506</v>
      </c>
      <c r="D217" s="350">
        <v>7565939.1643930096</v>
      </c>
      <c r="E217" s="350">
        <v>7536346.5049486421</v>
      </c>
      <c r="F217" s="350">
        <v>7500843.7751698475</v>
      </c>
      <c r="G217" s="350">
        <v>7456169.7810819037</v>
      </c>
      <c r="H217" s="348">
        <v>37652602.237419158</v>
      </c>
      <c r="I217" s="369"/>
      <c r="J217" s="350">
        <v>24210010.678856023</v>
      </c>
      <c r="K217" s="350">
        <v>23683219.028735284</v>
      </c>
      <c r="L217" s="350">
        <v>23142302.774446003</v>
      </c>
      <c r="M217" s="350">
        <v>22551691.640927054</v>
      </c>
      <c r="N217" s="350">
        <v>21881567.881386027</v>
      </c>
      <c r="O217" s="348">
        <v>115468792.00435038</v>
      </c>
      <c r="P217" s="369"/>
      <c r="Q217" s="350">
        <f t="shared" si="117"/>
        <v>16616707.667030271</v>
      </c>
      <c r="R217" s="350">
        <f t="shared" si="118"/>
        <v>16117279.864342274</v>
      </c>
      <c r="S217" s="350">
        <f t="shared" si="119"/>
        <v>15605956.269497361</v>
      </c>
      <c r="T217" s="350">
        <f t="shared" si="120"/>
        <v>15050847.865757206</v>
      </c>
      <c r="U217" s="350">
        <f t="shared" si="121"/>
        <v>14425398.100304123</v>
      </c>
      <c r="V217" s="350">
        <f t="shared" si="122"/>
        <v>77816189.766931221</v>
      </c>
      <c r="W217" s="365"/>
      <c r="X217" s="377">
        <f t="shared" si="100"/>
        <v>0</v>
      </c>
      <c r="Y217" s="377">
        <f t="shared" si="101"/>
        <v>0</v>
      </c>
      <c r="Z217" s="377">
        <f t="shared" si="102"/>
        <v>0</v>
      </c>
      <c r="AA217" s="377">
        <f t="shared" si="103"/>
        <v>0</v>
      </c>
      <c r="AB217" s="377">
        <f t="shared" si="104"/>
        <v>0</v>
      </c>
      <c r="AC217" s="377">
        <f t="shared" si="105"/>
        <v>0</v>
      </c>
      <c r="AD217" s="376"/>
      <c r="AE217" s="332">
        <v>202</v>
      </c>
      <c r="AF217" s="350">
        <v>498483.72690951038</v>
      </c>
      <c r="AG217" s="350">
        <v>496687.35020366672</v>
      </c>
      <c r="AH217" s="350">
        <v>494744.65686639061</v>
      </c>
      <c r="AI217" s="350">
        <v>492413.98034419294</v>
      </c>
      <c r="AJ217" s="350">
        <v>489481.23038884305</v>
      </c>
      <c r="AK217" s="348">
        <v>2471810.9447126039</v>
      </c>
      <c r="AL217" s="369"/>
      <c r="AM217" s="350">
        <v>15264922.680882646</v>
      </c>
      <c r="AN217" s="350">
        <v>15131775.024896374</v>
      </c>
      <c r="AO217" s="350">
        <v>14985657.804462545</v>
      </c>
      <c r="AP217" s="350">
        <v>14797716.027459893</v>
      </c>
      <c r="AQ217" s="350">
        <v>14543255.035870751</v>
      </c>
      <c r="AR217" s="348">
        <v>74723326.573572204</v>
      </c>
      <c r="AS217" s="369"/>
      <c r="AT217" s="350">
        <f t="shared" si="123"/>
        <v>14766438.953973135</v>
      </c>
      <c r="AU217" s="350">
        <f t="shared" si="106"/>
        <v>14635087.674692707</v>
      </c>
      <c r="AV217" s="350">
        <f t="shared" si="107"/>
        <v>14490913.147596154</v>
      </c>
      <c r="AW217" s="350">
        <f t="shared" si="108"/>
        <v>14305302.0471157</v>
      </c>
      <c r="AX217" s="350">
        <f t="shared" si="109"/>
        <v>14053773.805481909</v>
      </c>
      <c r="AY217" s="350">
        <f t="shared" si="110"/>
        <v>72251515.628859594</v>
      </c>
      <c r="AZ217" s="365"/>
      <c r="BA217" s="377">
        <f t="shared" si="111"/>
        <v>0</v>
      </c>
      <c r="BB217" s="377">
        <f t="shared" si="112"/>
        <v>0</v>
      </c>
      <c r="BC217" s="377">
        <f t="shared" si="113"/>
        <v>0</v>
      </c>
      <c r="BD217" s="377">
        <f t="shared" si="114"/>
        <v>0</v>
      </c>
      <c r="BE217" s="377">
        <f t="shared" si="115"/>
        <v>0</v>
      </c>
      <c r="BF217" s="377">
        <f t="shared" si="116"/>
        <v>0</v>
      </c>
      <c r="BG217" s="328"/>
    </row>
    <row r="218" spans="2:59">
      <c r="B218" s="332">
        <v>203</v>
      </c>
      <c r="C218" s="350">
        <v>6143765.1777458228</v>
      </c>
      <c r="D218" s="350">
        <v>6121625.0033415351</v>
      </c>
      <c r="E218" s="350">
        <v>6097681.4901789445</v>
      </c>
      <c r="F218" s="350">
        <v>6068956.120653959</v>
      </c>
      <c r="G218" s="350">
        <v>6032810.2525382172</v>
      </c>
      <c r="H218" s="348">
        <v>30464838.044458479</v>
      </c>
      <c r="I218" s="369"/>
      <c r="J218" s="350">
        <v>19860776.282468475</v>
      </c>
      <c r="K218" s="350">
        <v>19432584.364203818</v>
      </c>
      <c r="L218" s="350">
        <v>18992724.333981864</v>
      </c>
      <c r="M218" s="350">
        <v>18511887.966268063</v>
      </c>
      <c r="N218" s="350">
        <v>17965496.765216358</v>
      </c>
      <c r="O218" s="348">
        <v>94763469.712138563</v>
      </c>
      <c r="P218" s="369"/>
      <c r="Q218" s="350">
        <f t="shared" si="117"/>
        <v>13717011.104722653</v>
      </c>
      <c r="R218" s="350">
        <f t="shared" si="118"/>
        <v>13310959.360862283</v>
      </c>
      <c r="S218" s="350">
        <f t="shared" si="119"/>
        <v>12895042.84380292</v>
      </c>
      <c r="T218" s="350">
        <f t="shared" si="120"/>
        <v>12442931.845614104</v>
      </c>
      <c r="U218" s="350">
        <f t="shared" si="121"/>
        <v>11932686.512678141</v>
      </c>
      <c r="V218" s="350">
        <f t="shared" si="122"/>
        <v>64298631.667680085</v>
      </c>
      <c r="W218" s="365"/>
      <c r="X218" s="377">
        <f t="shared" si="100"/>
        <v>0</v>
      </c>
      <c r="Y218" s="377">
        <f t="shared" si="101"/>
        <v>0</v>
      </c>
      <c r="Z218" s="377">
        <f t="shared" si="102"/>
        <v>0</v>
      </c>
      <c r="AA218" s="377">
        <f t="shared" si="103"/>
        <v>0</v>
      </c>
      <c r="AB218" s="377">
        <f t="shared" si="104"/>
        <v>0</v>
      </c>
      <c r="AC218" s="377">
        <f t="shared" si="105"/>
        <v>0</v>
      </c>
      <c r="AD218" s="376"/>
      <c r="AE218" s="332">
        <v>203</v>
      </c>
      <c r="AF218" s="350">
        <v>250720.6740228541</v>
      </c>
      <c r="AG218" s="350">
        <v>249817.15650728665</v>
      </c>
      <c r="AH218" s="350">
        <v>248840.04661051769</v>
      </c>
      <c r="AI218" s="350">
        <v>247667.79412356595</v>
      </c>
      <c r="AJ218" s="350">
        <v>246192.71879843037</v>
      </c>
      <c r="AK218" s="348">
        <v>1243238.3900626549</v>
      </c>
      <c r="AL218" s="369"/>
      <c r="AM218" s="350">
        <v>7957829.9191335943</v>
      </c>
      <c r="AN218" s="350">
        <v>7888842.4301611455</v>
      </c>
      <c r="AO218" s="350">
        <v>7813085.0501513164</v>
      </c>
      <c r="AP218" s="350">
        <v>7715501.5399133926</v>
      </c>
      <c r="AQ218" s="350">
        <v>7583205.6410156842</v>
      </c>
      <c r="AR218" s="348">
        <v>38958464.580375135</v>
      </c>
      <c r="AS218" s="369"/>
      <c r="AT218" s="350">
        <f t="shared" si="123"/>
        <v>7707109.24511074</v>
      </c>
      <c r="AU218" s="350">
        <f t="shared" si="106"/>
        <v>7639025.2736538593</v>
      </c>
      <c r="AV218" s="350">
        <f t="shared" si="107"/>
        <v>7564245.003540799</v>
      </c>
      <c r="AW218" s="350">
        <f t="shared" si="108"/>
        <v>7467833.7457898268</v>
      </c>
      <c r="AX218" s="350">
        <f t="shared" si="109"/>
        <v>7337012.9222172536</v>
      </c>
      <c r="AY218" s="350">
        <f t="shared" si="110"/>
        <v>37715226.190312482</v>
      </c>
      <c r="AZ218" s="365"/>
      <c r="BA218" s="377">
        <f t="shared" si="111"/>
        <v>0</v>
      </c>
      <c r="BB218" s="377">
        <f t="shared" si="112"/>
        <v>0</v>
      </c>
      <c r="BC218" s="377">
        <f t="shared" si="113"/>
        <v>0</v>
      </c>
      <c r="BD218" s="377">
        <f t="shared" si="114"/>
        <v>0</v>
      </c>
      <c r="BE218" s="377">
        <f t="shared" si="115"/>
        <v>0</v>
      </c>
      <c r="BF218" s="377">
        <f t="shared" si="116"/>
        <v>0</v>
      </c>
      <c r="BG218" s="328"/>
    </row>
    <row r="219" spans="2:59">
      <c r="B219" s="332">
        <v>204</v>
      </c>
      <c r="C219" s="350">
        <v>3000990.1144490186</v>
      </c>
      <c r="D219" s="350">
        <v>2990175.501162671</v>
      </c>
      <c r="E219" s="350">
        <v>2978480.0270963144</v>
      </c>
      <c r="F219" s="350">
        <v>2964448.8023531171</v>
      </c>
      <c r="G219" s="350">
        <v>2946792.9529260527</v>
      </c>
      <c r="H219" s="348">
        <v>14880887.397987174</v>
      </c>
      <c r="I219" s="369"/>
      <c r="J219" s="350">
        <v>10171437.638593584</v>
      </c>
      <c r="K219" s="350">
        <v>9958893.4979210645</v>
      </c>
      <c r="L219" s="350">
        <v>9740235.8756860048</v>
      </c>
      <c r="M219" s="350">
        <v>9500236.9847529251</v>
      </c>
      <c r="N219" s="350">
        <v>9226109.3909812979</v>
      </c>
      <c r="O219" s="348">
        <v>48596913.387934878</v>
      </c>
      <c r="P219" s="369"/>
      <c r="Q219" s="350">
        <f t="shared" si="117"/>
        <v>7170447.5241445657</v>
      </c>
      <c r="R219" s="350">
        <f t="shared" si="118"/>
        <v>6968717.9967583939</v>
      </c>
      <c r="S219" s="350">
        <f t="shared" si="119"/>
        <v>6761755.8485896904</v>
      </c>
      <c r="T219" s="350">
        <f t="shared" si="120"/>
        <v>6535788.1823998075</v>
      </c>
      <c r="U219" s="350">
        <f t="shared" si="121"/>
        <v>6279316.4380552452</v>
      </c>
      <c r="V219" s="350">
        <f t="shared" si="122"/>
        <v>33716025.989947706</v>
      </c>
      <c r="W219" s="365"/>
      <c r="X219" s="377">
        <f t="shared" si="100"/>
        <v>0</v>
      </c>
      <c r="Y219" s="377">
        <f t="shared" si="101"/>
        <v>0</v>
      </c>
      <c r="Z219" s="377">
        <f t="shared" si="102"/>
        <v>0</v>
      </c>
      <c r="AA219" s="377">
        <f t="shared" si="103"/>
        <v>0</v>
      </c>
      <c r="AB219" s="377">
        <f t="shared" si="104"/>
        <v>0</v>
      </c>
      <c r="AC219" s="377">
        <f t="shared" si="105"/>
        <v>0</v>
      </c>
      <c r="AD219" s="376"/>
      <c r="AE219" s="332">
        <v>204</v>
      </c>
      <c r="AF219" s="350">
        <v>685847.33442451851</v>
      </c>
      <c r="AG219" s="350">
        <v>683375.75890697143</v>
      </c>
      <c r="AH219" s="350">
        <v>680702.87115748459</v>
      </c>
      <c r="AI219" s="350">
        <v>677496.17012821452</v>
      </c>
      <c r="AJ219" s="350">
        <v>673461.09610106249</v>
      </c>
      <c r="AK219" s="348">
        <v>3400883.2307182513</v>
      </c>
      <c r="AL219" s="369"/>
      <c r="AM219" s="350">
        <v>20073954.136636637</v>
      </c>
      <c r="AN219" s="350">
        <v>19897453.061369143</v>
      </c>
      <c r="AO219" s="350">
        <v>19703925.243146192</v>
      </c>
      <c r="AP219" s="350">
        <v>19455470.705480684</v>
      </c>
      <c r="AQ219" s="350">
        <v>19119656.699837867</v>
      </c>
      <c r="AR219" s="348">
        <v>98250459.84647052</v>
      </c>
      <c r="AS219" s="369"/>
      <c r="AT219" s="350">
        <f t="shared" si="123"/>
        <v>19388106.802212119</v>
      </c>
      <c r="AU219" s="350">
        <f t="shared" si="106"/>
        <v>19214077.302462172</v>
      </c>
      <c r="AV219" s="350">
        <f t="shared" si="107"/>
        <v>19023222.371988706</v>
      </c>
      <c r="AW219" s="350">
        <f t="shared" si="108"/>
        <v>18777974.535352468</v>
      </c>
      <c r="AX219" s="350">
        <f t="shared" si="109"/>
        <v>18446195.603736803</v>
      </c>
      <c r="AY219" s="350">
        <f t="shared" si="110"/>
        <v>94849576.615752265</v>
      </c>
      <c r="AZ219" s="365"/>
      <c r="BA219" s="377">
        <f t="shared" si="111"/>
        <v>0</v>
      </c>
      <c r="BB219" s="377">
        <f t="shared" si="112"/>
        <v>0</v>
      </c>
      <c r="BC219" s="377">
        <f t="shared" si="113"/>
        <v>0</v>
      </c>
      <c r="BD219" s="377">
        <f t="shared" si="114"/>
        <v>0</v>
      </c>
      <c r="BE219" s="377">
        <f t="shared" si="115"/>
        <v>0</v>
      </c>
      <c r="BF219" s="377">
        <f t="shared" si="116"/>
        <v>0</v>
      </c>
      <c r="BG219" s="328"/>
    </row>
    <row r="220" spans="2:59">
      <c r="B220" s="332">
        <v>205</v>
      </c>
      <c r="C220" s="350">
        <v>2891265.0495152581</v>
      </c>
      <c r="D220" s="350">
        <v>2880845.8504421613</v>
      </c>
      <c r="E220" s="350">
        <v>2869577.9974616533</v>
      </c>
      <c r="F220" s="350">
        <v>2856059.795749967</v>
      </c>
      <c r="G220" s="350">
        <v>2839049.496341717</v>
      </c>
      <c r="H220" s="348">
        <v>14336798.189510755</v>
      </c>
      <c r="I220" s="369"/>
      <c r="J220" s="350">
        <v>10555364.229087302</v>
      </c>
      <c r="K220" s="350">
        <v>10345143.828958593</v>
      </c>
      <c r="L220" s="350">
        <v>10128367.917802274</v>
      </c>
      <c r="M220" s="350">
        <v>9888899.7767277956</v>
      </c>
      <c r="N220" s="350">
        <v>9613162.875759827</v>
      </c>
      <c r="O220" s="348">
        <v>50530938.628335789</v>
      </c>
      <c r="P220" s="369"/>
      <c r="Q220" s="350">
        <f t="shared" si="117"/>
        <v>7664099.1795720439</v>
      </c>
      <c r="R220" s="350">
        <f t="shared" si="118"/>
        <v>7464297.9785164315</v>
      </c>
      <c r="S220" s="350">
        <f t="shared" si="119"/>
        <v>7258789.9203406209</v>
      </c>
      <c r="T220" s="350">
        <f t="shared" si="120"/>
        <v>7032839.9809778286</v>
      </c>
      <c r="U220" s="350">
        <f t="shared" si="121"/>
        <v>6774113.3794181105</v>
      </c>
      <c r="V220" s="350">
        <f t="shared" si="122"/>
        <v>36194140.438825034</v>
      </c>
      <c r="W220" s="365"/>
      <c r="X220" s="377">
        <f t="shared" si="100"/>
        <v>0</v>
      </c>
      <c r="Y220" s="377">
        <f t="shared" si="101"/>
        <v>0</v>
      </c>
      <c r="Z220" s="377">
        <f t="shared" si="102"/>
        <v>0</v>
      </c>
      <c r="AA220" s="377">
        <f t="shared" si="103"/>
        <v>0</v>
      </c>
      <c r="AB220" s="377">
        <f t="shared" si="104"/>
        <v>0</v>
      </c>
      <c r="AC220" s="377">
        <f t="shared" si="105"/>
        <v>0</v>
      </c>
      <c r="AD220" s="376"/>
      <c r="AE220" s="332">
        <v>205</v>
      </c>
      <c r="AF220" s="350">
        <v>194713.46285323394</v>
      </c>
      <c r="AG220" s="350">
        <v>194011.77750203447</v>
      </c>
      <c r="AH220" s="350">
        <v>193252.93919590139</v>
      </c>
      <c r="AI220" s="350">
        <v>192342.55020639233</v>
      </c>
      <c r="AJ220" s="350">
        <v>191196.9844262831</v>
      </c>
      <c r="AK220" s="348">
        <v>965517.71418384509</v>
      </c>
      <c r="AL220" s="369"/>
      <c r="AM220" s="350">
        <v>5204442.6201756662</v>
      </c>
      <c r="AN220" s="350">
        <v>5157898.3226786228</v>
      </c>
      <c r="AO220" s="350">
        <v>5106955.6227648398</v>
      </c>
      <c r="AP220" s="350">
        <v>5041813.7628317848</v>
      </c>
      <c r="AQ220" s="350">
        <v>4954087.3368493496</v>
      </c>
      <c r="AR220" s="348">
        <v>25465197.665300265</v>
      </c>
      <c r="AS220" s="369"/>
      <c r="AT220" s="350">
        <f t="shared" si="123"/>
        <v>5009729.1573224319</v>
      </c>
      <c r="AU220" s="350">
        <f t="shared" si="106"/>
        <v>4963886.545176588</v>
      </c>
      <c r="AV220" s="350">
        <f t="shared" si="107"/>
        <v>4913702.6835689386</v>
      </c>
      <c r="AW220" s="350">
        <f t="shared" si="108"/>
        <v>4849471.2126253927</v>
      </c>
      <c r="AX220" s="350">
        <f t="shared" si="109"/>
        <v>4762890.3524230663</v>
      </c>
      <c r="AY220" s="350">
        <f t="shared" si="110"/>
        <v>24499679.95111642</v>
      </c>
      <c r="AZ220" s="365"/>
      <c r="BA220" s="377">
        <f t="shared" si="111"/>
        <v>0</v>
      </c>
      <c r="BB220" s="377">
        <f t="shared" si="112"/>
        <v>0</v>
      </c>
      <c r="BC220" s="377">
        <f t="shared" si="113"/>
        <v>0</v>
      </c>
      <c r="BD220" s="377">
        <f t="shared" si="114"/>
        <v>0</v>
      </c>
      <c r="BE220" s="377">
        <f t="shared" si="115"/>
        <v>0</v>
      </c>
      <c r="BF220" s="377">
        <f t="shared" si="116"/>
        <v>0</v>
      </c>
      <c r="BG220" s="328"/>
    </row>
    <row r="221" spans="2:59">
      <c r="B221" s="332">
        <v>206</v>
      </c>
      <c r="C221" s="350">
        <v>3636809.0114562032</v>
      </c>
      <c r="D221" s="350">
        <v>3623703.109218861</v>
      </c>
      <c r="E221" s="350">
        <v>3609529.7184859193</v>
      </c>
      <c r="F221" s="350">
        <v>3592525.7022640281</v>
      </c>
      <c r="G221" s="350">
        <v>3571129.1131876088</v>
      </c>
      <c r="H221" s="348">
        <v>18033696.654612619</v>
      </c>
      <c r="I221" s="369"/>
      <c r="J221" s="350">
        <v>13126148.181307636</v>
      </c>
      <c r="K221" s="350">
        <v>12862808.711858533</v>
      </c>
      <c r="L221" s="350">
        <v>12591356.315242931</v>
      </c>
      <c r="M221" s="350">
        <v>12291786.126140494</v>
      </c>
      <c r="N221" s="350">
        <v>11947271.865126608</v>
      </c>
      <c r="O221" s="348">
        <v>62819371.199676201</v>
      </c>
      <c r="P221" s="369"/>
      <c r="Q221" s="350">
        <f t="shared" si="117"/>
        <v>9489339.1698514335</v>
      </c>
      <c r="R221" s="350">
        <f t="shared" si="118"/>
        <v>9239105.6026396714</v>
      </c>
      <c r="S221" s="350">
        <f t="shared" si="119"/>
        <v>8981826.5967570115</v>
      </c>
      <c r="T221" s="350">
        <f t="shared" si="120"/>
        <v>8699260.4238764662</v>
      </c>
      <c r="U221" s="350">
        <f t="shared" si="121"/>
        <v>8376142.7519389987</v>
      </c>
      <c r="V221" s="350">
        <f t="shared" si="122"/>
        <v>44785674.545063585</v>
      </c>
      <c r="W221" s="365"/>
      <c r="X221" s="377">
        <f t="shared" si="100"/>
        <v>0</v>
      </c>
      <c r="Y221" s="377">
        <f t="shared" si="101"/>
        <v>0</v>
      </c>
      <c r="Z221" s="377">
        <f t="shared" si="102"/>
        <v>0</v>
      </c>
      <c r="AA221" s="377">
        <f t="shared" si="103"/>
        <v>0</v>
      </c>
      <c r="AB221" s="377">
        <f t="shared" si="104"/>
        <v>0</v>
      </c>
      <c r="AC221" s="377">
        <f t="shared" si="105"/>
        <v>0</v>
      </c>
      <c r="AD221" s="376"/>
      <c r="AE221" s="332">
        <v>206</v>
      </c>
      <c r="AF221" s="350">
        <v>420941.87177858246</v>
      </c>
      <c r="AG221" s="350">
        <v>419424.93124039198</v>
      </c>
      <c r="AH221" s="350">
        <v>417784.43441865075</v>
      </c>
      <c r="AI221" s="350">
        <v>415816.3073067654</v>
      </c>
      <c r="AJ221" s="350">
        <v>413339.76255912159</v>
      </c>
      <c r="AK221" s="348">
        <v>2087307.307303512</v>
      </c>
      <c r="AL221" s="369"/>
      <c r="AM221" s="350">
        <v>14523998.24866119</v>
      </c>
      <c r="AN221" s="350">
        <v>14399788.360962477</v>
      </c>
      <c r="AO221" s="350">
        <v>14263187.880448231</v>
      </c>
      <c r="AP221" s="350">
        <v>14086662.433729732</v>
      </c>
      <c r="AQ221" s="350">
        <v>13846642.68051308</v>
      </c>
      <c r="AR221" s="348">
        <v>71120279.604314715</v>
      </c>
      <c r="AS221" s="369"/>
      <c r="AT221" s="350">
        <f t="shared" si="123"/>
        <v>14103056.376882607</v>
      </c>
      <c r="AU221" s="350">
        <f t="shared" si="106"/>
        <v>13980363.429722084</v>
      </c>
      <c r="AV221" s="350">
        <f t="shared" si="107"/>
        <v>13845403.446029581</v>
      </c>
      <c r="AW221" s="350">
        <f t="shared" si="108"/>
        <v>13670846.126422968</v>
      </c>
      <c r="AX221" s="350">
        <f t="shared" si="109"/>
        <v>13433302.917953959</v>
      </c>
      <c r="AY221" s="350">
        <f t="shared" si="110"/>
        <v>69032972.297011197</v>
      </c>
      <c r="AZ221" s="365"/>
      <c r="BA221" s="377">
        <f t="shared" si="111"/>
        <v>0</v>
      </c>
      <c r="BB221" s="377">
        <f t="shared" si="112"/>
        <v>0</v>
      </c>
      <c r="BC221" s="377">
        <f t="shared" si="113"/>
        <v>0</v>
      </c>
      <c r="BD221" s="377">
        <f t="shared" si="114"/>
        <v>0</v>
      </c>
      <c r="BE221" s="377">
        <f t="shared" si="115"/>
        <v>0</v>
      </c>
      <c r="BF221" s="377">
        <f t="shared" si="116"/>
        <v>0</v>
      </c>
      <c r="BG221" s="328"/>
    </row>
    <row r="222" spans="2:59">
      <c r="B222" s="332">
        <v>207</v>
      </c>
      <c r="C222" s="350">
        <v>4297599.9813535009</v>
      </c>
      <c r="D222" s="350">
        <v>4282112.798762003</v>
      </c>
      <c r="E222" s="350">
        <v>4265364.1700719269</v>
      </c>
      <c r="F222" s="350">
        <v>4245270.6046501696</v>
      </c>
      <c r="G222" s="350">
        <v>4219986.3566937363</v>
      </c>
      <c r="H222" s="348">
        <v>21310333.911531337</v>
      </c>
      <c r="I222" s="369"/>
      <c r="J222" s="350">
        <v>16389649.756276673</v>
      </c>
      <c r="K222" s="350">
        <v>16072130.776598955</v>
      </c>
      <c r="L222" s="350">
        <v>15744251.170897759</v>
      </c>
      <c r="M222" s="350">
        <v>15380667.603140596</v>
      </c>
      <c r="N222" s="350">
        <v>14960035.863716703</v>
      </c>
      <c r="O222" s="348">
        <v>78546735.170630693</v>
      </c>
      <c r="P222" s="369"/>
      <c r="Q222" s="350">
        <f t="shared" si="117"/>
        <v>12092049.774923172</v>
      </c>
      <c r="R222" s="350">
        <f t="shared" si="118"/>
        <v>11790017.977836952</v>
      </c>
      <c r="S222" s="350">
        <f t="shared" si="119"/>
        <v>11478887.000825834</v>
      </c>
      <c r="T222" s="350">
        <f t="shared" si="120"/>
        <v>11135396.998490427</v>
      </c>
      <c r="U222" s="350">
        <f t="shared" si="121"/>
        <v>10740049.507022966</v>
      </c>
      <c r="V222" s="350">
        <f t="shared" si="122"/>
        <v>57236401.259099357</v>
      </c>
      <c r="W222" s="365"/>
      <c r="X222" s="377">
        <f t="shared" si="100"/>
        <v>0</v>
      </c>
      <c r="Y222" s="377">
        <f t="shared" si="101"/>
        <v>0</v>
      </c>
      <c r="Z222" s="377">
        <f t="shared" si="102"/>
        <v>0</v>
      </c>
      <c r="AA222" s="377">
        <f t="shared" si="103"/>
        <v>0</v>
      </c>
      <c r="AB222" s="377">
        <f t="shared" si="104"/>
        <v>0</v>
      </c>
      <c r="AC222" s="377">
        <f t="shared" si="105"/>
        <v>0</v>
      </c>
      <c r="AD222" s="376"/>
      <c r="AE222" s="332">
        <v>207</v>
      </c>
      <c r="AF222" s="350">
        <v>335771.11794080969</v>
      </c>
      <c r="AG222" s="350">
        <v>334561.10569326143</v>
      </c>
      <c r="AH222" s="350">
        <v>333252.53677022469</v>
      </c>
      <c r="AI222" s="350">
        <v>331682.62822723476</v>
      </c>
      <c r="AJ222" s="350">
        <v>329707.1721030121</v>
      </c>
      <c r="AK222" s="348">
        <v>1664974.5607345426</v>
      </c>
      <c r="AL222" s="369"/>
      <c r="AM222" s="350">
        <v>9447357.5345482063</v>
      </c>
      <c r="AN222" s="350">
        <v>9363688.4511651266</v>
      </c>
      <c r="AO222" s="350">
        <v>9272018.4212384</v>
      </c>
      <c r="AP222" s="350">
        <v>9154530.1368419658</v>
      </c>
      <c r="AQ222" s="350">
        <v>8995977.7033767402</v>
      </c>
      <c r="AR222" s="348">
        <v>46233572.247170441</v>
      </c>
      <c r="AS222" s="369"/>
      <c r="AT222" s="350">
        <f t="shared" si="123"/>
        <v>9111586.4166073967</v>
      </c>
      <c r="AU222" s="350">
        <f t="shared" si="106"/>
        <v>9029127.3454718646</v>
      </c>
      <c r="AV222" s="350">
        <f t="shared" si="107"/>
        <v>8938765.8844681755</v>
      </c>
      <c r="AW222" s="350">
        <f t="shared" si="108"/>
        <v>8822847.508614732</v>
      </c>
      <c r="AX222" s="350">
        <f t="shared" si="109"/>
        <v>8666270.5312737282</v>
      </c>
      <c r="AY222" s="350">
        <f t="shared" si="110"/>
        <v>44568597.686435901</v>
      </c>
      <c r="AZ222" s="365"/>
      <c r="BA222" s="377">
        <f t="shared" si="111"/>
        <v>0</v>
      </c>
      <c r="BB222" s="377">
        <f t="shared" si="112"/>
        <v>0</v>
      </c>
      <c r="BC222" s="377">
        <f t="shared" si="113"/>
        <v>0</v>
      </c>
      <c r="BD222" s="377">
        <f t="shared" si="114"/>
        <v>0</v>
      </c>
      <c r="BE222" s="377">
        <f t="shared" si="115"/>
        <v>0</v>
      </c>
      <c r="BF222" s="377">
        <f t="shared" si="116"/>
        <v>0</v>
      </c>
      <c r="BG222" s="328"/>
    </row>
    <row r="223" spans="2:59">
      <c r="B223" s="332">
        <v>208</v>
      </c>
      <c r="C223" s="350">
        <v>6188581.0290052015</v>
      </c>
      <c r="D223" s="350">
        <v>6166279.3525359342</v>
      </c>
      <c r="E223" s="350">
        <v>6142161.1828079522</v>
      </c>
      <c r="F223" s="350">
        <v>6113226.2753447853</v>
      </c>
      <c r="G223" s="350">
        <v>6076816.7402752694</v>
      </c>
      <c r="H223" s="348">
        <v>30687064.579969145</v>
      </c>
      <c r="I223" s="369"/>
      <c r="J223" s="350">
        <v>22108420.803131998</v>
      </c>
      <c r="K223" s="350">
        <v>21661950.00332164</v>
      </c>
      <c r="L223" s="350">
        <v>21201874.342070036</v>
      </c>
      <c r="M223" s="350">
        <v>20694594.085753098</v>
      </c>
      <c r="N223" s="350">
        <v>20111855.361547749</v>
      </c>
      <c r="O223" s="348">
        <v>105778694.59582452</v>
      </c>
      <c r="P223" s="369"/>
      <c r="Q223" s="350">
        <f t="shared" si="117"/>
        <v>15919839.774126796</v>
      </c>
      <c r="R223" s="350">
        <f t="shared" si="118"/>
        <v>15495670.650785707</v>
      </c>
      <c r="S223" s="350">
        <f t="shared" si="119"/>
        <v>15059713.159262083</v>
      </c>
      <c r="T223" s="350">
        <f t="shared" si="120"/>
        <v>14581367.810408313</v>
      </c>
      <c r="U223" s="350">
        <f t="shared" si="121"/>
        <v>14035038.62127248</v>
      </c>
      <c r="V223" s="350">
        <f t="shared" si="122"/>
        <v>75091630.015855372</v>
      </c>
      <c r="W223" s="365"/>
      <c r="X223" s="377">
        <f t="shared" si="100"/>
        <v>0</v>
      </c>
      <c r="Y223" s="377">
        <f t="shared" si="101"/>
        <v>0</v>
      </c>
      <c r="Z223" s="377">
        <f t="shared" si="102"/>
        <v>0</v>
      </c>
      <c r="AA223" s="377">
        <f t="shared" si="103"/>
        <v>0</v>
      </c>
      <c r="AB223" s="377">
        <f t="shared" si="104"/>
        <v>0</v>
      </c>
      <c r="AC223" s="377">
        <f t="shared" si="105"/>
        <v>0</v>
      </c>
      <c r="AD223" s="376"/>
      <c r="AE223" s="332">
        <v>208</v>
      </c>
      <c r="AF223" s="350">
        <v>553539.50290009228</v>
      </c>
      <c r="AG223" s="350">
        <v>551544.72269946488</v>
      </c>
      <c r="AH223" s="350">
        <v>549387.46570961294</v>
      </c>
      <c r="AI223" s="350">
        <v>546799.37415541767</v>
      </c>
      <c r="AJ223" s="350">
        <v>543542.71227303403</v>
      </c>
      <c r="AK223" s="348">
        <v>2744813.7777376221</v>
      </c>
      <c r="AL223" s="369"/>
      <c r="AM223" s="350">
        <v>16713742.460827734</v>
      </c>
      <c r="AN223" s="350">
        <v>16567598.248756964</v>
      </c>
      <c r="AO223" s="350">
        <v>16407260.845440788</v>
      </c>
      <c r="AP223" s="350">
        <v>16201148.186031647</v>
      </c>
      <c r="AQ223" s="350">
        <v>15922232.441452609</v>
      </c>
      <c r="AR223" s="348">
        <v>81811982.18250975</v>
      </c>
      <c r="AS223" s="369"/>
      <c r="AT223" s="350">
        <f t="shared" si="123"/>
        <v>16160202.957927642</v>
      </c>
      <c r="AU223" s="350">
        <f t="shared" si="106"/>
        <v>16016053.526057499</v>
      </c>
      <c r="AV223" s="350">
        <f t="shared" si="107"/>
        <v>15857873.379731175</v>
      </c>
      <c r="AW223" s="350">
        <f t="shared" si="108"/>
        <v>15654348.81187623</v>
      </c>
      <c r="AX223" s="350">
        <f t="shared" si="109"/>
        <v>15378689.729179576</v>
      </c>
      <c r="AY223" s="350">
        <f t="shared" si="110"/>
        <v>79067168.404772133</v>
      </c>
      <c r="AZ223" s="365"/>
      <c r="BA223" s="377">
        <f t="shared" si="111"/>
        <v>0</v>
      </c>
      <c r="BB223" s="377">
        <f t="shared" si="112"/>
        <v>0</v>
      </c>
      <c r="BC223" s="377">
        <f t="shared" si="113"/>
        <v>0</v>
      </c>
      <c r="BD223" s="377">
        <f t="shared" si="114"/>
        <v>0</v>
      </c>
      <c r="BE223" s="377">
        <f t="shared" si="115"/>
        <v>0</v>
      </c>
      <c r="BF223" s="377">
        <f t="shared" si="116"/>
        <v>0</v>
      </c>
      <c r="BG223" s="328"/>
    </row>
    <row r="224" spans="2:59">
      <c r="B224" s="332">
        <v>209</v>
      </c>
      <c r="C224" s="350">
        <v>5562453.0558932684</v>
      </c>
      <c r="D224" s="350">
        <v>5542407.7453694809</v>
      </c>
      <c r="E224" s="350">
        <v>5520729.724789774</v>
      </c>
      <c r="F224" s="350">
        <v>5494722.2985823574</v>
      </c>
      <c r="G224" s="350">
        <v>5461996.4881482897</v>
      </c>
      <c r="H224" s="348">
        <v>27582309.31278317</v>
      </c>
      <c r="I224" s="369"/>
      <c r="J224" s="350">
        <v>20082499.094156045</v>
      </c>
      <c r="K224" s="350">
        <v>19679679.881206531</v>
      </c>
      <c r="L224" s="350">
        <v>19264446.570015579</v>
      </c>
      <c r="M224" s="350">
        <v>18806189.906847194</v>
      </c>
      <c r="N224" s="350">
        <v>18279163.965801422</v>
      </c>
      <c r="O224" s="348">
        <v>96111979.418026775</v>
      </c>
      <c r="P224" s="369"/>
      <c r="Q224" s="350">
        <f t="shared" si="117"/>
        <v>14520046.038262777</v>
      </c>
      <c r="R224" s="350">
        <f t="shared" si="118"/>
        <v>14137272.13583705</v>
      </c>
      <c r="S224" s="350">
        <f t="shared" si="119"/>
        <v>13743716.845225805</v>
      </c>
      <c r="T224" s="350">
        <f t="shared" si="120"/>
        <v>13311467.608264837</v>
      </c>
      <c r="U224" s="350">
        <f t="shared" si="121"/>
        <v>12817167.477653131</v>
      </c>
      <c r="V224" s="350">
        <f t="shared" si="122"/>
        <v>68529670.105243608</v>
      </c>
      <c r="W224" s="365"/>
      <c r="X224" s="377">
        <f t="shared" si="100"/>
        <v>0</v>
      </c>
      <c r="Y224" s="377">
        <f t="shared" si="101"/>
        <v>0</v>
      </c>
      <c r="Z224" s="377">
        <f t="shared" si="102"/>
        <v>0</v>
      </c>
      <c r="AA224" s="377">
        <f t="shared" si="103"/>
        <v>0</v>
      </c>
      <c r="AB224" s="377">
        <f t="shared" si="104"/>
        <v>0</v>
      </c>
      <c r="AC224" s="377">
        <f t="shared" si="105"/>
        <v>0</v>
      </c>
      <c r="AD224" s="376"/>
      <c r="AE224" s="332">
        <v>209</v>
      </c>
      <c r="AF224" s="350">
        <v>316990.47145455203</v>
      </c>
      <c r="AG224" s="350">
        <v>315848.1386798679</v>
      </c>
      <c r="AH224" s="350">
        <v>314612.76178864494</v>
      </c>
      <c r="AI224" s="350">
        <v>313130.66275572381</v>
      </c>
      <c r="AJ224" s="350">
        <v>311265.69958677876</v>
      </c>
      <c r="AK224" s="348">
        <v>1571847.7342655677</v>
      </c>
      <c r="AL224" s="369"/>
      <c r="AM224" s="350">
        <v>10814413.417123195</v>
      </c>
      <c r="AN224" s="350">
        <v>10721762.817940181</v>
      </c>
      <c r="AO224" s="350">
        <v>10619889.690533467</v>
      </c>
      <c r="AP224" s="350">
        <v>10488297.572547954</v>
      </c>
      <c r="AQ224" s="350">
        <v>10309441.879981659</v>
      </c>
      <c r="AR224" s="348">
        <v>52953805.37812645</v>
      </c>
      <c r="AS224" s="369"/>
      <c r="AT224" s="350">
        <f t="shared" si="123"/>
        <v>10497422.945668643</v>
      </c>
      <c r="AU224" s="350">
        <f t="shared" si="106"/>
        <v>10405914.679260314</v>
      </c>
      <c r="AV224" s="350">
        <f t="shared" si="107"/>
        <v>10305276.928744821</v>
      </c>
      <c r="AW224" s="350">
        <f t="shared" si="108"/>
        <v>10175166.90979223</v>
      </c>
      <c r="AX224" s="350">
        <f t="shared" si="109"/>
        <v>9998176.1803948805</v>
      </c>
      <c r="AY224" s="350">
        <f t="shared" si="110"/>
        <v>51381957.643860884</v>
      </c>
      <c r="AZ224" s="365"/>
      <c r="BA224" s="377">
        <f t="shared" si="111"/>
        <v>0</v>
      </c>
      <c r="BB224" s="377">
        <f t="shared" si="112"/>
        <v>0</v>
      </c>
      <c r="BC224" s="377">
        <f t="shared" si="113"/>
        <v>0</v>
      </c>
      <c r="BD224" s="377">
        <f t="shared" si="114"/>
        <v>0</v>
      </c>
      <c r="BE224" s="377">
        <f t="shared" si="115"/>
        <v>0</v>
      </c>
      <c r="BF224" s="377">
        <f t="shared" si="116"/>
        <v>0</v>
      </c>
      <c r="BG224" s="328"/>
    </row>
    <row r="225" spans="2:59">
      <c r="B225" s="332">
        <v>210</v>
      </c>
      <c r="C225" s="350">
        <v>5032926.2297423827</v>
      </c>
      <c r="D225" s="350">
        <v>5014789.1653744215</v>
      </c>
      <c r="E225" s="350">
        <v>4995174.8194575747</v>
      </c>
      <c r="F225" s="350">
        <v>4971643.2127703559</v>
      </c>
      <c r="G225" s="350">
        <v>4942032.7894430626</v>
      </c>
      <c r="H225" s="348">
        <v>24956566.216787793</v>
      </c>
      <c r="I225" s="369"/>
      <c r="J225" s="350">
        <v>14310827.959311306</v>
      </c>
      <c r="K225" s="350">
        <v>13974175.373303937</v>
      </c>
      <c r="L225" s="350">
        <v>13629689.368790098</v>
      </c>
      <c r="M225" s="350">
        <v>13257159.729450567</v>
      </c>
      <c r="N225" s="350">
        <v>12839708.943042064</v>
      </c>
      <c r="O225" s="348">
        <v>68011561.37389797</v>
      </c>
      <c r="P225" s="369"/>
      <c r="Q225" s="350">
        <f t="shared" si="117"/>
        <v>9277901.7295689248</v>
      </c>
      <c r="R225" s="350">
        <f t="shared" si="118"/>
        <v>8959386.2079295143</v>
      </c>
      <c r="S225" s="350">
        <f t="shared" si="119"/>
        <v>8634514.5493325219</v>
      </c>
      <c r="T225" s="350">
        <f t="shared" si="120"/>
        <v>8285516.5166802108</v>
      </c>
      <c r="U225" s="350">
        <f t="shared" si="121"/>
        <v>7897676.1535990015</v>
      </c>
      <c r="V225" s="350">
        <f t="shared" si="122"/>
        <v>43054995.157110177</v>
      </c>
      <c r="W225" s="365"/>
      <c r="X225" s="377">
        <f t="shared" si="100"/>
        <v>0</v>
      </c>
      <c r="Y225" s="377">
        <f t="shared" si="101"/>
        <v>0</v>
      </c>
      <c r="Z225" s="377">
        <f t="shared" si="102"/>
        <v>0</v>
      </c>
      <c r="AA225" s="377">
        <f t="shared" si="103"/>
        <v>0</v>
      </c>
      <c r="AB225" s="377">
        <f t="shared" si="104"/>
        <v>0</v>
      </c>
      <c r="AC225" s="377">
        <f t="shared" si="105"/>
        <v>0</v>
      </c>
      <c r="AD225" s="376"/>
      <c r="AE225" s="332">
        <v>210</v>
      </c>
      <c r="AF225" s="350">
        <v>567850.73139897117</v>
      </c>
      <c r="AG225" s="350">
        <v>565804.3780854824</v>
      </c>
      <c r="AH225" s="350">
        <v>563591.34730252111</v>
      </c>
      <c r="AI225" s="350">
        <v>560936.34314423159</v>
      </c>
      <c r="AJ225" s="350">
        <v>557595.48341851763</v>
      </c>
      <c r="AK225" s="348">
        <v>2815778.283349724</v>
      </c>
      <c r="AL225" s="369"/>
      <c r="AM225" s="350">
        <v>22827373.946686015</v>
      </c>
      <c r="AN225" s="350">
        <v>22636502.581965182</v>
      </c>
      <c r="AO225" s="350">
        <v>22426068.103225671</v>
      </c>
      <c r="AP225" s="350">
        <v>22152654.255350288</v>
      </c>
      <c r="AQ225" s="350">
        <v>21779088.281652138</v>
      </c>
      <c r="AR225" s="348">
        <v>111821687.16887929</v>
      </c>
      <c r="AS225" s="369"/>
      <c r="AT225" s="350">
        <f t="shared" si="123"/>
        <v>22259523.215287045</v>
      </c>
      <c r="AU225" s="350">
        <f t="shared" si="106"/>
        <v>22070698.203879699</v>
      </c>
      <c r="AV225" s="350">
        <f t="shared" si="107"/>
        <v>21862476.755923148</v>
      </c>
      <c r="AW225" s="350">
        <f t="shared" si="108"/>
        <v>21591717.912206057</v>
      </c>
      <c r="AX225" s="350">
        <f t="shared" si="109"/>
        <v>21221492.798233621</v>
      </c>
      <c r="AY225" s="350">
        <f t="shared" si="110"/>
        <v>109005908.88552956</v>
      </c>
      <c r="AZ225" s="365"/>
      <c r="BA225" s="377">
        <f t="shared" si="111"/>
        <v>0</v>
      </c>
      <c r="BB225" s="377">
        <f t="shared" si="112"/>
        <v>0</v>
      </c>
      <c r="BC225" s="377">
        <f t="shared" si="113"/>
        <v>0</v>
      </c>
      <c r="BD225" s="377">
        <f t="shared" si="114"/>
        <v>0</v>
      </c>
      <c r="BE225" s="377">
        <f t="shared" si="115"/>
        <v>0</v>
      </c>
      <c r="BF225" s="377">
        <f t="shared" si="116"/>
        <v>0</v>
      </c>
      <c r="BG225" s="328"/>
    </row>
    <row r="226" spans="2:59">
      <c r="B226" s="332">
        <v>211</v>
      </c>
      <c r="C226" s="350">
        <v>5038227.6171586327</v>
      </c>
      <c r="D226" s="350">
        <v>5020071.4482776271</v>
      </c>
      <c r="E226" s="350">
        <v>5000436.4417665508</v>
      </c>
      <c r="F226" s="350">
        <v>4976880.048273826</v>
      </c>
      <c r="G226" s="350">
        <v>4947238.4350743908</v>
      </c>
      <c r="H226" s="348">
        <v>24982853.990551025</v>
      </c>
      <c r="I226" s="369"/>
      <c r="J226" s="350">
        <v>18921665.31077724</v>
      </c>
      <c r="K226" s="350">
        <v>18551534.779145308</v>
      </c>
      <c r="L226" s="350">
        <v>18169515.685844295</v>
      </c>
      <c r="M226" s="350">
        <v>17746464.361787897</v>
      </c>
      <c r="N226" s="350">
        <v>17257844.549082953</v>
      </c>
      <c r="O226" s="348">
        <v>90647024.686637685</v>
      </c>
      <c r="P226" s="369"/>
      <c r="Q226" s="350">
        <f t="shared" si="117"/>
        <v>13883437.693618607</v>
      </c>
      <c r="R226" s="350">
        <f t="shared" si="118"/>
        <v>13531463.330867682</v>
      </c>
      <c r="S226" s="350">
        <f t="shared" si="119"/>
        <v>13169079.244077744</v>
      </c>
      <c r="T226" s="350">
        <f t="shared" si="120"/>
        <v>12769584.313514071</v>
      </c>
      <c r="U226" s="350">
        <f t="shared" si="121"/>
        <v>12310606.114008563</v>
      </c>
      <c r="V226" s="350">
        <f t="shared" si="122"/>
        <v>65664170.69608666</v>
      </c>
      <c r="W226" s="365"/>
      <c r="X226" s="377">
        <f t="shared" si="100"/>
        <v>0</v>
      </c>
      <c r="Y226" s="377">
        <f t="shared" si="101"/>
        <v>0</v>
      </c>
      <c r="Z226" s="377">
        <f t="shared" si="102"/>
        <v>0</v>
      </c>
      <c r="AA226" s="377">
        <f t="shared" si="103"/>
        <v>0</v>
      </c>
      <c r="AB226" s="377">
        <f t="shared" si="104"/>
        <v>0</v>
      </c>
      <c r="AC226" s="377">
        <f t="shared" si="105"/>
        <v>0</v>
      </c>
      <c r="AD226" s="376"/>
      <c r="AE226" s="332">
        <v>211</v>
      </c>
      <c r="AF226" s="350">
        <v>310411.31622657261</v>
      </c>
      <c r="AG226" s="350">
        <v>309292.6926334679</v>
      </c>
      <c r="AH226" s="350">
        <v>308082.95605974447</v>
      </c>
      <c r="AI226" s="350">
        <v>306631.61807637819</v>
      </c>
      <c r="AJ226" s="350">
        <v>304805.3623238632</v>
      </c>
      <c r="AK226" s="348">
        <v>1539223.9453200263</v>
      </c>
      <c r="AL226" s="369"/>
      <c r="AM226" s="350">
        <v>8083246.0154738463</v>
      </c>
      <c r="AN226" s="350">
        <v>8010585.1810754277</v>
      </c>
      <c r="AO226" s="350">
        <v>7931100.5697744209</v>
      </c>
      <c r="AP226" s="350">
        <v>7829582.1765829502</v>
      </c>
      <c r="AQ226" s="350">
        <v>7693017.2468076367</v>
      </c>
      <c r="AR226" s="348">
        <v>39547531.189714283</v>
      </c>
      <c r="AS226" s="369"/>
      <c r="AT226" s="350">
        <f t="shared" si="123"/>
        <v>7772834.6992472736</v>
      </c>
      <c r="AU226" s="350">
        <f t="shared" si="106"/>
        <v>7701292.48844196</v>
      </c>
      <c r="AV226" s="350">
        <f t="shared" si="107"/>
        <v>7623017.6137146764</v>
      </c>
      <c r="AW226" s="350">
        <f t="shared" si="108"/>
        <v>7522950.5585065717</v>
      </c>
      <c r="AX226" s="350">
        <f t="shared" si="109"/>
        <v>7388211.8844837733</v>
      </c>
      <c r="AY226" s="350">
        <f t="shared" si="110"/>
        <v>38008307.244394258</v>
      </c>
      <c r="AZ226" s="365"/>
      <c r="BA226" s="377">
        <f t="shared" si="111"/>
        <v>0</v>
      </c>
      <c r="BB226" s="377">
        <f t="shared" si="112"/>
        <v>0</v>
      </c>
      <c r="BC226" s="377">
        <f t="shared" si="113"/>
        <v>0</v>
      </c>
      <c r="BD226" s="377">
        <f t="shared" si="114"/>
        <v>0</v>
      </c>
      <c r="BE226" s="377">
        <f t="shared" si="115"/>
        <v>0</v>
      </c>
      <c r="BF226" s="377">
        <f t="shared" si="116"/>
        <v>0</v>
      </c>
      <c r="BG226" s="328"/>
    </row>
    <row r="227" spans="2:59">
      <c r="B227" s="332">
        <v>212</v>
      </c>
      <c r="C227" s="350">
        <v>3866157.9772408726</v>
      </c>
      <c r="D227" s="350">
        <v>3852225.5743227568</v>
      </c>
      <c r="E227" s="350">
        <v>3837158.3636240093</v>
      </c>
      <c r="F227" s="350">
        <v>3819082.0190168805</v>
      </c>
      <c r="G227" s="350">
        <v>3796336.0916715171</v>
      </c>
      <c r="H227" s="348">
        <v>19170960.025876038</v>
      </c>
      <c r="I227" s="369"/>
      <c r="J227" s="350">
        <v>12601752.532649104</v>
      </c>
      <c r="K227" s="350">
        <v>12331551.62564189</v>
      </c>
      <c r="L227" s="350">
        <v>12053916.847265659</v>
      </c>
      <c r="M227" s="350">
        <v>11750203.912450202</v>
      </c>
      <c r="N227" s="350">
        <v>11404773.560355289</v>
      </c>
      <c r="O227" s="348">
        <v>60142198.478362143</v>
      </c>
      <c r="P227" s="369"/>
      <c r="Q227" s="350">
        <f t="shared" si="117"/>
        <v>8735594.5554082319</v>
      </c>
      <c r="R227" s="350">
        <f t="shared" si="118"/>
        <v>8479326.0513191335</v>
      </c>
      <c r="S227" s="350">
        <f t="shared" si="119"/>
        <v>8216758.4836416496</v>
      </c>
      <c r="T227" s="350">
        <f t="shared" si="120"/>
        <v>7931121.8934333213</v>
      </c>
      <c r="U227" s="350">
        <f t="shared" si="121"/>
        <v>7608437.4686837718</v>
      </c>
      <c r="V227" s="350">
        <f t="shared" si="122"/>
        <v>40971238.452486105</v>
      </c>
      <c r="W227" s="365"/>
      <c r="X227" s="377">
        <f t="shared" si="100"/>
        <v>0</v>
      </c>
      <c r="Y227" s="377">
        <f t="shared" si="101"/>
        <v>0</v>
      </c>
      <c r="Z227" s="377">
        <f t="shared" si="102"/>
        <v>0</v>
      </c>
      <c r="AA227" s="377">
        <f t="shared" si="103"/>
        <v>0</v>
      </c>
      <c r="AB227" s="377">
        <f t="shared" si="104"/>
        <v>0</v>
      </c>
      <c r="AC227" s="377">
        <f t="shared" si="105"/>
        <v>0</v>
      </c>
      <c r="AD227" s="376"/>
      <c r="AE227" s="332">
        <v>212</v>
      </c>
      <c r="AF227" s="350">
        <v>689126.50131002197</v>
      </c>
      <c r="AG227" s="350">
        <v>686643.10871863738</v>
      </c>
      <c r="AH227" s="350">
        <v>683957.44138314517</v>
      </c>
      <c r="AI227" s="350">
        <v>680735.40850478993</v>
      </c>
      <c r="AJ227" s="350">
        <v>676681.04201929295</v>
      </c>
      <c r="AK227" s="348">
        <v>3417143.5019358872</v>
      </c>
      <c r="AL227" s="369"/>
      <c r="AM227" s="350">
        <v>18613438.684256677</v>
      </c>
      <c r="AN227" s="350">
        <v>18447311.933460958</v>
      </c>
      <c r="AO227" s="350">
        <v>18265447.632764541</v>
      </c>
      <c r="AP227" s="350">
        <v>18032782.970126845</v>
      </c>
      <c r="AQ227" s="350">
        <v>17719317.972499523</v>
      </c>
      <c r="AR227" s="348">
        <v>91078299.193108544</v>
      </c>
      <c r="AS227" s="369"/>
      <c r="AT227" s="350">
        <f t="shared" si="123"/>
        <v>17924312.182946656</v>
      </c>
      <c r="AU227" s="350">
        <f t="shared" si="106"/>
        <v>17760668.824742321</v>
      </c>
      <c r="AV227" s="350">
        <f t="shared" si="107"/>
        <v>17581490.191381395</v>
      </c>
      <c r="AW227" s="350">
        <f t="shared" si="108"/>
        <v>17352047.561622053</v>
      </c>
      <c r="AX227" s="350">
        <f t="shared" si="109"/>
        <v>17042636.930480231</v>
      </c>
      <c r="AY227" s="350">
        <f t="shared" si="110"/>
        <v>87661155.691172659</v>
      </c>
      <c r="AZ227" s="365"/>
      <c r="BA227" s="377">
        <f t="shared" si="111"/>
        <v>0</v>
      </c>
      <c r="BB227" s="377">
        <f t="shared" si="112"/>
        <v>0</v>
      </c>
      <c r="BC227" s="377">
        <f t="shared" si="113"/>
        <v>0</v>
      </c>
      <c r="BD227" s="377">
        <f t="shared" si="114"/>
        <v>0</v>
      </c>
      <c r="BE227" s="377">
        <f t="shared" si="115"/>
        <v>0</v>
      </c>
      <c r="BF227" s="377">
        <f t="shared" si="116"/>
        <v>0</v>
      </c>
      <c r="BG227" s="328"/>
    </row>
    <row r="228" spans="2:59">
      <c r="B228" s="332">
        <v>213</v>
      </c>
      <c r="C228" s="350">
        <v>5057336.2145567778</v>
      </c>
      <c r="D228" s="350">
        <v>5039111.1843721941</v>
      </c>
      <c r="E228" s="350">
        <v>5019401.7077373276</v>
      </c>
      <c r="F228" s="350">
        <v>4995755.971389614</v>
      </c>
      <c r="G228" s="350">
        <v>4966001.9357877187</v>
      </c>
      <c r="H228" s="348">
        <v>25077607.013843633</v>
      </c>
      <c r="I228" s="369"/>
      <c r="J228" s="350">
        <v>14710281.657151243</v>
      </c>
      <c r="K228" s="350">
        <v>14369617.529723622</v>
      </c>
      <c r="L228" s="350">
        <v>14020791.363168066</v>
      </c>
      <c r="M228" s="350">
        <v>13642854.892147548</v>
      </c>
      <c r="N228" s="350">
        <v>13218300.010367502</v>
      </c>
      <c r="O228" s="348">
        <v>69961845.452557981</v>
      </c>
      <c r="P228" s="369"/>
      <c r="Q228" s="350">
        <f t="shared" si="117"/>
        <v>9652945.4425944649</v>
      </c>
      <c r="R228" s="350">
        <f t="shared" si="118"/>
        <v>9330506.3453514278</v>
      </c>
      <c r="S228" s="350">
        <f t="shared" si="119"/>
        <v>9001389.6554307379</v>
      </c>
      <c r="T228" s="350">
        <f t="shared" si="120"/>
        <v>8647098.9207579345</v>
      </c>
      <c r="U228" s="350">
        <f t="shared" si="121"/>
        <v>8252298.0745797828</v>
      </c>
      <c r="V228" s="350">
        <f t="shared" si="122"/>
        <v>44884238.438714348</v>
      </c>
      <c r="W228" s="365"/>
      <c r="X228" s="377">
        <f t="shared" si="100"/>
        <v>0</v>
      </c>
      <c r="Y228" s="377">
        <f t="shared" si="101"/>
        <v>0</v>
      </c>
      <c r="Z228" s="377">
        <f t="shared" si="102"/>
        <v>0</v>
      </c>
      <c r="AA228" s="377">
        <f t="shared" si="103"/>
        <v>0</v>
      </c>
      <c r="AB228" s="377">
        <f t="shared" si="104"/>
        <v>0</v>
      </c>
      <c r="AC228" s="377">
        <f t="shared" si="105"/>
        <v>0</v>
      </c>
      <c r="AD228" s="376"/>
      <c r="AE228" s="332">
        <v>213</v>
      </c>
      <c r="AF228" s="350">
        <v>429337.31609009957</v>
      </c>
      <c r="AG228" s="350">
        <v>427790.1210425194</v>
      </c>
      <c r="AH228" s="350">
        <v>426116.90545214649</v>
      </c>
      <c r="AI228" s="350">
        <v>424109.5251733191</v>
      </c>
      <c r="AJ228" s="350">
        <v>421583.58716045797</v>
      </c>
      <c r="AK228" s="348">
        <v>2128937.4549185424</v>
      </c>
      <c r="AL228" s="369"/>
      <c r="AM228" s="350">
        <v>11700252.595730163</v>
      </c>
      <c r="AN228" s="350">
        <v>11596004.951637924</v>
      </c>
      <c r="AO228" s="350">
        <v>11481861.17485607</v>
      </c>
      <c r="AP228" s="350">
        <v>11335775.316843174</v>
      </c>
      <c r="AQ228" s="350">
        <v>11138884.365122883</v>
      </c>
      <c r="AR228" s="348">
        <v>57252778.40419022</v>
      </c>
      <c r="AS228" s="369"/>
      <c r="AT228" s="350">
        <f t="shared" si="123"/>
        <v>11270915.279640064</v>
      </c>
      <c r="AU228" s="350">
        <f t="shared" si="106"/>
        <v>11168214.830595404</v>
      </c>
      <c r="AV228" s="350">
        <f t="shared" si="107"/>
        <v>11055744.269403923</v>
      </c>
      <c r="AW228" s="350">
        <f t="shared" si="108"/>
        <v>10911665.791669855</v>
      </c>
      <c r="AX228" s="350">
        <f t="shared" si="109"/>
        <v>10717300.777962424</v>
      </c>
      <c r="AY228" s="350">
        <f t="shared" si="110"/>
        <v>55123840.949271679</v>
      </c>
      <c r="AZ228" s="365"/>
      <c r="BA228" s="377">
        <f t="shared" si="111"/>
        <v>0</v>
      </c>
      <c r="BB228" s="377">
        <f t="shared" si="112"/>
        <v>0</v>
      </c>
      <c r="BC228" s="377">
        <f t="shared" si="113"/>
        <v>0</v>
      </c>
      <c r="BD228" s="377">
        <f t="shared" si="114"/>
        <v>0</v>
      </c>
      <c r="BE228" s="377">
        <f t="shared" si="115"/>
        <v>0</v>
      </c>
      <c r="BF228" s="377">
        <f t="shared" si="116"/>
        <v>0</v>
      </c>
      <c r="BG228" s="328"/>
    </row>
    <row r="229" spans="2:59">
      <c r="B229" s="332">
        <v>214</v>
      </c>
      <c r="C229" s="350">
        <v>4617098.1103746109</v>
      </c>
      <c r="D229" s="350">
        <v>4600459.5582086379</v>
      </c>
      <c r="E229" s="350">
        <v>4582465.779771409</v>
      </c>
      <c r="F229" s="350">
        <v>4560878.3906840067</v>
      </c>
      <c r="G229" s="350">
        <v>4533714.4261530135</v>
      </c>
      <c r="H229" s="348">
        <v>22894616.265191674</v>
      </c>
      <c r="I229" s="369"/>
      <c r="J229" s="350">
        <v>12377496.296217976</v>
      </c>
      <c r="K229" s="350">
        <v>12074070.828011885</v>
      </c>
      <c r="L229" s="350">
        <v>11764120.413692445</v>
      </c>
      <c r="M229" s="350">
        <v>11430560.88636617</v>
      </c>
      <c r="N229" s="350">
        <v>11059157.716177352</v>
      </c>
      <c r="O229" s="348">
        <v>58705406.140465833</v>
      </c>
      <c r="P229" s="369"/>
      <c r="Q229" s="350">
        <f t="shared" si="117"/>
        <v>7760398.1858433653</v>
      </c>
      <c r="R229" s="350">
        <f t="shared" si="118"/>
        <v>7473611.2698032474</v>
      </c>
      <c r="S229" s="350">
        <f t="shared" si="119"/>
        <v>7181654.6339210356</v>
      </c>
      <c r="T229" s="350">
        <f t="shared" si="120"/>
        <v>6869682.4956821632</v>
      </c>
      <c r="U229" s="350">
        <f t="shared" si="121"/>
        <v>6525443.2900243383</v>
      </c>
      <c r="V229" s="350">
        <f t="shared" si="122"/>
        <v>35810789.875274159</v>
      </c>
      <c r="W229" s="365"/>
      <c r="X229" s="377">
        <f t="shared" si="100"/>
        <v>0</v>
      </c>
      <c r="Y229" s="377">
        <f t="shared" si="101"/>
        <v>0</v>
      </c>
      <c r="Z229" s="377">
        <f t="shared" si="102"/>
        <v>0</v>
      </c>
      <c r="AA229" s="377">
        <f t="shared" si="103"/>
        <v>0</v>
      </c>
      <c r="AB229" s="377">
        <f t="shared" si="104"/>
        <v>0</v>
      </c>
      <c r="AC229" s="377">
        <f t="shared" si="105"/>
        <v>0</v>
      </c>
      <c r="AD229" s="376"/>
      <c r="AE229" s="332">
        <v>214</v>
      </c>
      <c r="AF229" s="350">
        <v>514636.76096888847</v>
      </c>
      <c r="AG229" s="350">
        <v>512782.17386911088</v>
      </c>
      <c r="AH229" s="350">
        <v>510776.52884464856</v>
      </c>
      <c r="AI229" s="350">
        <v>508370.32829786954</v>
      </c>
      <c r="AJ229" s="350">
        <v>505342.54452825623</v>
      </c>
      <c r="AK229" s="348">
        <v>2551908.3365087737</v>
      </c>
      <c r="AL229" s="369"/>
      <c r="AM229" s="350">
        <v>15313063.804005966</v>
      </c>
      <c r="AN229" s="350">
        <v>15178819.736137681</v>
      </c>
      <c r="AO229" s="350">
        <v>15031579.015811354</v>
      </c>
      <c r="AP229" s="350">
        <v>14842417.499331525</v>
      </c>
      <c r="AQ229" s="350">
        <v>14586582.684872156</v>
      </c>
      <c r="AR229" s="348">
        <v>74952462.740158677</v>
      </c>
      <c r="AS229" s="369"/>
      <c r="AT229" s="350">
        <f t="shared" si="123"/>
        <v>14798427.043037077</v>
      </c>
      <c r="AU229" s="350">
        <f t="shared" si="106"/>
        <v>14666037.56226857</v>
      </c>
      <c r="AV229" s="350">
        <f t="shared" si="107"/>
        <v>14520802.486966705</v>
      </c>
      <c r="AW229" s="350">
        <f t="shared" si="108"/>
        <v>14334047.171033654</v>
      </c>
      <c r="AX229" s="350">
        <f t="shared" si="109"/>
        <v>14081240.140343899</v>
      </c>
      <c r="AY229" s="350">
        <f t="shared" si="110"/>
        <v>72400554.403649896</v>
      </c>
      <c r="AZ229" s="365"/>
      <c r="BA229" s="377">
        <f t="shared" si="111"/>
        <v>0</v>
      </c>
      <c r="BB229" s="377">
        <f t="shared" si="112"/>
        <v>0</v>
      </c>
      <c r="BC229" s="377">
        <f t="shared" si="113"/>
        <v>0</v>
      </c>
      <c r="BD229" s="377">
        <f t="shared" si="114"/>
        <v>0</v>
      </c>
      <c r="BE229" s="377">
        <f t="shared" si="115"/>
        <v>0</v>
      </c>
      <c r="BF229" s="377">
        <f t="shared" si="116"/>
        <v>0</v>
      </c>
      <c r="BG229" s="328"/>
    </row>
    <row r="230" spans="2:59">
      <c r="B230" s="332">
        <v>215</v>
      </c>
      <c r="C230" s="350">
        <v>6577419.0130542349</v>
      </c>
      <c r="D230" s="350">
        <v>6553716.0882408638</v>
      </c>
      <c r="E230" s="350">
        <v>6528082.5371270627</v>
      </c>
      <c r="F230" s="350">
        <v>6497329.6053003334</v>
      </c>
      <c r="G230" s="350">
        <v>6458632.4036154449</v>
      </c>
      <c r="H230" s="348">
        <v>32615179.64733794</v>
      </c>
      <c r="I230" s="369"/>
      <c r="J230" s="350">
        <v>21078336.280764405</v>
      </c>
      <c r="K230" s="350">
        <v>20621249.023669679</v>
      </c>
      <c r="L230" s="350">
        <v>20151832.357742451</v>
      </c>
      <c r="M230" s="350">
        <v>19639066.75260675</v>
      </c>
      <c r="N230" s="350">
        <v>19056945.274731588</v>
      </c>
      <c r="O230" s="348">
        <v>100547429.68951488</v>
      </c>
      <c r="P230" s="369"/>
      <c r="Q230" s="350">
        <f t="shared" si="117"/>
        <v>14500917.26771017</v>
      </c>
      <c r="R230" s="350">
        <f t="shared" si="118"/>
        <v>14067532.935428815</v>
      </c>
      <c r="S230" s="350">
        <f t="shared" si="119"/>
        <v>13623749.820615388</v>
      </c>
      <c r="T230" s="350">
        <f t="shared" si="120"/>
        <v>13141737.147306416</v>
      </c>
      <c r="U230" s="350">
        <f t="shared" si="121"/>
        <v>12598312.871116143</v>
      </c>
      <c r="V230" s="350">
        <f t="shared" si="122"/>
        <v>67932250.042176932</v>
      </c>
      <c r="W230" s="365"/>
      <c r="X230" s="377">
        <f t="shared" si="100"/>
        <v>0</v>
      </c>
      <c r="Y230" s="377">
        <f t="shared" si="101"/>
        <v>0</v>
      </c>
      <c r="Z230" s="377">
        <f t="shared" si="102"/>
        <v>0</v>
      </c>
      <c r="AA230" s="377">
        <f t="shared" si="103"/>
        <v>0</v>
      </c>
      <c r="AB230" s="377">
        <f t="shared" si="104"/>
        <v>0</v>
      </c>
      <c r="AC230" s="377">
        <f t="shared" si="105"/>
        <v>0</v>
      </c>
      <c r="AD230" s="376"/>
      <c r="AE230" s="332">
        <v>215</v>
      </c>
      <c r="AF230" s="350">
        <v>401867.90476162924</v>
      </c>
      <c r="AG230" s="350">
        <v>400419.70073014422</v>
      </c>
      <c r="AH230" s="350">
        <v>398853.5390704936</v>
      </c>
      <c r="AI230" s="350">
        <v>396974.59289814899</v>
      </c>
      <c r="AJ230" s="350">
        <v>394610.26681060897</v>
      </c>
      <c r="AK230" s="348">
        <v>1992726.0042710251</v>
      </c>
      <c r="AL230" s="369"/>
      <c r="AM230" s="350">
        <v>11041015.242687242</v>
      </c>
      <c r="AN230" s="350">
        <v>10942793.441372251</v>
      </c>
      <c r="AO230" s="350">
        <v>10835229.987177091</v>
      </c>
      <c r="AP230" s="350">
        <v>10697516.172104439</v>
      </c>
      <c r="AQ230" s="350">
        <v>10511847.292963734</v>
      </c>
      <c r="AR230" s="348">
        <v>54028402.136304758</v>
      </c>
      <c r="AS230" s="369"/>
      <c r="AT230" s="350">
        <f t="shared" si="123"/>
        <v>10639147.337925613</v>
      </c>
      <c r="AU230" s="350">
        <f t="shared" si="106"/>
        <v>10542373.740642106</v>
      </c>
      <c r="AV230" s="350">
        <f t="shared" si="107"/>
        <v>10436376.448106596</v>
      </c>
      <c r="AW230" s="350">
        <f t="shared" si="108"/>
        <v>10300541.57920629</v>
      </c>
      <c r="AX230" s="350">
        <f t="shared" si="109"/>
        <v>10117237.026153125</v>
      </c>
      <c r="AY230" s="350">
        <f t="shared" si="110"/>
        <v>52035676.132033736</v>
      </c>
      <c r="AZ230" s="365"/>
      <c r="BA230" s="377">
        <f t="shared" si="111"/>
        <v>0</v>
      </c>
      <c r="BB230" s="377">
        <f t="shared" si="112"/>
        <v>0</v>
      </c>
      <c r="BC230" s="377">
        <f t="shared" si="113"/>
        <v>0</v>
      </c>
      <c r="BD230" s="377">
        <f t="shared" si="114"/>
        <v>0</v>
      </c>
      <c r="BE230" s="377">
        <f t="shared" si="115"/>
        <v>0</v>
      </c>
      <c r="BF230" s="377">
        <f t="shared" si="116"/>
        <v>0</v>
      </c>
      <c r="BG230" s="328"/>
    </row>
    <row r="231" spans="2:59">
      <c r="B231" s="332">
        <v>216</v>
      </c>
      <c r="C231" s="350">
        <v>5916996.5935848001</v>
      </c>
      <c r="D231" s="350">
        <v>5895673.6209871378</v>
      </c>
      <c r="E231" s="350">
        <v>5872613.8715138547</v>
      </c>
      <c r="F231" s="350">
        <v>5844948.765717743</v>
      </c>
      <c r="G231" s="350">
        <v>5810137.0546048684</v>
      </c>
      <c r="H231" s="348">
        <v>29340369.906408403</v>
      </c>
      <c r="I231" s="369"/>
      <c r="J231" s="350">
        <v>16985862.404291056</v>
      </c>
      <c r="K231" s="350">
        <v>16588912.262738761</v>
      </c>
      <c r="L231" s="350">
        <v>16182610.728651859</v>
      </c>
      <c r="M231" s="350">
        <v>15742884.848630773</v>
      </c>
      <c r="N231" s="350">
        <v>15249624.384495467</v>
      </c>
      <c r="O231" s="348">
        <v>80749894.628807902</v>
      </c>
      <c r="P231" s="369"/>
      <c r="Q231" s="350">
        <f t="shared" si="117"/>
        <v>11068865.810706256</v>
      </c>
      <c r="R231" s="350">
        <f t="shared" si="118"/>
        <v>10693238.641751623</v>
      </c>
      <c r="S231" s="350">
        <f t="shared" si="119"/>
        <v>10309996.857138004</v>
      </c>
      <c r="T231" s="350">
        <f t="shared" si="120"/>
        <v>9897936.0829130299</v>
      </c>
      <c r="U231" s="350">
        <f t="shared" si="121"/>
        <v>9439487.3298905976</v>
      </c>
      <c r="V231" s="350">
        <f t="shared" si="122"/>
        <v>51409524.722399503</v>
      </c>
      <c r="W231" s="365"/>
      <c r="X231" s="377">
        <f t="shared" si="100"/>
        <v>0</v>
      </c>
      <c r="Y231" s="377">
        <f t="shared" si="101"/>
        <v>0</v>
      </c>
      <c r="Z231" s="377">
        <f t="shared" si="102"/>
        <v>0</v>
      </c>
      <c r="AA231" s="377">
        <f t="shared" si="103"/>
        <v>0</v>
      </c>
      <c r="AB231" s="377">
        <f t="shared" si="104"/>
        <v>0</v>
      </c>
      <c r="AC231" s="377">
        <f t="shared" si="105"/>
        <v>0</v>
      </c>
      <c r="AD231" s="376"/>
      <c r="AE231" s="332">
        <v>216</v>
      </c>
      <c r="AF231" s="350">
        <v>299210.49723535718</v>
      </c>
      <c r="AG231" s="350">
        <v>298132.23782915779</v>
      </c>
      <c r="AH231" s="350">
        <v>296966.1531446568</v>
      </c>
      <c r="AI231" s="350">
        <v>295567.18494678795</v>
      </c>
      <c r="AJ231" s="350">
        <v>293806.82743652852</v>
      </c>
      <c r="AK231" s="348">
        <v>1483682.9005924882</v>
      </c>
      <c r="AL231" s="369"/>
      <c r="AM231" s="350">
        <v>10580460.908966532</v>
      </c>
      <c r="AN231" s="350">
        <v>10490321.41589074</v>
      </c>
      <c r="AO231" s="350">
        <v>10391148.561175058</v>
      </c>
      <c r="AP231" s="350">
        <v>10262872.924056018</v>
      </c>
      <c r="AQ231" s="350">
        <v>10088314.460845385</v>
      </c>
      <c r="AR231" s="348">
        <v>51813118.270933732</v>
      </c>
      <c r="AS231" s="369"/>
      <c r="AT231" s="350">
        <f t="shared" si="123"/>
        <v>10281250.411731174</v>
      </c>
      <c r="AU231" s="350">
        <f t="shared" si="106"/>
        <v>10192189.178061582</v>
      </c>
      <c r="AV231" s="350">
        <f t="shared" si="107"/>
        <v>10094182.4080304</v>
      </c>
      <c r="AW231" s="350">
        <f t="shared" si="108"/>
        <v>9967305.7391092293</v>
      </c>
      <c r="AX231" s="350">
        <f t="shared" si="109"/>
        <v>9794507.6334088556</v>
      </c>
      <c r="AY231" s="350">
        <f t="shared" si="110"/>
        <v>50329435.370341241</v>
      </c>
      <c r="AZ231" s="365"/>
      <c r="BA231" s="377">
        <f t="shared" si="111"/>
        <v>0</v>
      </c>
      <c r="BB231" s="377">
        <f t="shared" si="112"/>
        <v>0</v>
      </c>
      <c r="BC231" s="377">
        <f t="shared" si="113"/>
        <v>0</v>
      </c>
      <c r="BD231" s="377">
        <f t="shared" si="114"/>
        <v>0</v>
      </c>
      <c r="BE231" s="377">
        <f t="shared" si="115"/>
        <v>0</v>
      </c>
      <c r="BF231" s="377">
        <f t="shared" si="116"/>
        <v>0</v>
      </c>
      <c r="BG231" s="328"/>
    </row>
    <row r="232" spans="2:59">
      <c r="B232" s="332">
        <v>217</v>
      </c>
      <c r="C232" s="350">
        <v>4452592.9176078076</v>
      </c>
      <c r="D232" s="350">
        <v>4436547.1898016371</v>
      </c>
      <c r="E232" s="350">
        <v>4419194.521845419</v>
      </c>
      <c r="F232" s="350">
        <v>4398376.2820197968</v>
      </c>
      <c r="G232" s="350">
        <v>4372180.1577024283</v>
      </c>
      <c r="H232" s="348">
        <v>22078891.068977088</v>
      </c>
      <c r="I232" s="369"/>
      <c r="J232" s="350">
        <v>17344498.861155272</v>
      </c>
      <c r="K232" s="350">
        <v>17012906.835306384</v>
      </c>
      <c r="L232" s="350">
        <v>16670260.214431018</v>
      </c>
      <c r="M232" s="350">
        <v>16289596.253892696</v>
      </c>
      <c r="N232" s="350">
        <v>15848196.179665204</v>
      </c>
      <c r="O232" s="348">
        <v>83165458.344450578</v>
      </c>
      <c r="P232" s="369"/>
      <c r="Q232" s="350">
        <f t="shared" si="117"/>
        <v>12891905.943547465</v>
      </c>
      <c r="R232" s="350">
        <f t="shared" si="118"/>
        <v>12576359.645504747</v>
      </c>
      <c r="S232" s="350">
        <f t="shared" si="119"/>
        <v>12251065.692585599</v>
      </c>
      <c r="T232" s="350">
        <f t="shared" si="120"/>
        <v>11891219.9718729</v>
      </c>
      <c r="U232" s="350">
        <f t="shared" si="121"/>
        <v>11476016.021962777</v>
      </c>
      <c r="V232" s="350">
        <f t="shared" si="122"/>
        <v>61086567.27547349</v>
      </c>
      <c r="W232" s="365"/>
      <c r="X232" s="377">
        <f t="shared" si="100"/>
        <v>0</v>
      </c>
      <c r="Y232" s="377">
        <f t="shared" si="101"/>
        <v>0</v>
      </c>
      <c r="Z232" s="377">
        <f t="shared" si="102"/>
        <v>0</v>
      </c>
      <c r="AA232" s="377">
        <f t="shared" si="103"/>
        <v>0</v>
      </c>
      <c r="AB232" s="377">
        <f t="shared" si="104"/>
        <v>0</v>
      </c>
      <c r="AC232" s="377">
        <f t="shared" si="105"/>
        <v>0</v>
      </c>
      <c r="AD232" s="376"/>
      <c r="AE232" s="332">
        <v>217</v>
      </c>
      <c r="AF232" s="350">
        <v>442230.23522151646</v>
      </c>
      <c r="AG232" s="350">
        <v>440636.57819664851</v>
      </c>
      <c r="AH232" s="350">
        <v>438913.11625570775</v>
      </c>
      <c r="AI232" s="350">
        <v>436845.45472335076</v>
      </c>
      <c r="AJ232" s="350">
        <v>434243.66326540057</v>
      </c>
      <c r="AK232" s="348">
        <v>2192869.0476626242</v>
      </c>
      <c r="AL232" s="369"/>
      <c r="AM232" s="350">
        <v>15449116.891605316</v>
      </c>
      <c r="AN232" s="350">
        <v>15317251.635893779</v>
      </c>
      <c r="AO232" s="350">
        <v>15172201.324410575</v>
      </c>
      <c r="AP232" s="350">
        <v>14984669.480801338</v>
      </c>
      <c r="AQ232" s="350">
        <v>14729577.904757343</v>
      </c>
      <c r="AR232" s="348">
        <v>75652817.237468347</v>
      </c>
      <c r="AS232" s="369"/>
      <c r="AT232" s="350">
        <f t="shared" si="123"/>
        <v>15006886.656383799</v>
      </c>
      <c r="AU232" s="350">
        <f t="shared" si="106"/>
        <v>14876615.05769713</v>
      </c>
      <c r="AV232" s="350">
        <f t="shared" si="107"/>
        <v>14733288.208154866</v>
      </c>
      <c r="AW232" s="350">
        <f t="shared" si="108"/>
        <v>14547824.026077988</v>
      </c>
      <c r="AX232" s="350">
        <f t="shared" si="109"/>
        <v>14295334.241491944</v>
      </c>
      <c r="AY232" s="350">
        <f t="shared" si="110"/>
        <v>73459948.189805716</v>
      </c>
      <c r="AZ232" s="365"/>
      <c r="BA232" s="377">
        <f t="shared" si="111"/>
        <v>0</v>
      </c>
      <c r="BB232" s="377">
        <f t="shared" si="112"/>
        <v>0</v>
      </c>
      <c r="BC232" s="377">
        <f t="shared" si="113"/>
        <v>0</v>
      </c>
      <c r="BD232" s="377">
        <f t="shared" si="114"/>
        <v>0</v>
      </c>
      <c r="BE232" s="377">
        <f t="shared" si="115"/>
        <v>0</v>
      </c>
      <c r="BF232" s="377">
        <f t="shared" si="116"/>
        <v>0</v>
      </c>
      <c r="BG232" s="328"/>
    </row>
    <row r="233" spans="2:59">
      <c r="B233" s="332">
        <v>218</v>
      </c>
      <c r="C233" s="350">
        <v>6166896.1426625215</v>
      </c>
      <c r="D233" s="350">
        <v>6144672.6116222665</v>
      </c>
      <c r="E233" s="350">
        <v>6120638.952344561</v>
      </c>
      <c r="F233" s="350">
        <v>6091805.4332572985</v>
      </c>
      <c r="G233" s="350">
        <v>6055523.477777686</v>
      </c>
      <c r="H233" s="348">
        <v>30579536.617664333</v>
      </c>
      <c r="I233" s="369"/>
      <c r="J233" s="350">
        <v>19190696.280399866</v>
      </c>
      <c r="K233" s="350">
        <v>18766260.680664945</v>
      </c>
      <c r="L233" s="350">
        <v>18330768.93604809</v>
      </c>
      <c r="M233" s="350">
        <v>17856246.909313276</v>
      </c>
      <c r="N233" s="350">
        <v>17319261.971877057</v>
      </c>
      <c r="O233" s="348">
        <v>91463234.778303236</v>
      </c>
      <c r="P233" s="369"/>
      <c r="Q233" s="350">
        <f t="shared" si="117"/>
        <v>13023800.137737345</v>
      </c>
      <c r="R233" s="350">
        <f t="shared" si="118"/>
        <v>12621588.069042679</v>
      </c>
      <c r="S233" s="350">
        <f t="shared" si="119"/>
        <v>12210129.983703529</v>
      </c>
      <c r="T233" s="350">
        <f t="shared" si="120"/>
        <v>11764441.476055978</v>
      </c>
      <c r="U233" s="350">
        <f t="shared" si="121"/>
        <v>11263738.494099371</v>
      </c>
      <c r="V233" s="350">
        <f t="shared" si="122"/>
        <v>60883698.160638899</v>
      </c>
      <c r="W233" s="365"/>
      <c r="X233" s="377">
        <f t="shared" si="100"/>
        <v>0</v>
      </c>
      <c r="Y233" s="377">
        <f t="shared" si="101"/>
        <v>0</v>
      </c>
      <c r="Z233" s="377">
        <f t="shared" si="102"/>
        <v>0</v>
      </c>
      <c r="AA233" s="377">
        <f t="shared" si="103"/>
        <v>0</v>
      </c>
      <c r="AB233" s="377">
        <f t="shared" si="104"/>
        <v>0</v>
      </c>
      <c r="AC233" s="377">
        <f t="shared" si="105"/>
        <v>0</v>
      </c>
      <c r="AD233" s="376"/>
      <c r="AE233" s="332">
        <v>218</v>
      </c>
      <c r="AF233" s="350">
        <v>382049.91066299385</v>
      </c>
      <c r="AG233" s="350">
        <v>380673.12437502493</v>
      </c>
      <c r="AH233" s="350">
        <v>379184.19750362355</v>
      </c>
      <c r="AI233" s="350">
        <v>377397.91099310794</v>
      </c>
      <c r="AJ233" s="350">
        <v>375150.18093101552</v>
      </c>
      <c r="AK233" s="348">
        <v>1894455.3244657656</v>
      </c>
      <c r="AL233" s="369"/>
      <c r="AM233" s="350">
        <v>11172377.50103127</v>
      </c>
      <c r="AN233" s="350">
        <v>11074128.406133475</v>
      </c>
      <c r="AO233" s="350">
        <v>10966403.208807057</v>
      </c>
      <c r="AP233" s="350">
        <v>10828108.765588546</v>
      </c>
      <c r="AQ233" s="350">
        <v>10641194.736655727</v>
      </c>
      <c r="AR233" s="348">
        <v>54682212.618216075</v>
      </c>
      <c r="AS233" s="369"/>
      <c r="AT233" s="350">
        <f t="shared" si="123"/>
        <v>10790327.590368276</v>
      </c>
      <c r="AU233" s="350">
        <f t="shared" si="106"/>
        <v>10693455.28175845</v>
      </c>
      <c r="AV233" s="350">
        <f t="shared" si="107"/>
        <v>10587219.011303432</v>
      </c>
      <c r="AW233" s="350">
        <f t="shared" si="108"/>
        <v>10450710.854595438</v>
      </c>
      <c r="AX233" s="350">
        <f t="shared" si="109"/>
        <v>10266044.555724712</v>
      </c>
      <c r="AY233" s="350">
        <f t="shared" si="110"/>
        <v>52787757.293750308</v>
      </c>
      <c r="AZ233" s="365"/>
      <c r="BA233" s="377">
        <f t="shared" si="111"/>
        <v>0</v>
      </c>
      <c r="BB233" s="377">
        <f t="shared" si="112"/>
        <v>0</v>
      </c>
      <c r="BC233" s="377">
        <f t="shared" si="113"/>
        <v>0</v>
      </c>
      <c r="BD233" s="377">
        <f t="shared" si="114"/>
        <v>0</v>
      </c>
      <c r="BE233" s="377">
        <f t="shared" si="115"/>
        <v>0</v>
      </c>
      <c r="BF233" s="377">
        <f t="shared" si="116"/>
        <v>0</v>
      </c>
      <c r="BG233" s="328"/>
    </row>
    <row r="234" spans="2:59">
      <c r="B234" s="332">
        <v>219</v>
      </c>
      <c r="C234" s="350">
        <v>3745607.8314239299</v>
      </c>
      <c r="D234" s="350">
        <v>3732109.8528654096</v>
      </c>
      <c r="E234" s="350">
        <v>3717512.450813252</v>
      </c>
      <c r="F234" s="350">
        <v>3699999.7422476532</v>
      </c>
      <c r="G234" s="350">
        <v>3677963.0525677893</v>
      </c>
      <c r="H234" s="348">
        <v>18573192.929918036</v>
      </c>
      <c r="I234" s="369"/>
      <c r="J234" s="350">
        <v>14738050.822672112</v>
      </c>
      <c r="K234" s="350">
        <v>14458045.920305453</v>
      </c>
      <c r="L234" s="350">
        <v>14168611.775036495</v>
      </c>
      <c r="M234" s="350">
        <v>13846780.727024598</v>
      </c>
      <c r="N234" s="350">
        <v>13473196.031634908</v>
      </c>
      <c r="O234" s="348">
        <v>70684685.27667357</v>
      </c>
      <c r="P234" s="369"/>
      <c r="Q234" s="350">
        <f t="shared" si="117"/>
        <v>10992442.991248183</v>
      </c>
      <c r="R234" s="350">
        <f t="shared" si="118"/>
        <v>10725936.067440044</v>
      </c>
      <c r="S234" s="350">
        <f t="shared" si="119"/>
        <v>10451099.324223243</v>
      </c>
      <c r="T234" s="350">
        <f t="shared" si="120"/>
        <v>10146780.984776944</v>
      </c>
      <c r="U234" s="350">
        <f t="shared" si="121"/>
        <v>9795232.9790671188</v>
      </c>
      <c r="V234" s="350">
        <f t="shared" si="122"/>
        <v>52111492.346755534</v>
      </c>
      <c r="W234" s="365"/>
      <c r="X234" s="377">
        <f t="shared" si="100"/>
        <v>0</v>
      </c>
      <c r="Y234" s="377">
        <f t="shared" si="101"/>
        <v>0</v>
      </c>
      <c r="Z234" s="377">
        <f t="shared" si="102"/>
        <v>0</v>
      </c>
      <c r="AA234" s="377">
        <f t="shared" si="103"/>
        <v>0</v>
      </c>
      <c r="AB234" s="377">
        <f t="shared" si="104"/>
        <v>0</v>
      </c>
      <c r="AC234" s="377">
        <f t="shared" si="105"/>
        <v>0</v>
      </c>
      <c r="AD234" s="376"/>
      <c r="AE234" s="332">
        <v>219</v>
      </c>
      <c r="AF234" s="350">
        <v>465747.86473003676</v>
      </c>
      <c r="AG234" s="350">
        <v>464069.45765307022</v>
      </c>
      <c r="AH234" s="350">
        <v>462254.34268578509</v>
      </c>
      <c r="AI234" s="350">
        <v>460076.72372855269</v>
      </c>
      <c r="AJ234" s="350">
        <v>457336.57002692675</v>
      </c>
      <c r="AK234" s="348">
        <v>2309484.9588243715</v>
      </c>
      <c r="AL234" s="369"/>
      <c r="AM234" s="350">
        <v>15952159.306012832</v>
      </c>
      <c r="AN234" s="350">
        <v>15815577.309348444</v>
      </c>
      <c r="AO234" s="350">
        <v>15665389.573727656</v>
      </c>
      <c r="AP234" s="350">
        <v>15471359.356034199</v>
      </c>
      <c r="AQ234" s="350">
        <v>15207604.407934049</v>
      </c>
      <c r="AR234" s="348">
        <v>78112089.95305717</v>
      </c>
      <c r="AS234" s="369"/>
      <c r="AT234" s="350">
        <f t="shared" si="123"/>
        <v>15486411.441282796</v>
      </c>
      <c r="AU234" s="350">
        <f t="shared" si="106"/>
        <v>15351507.851695374</v>
      </c>
      <c r="AV234" s="350">
        <f t="shared" si="107"/>
        <v>15203135.231041871</v>
      </c>
      <c r="AW234" s="350">
        <f t="shared" si="108"/>
        <v>15011282.632305646</v>
      </c>
      <c r="AX234" s="350">
        <f t="shared" si="109"/>
        <v>14750267.837907122</v>
      </c>
      <c r="AY234" s="350">
        <f t="shared" si="110"/>
        <v>75802604.994232804</v>
      </c>
      <c r="AZ234" s="365"/>
      <c r="BA234" s="377">
        <f t="shared" si="111"/>
        <v>0</v>
      </c>
      <c r="BB234" s="377">
        <f t="shared" si="112"/>
        <v>0</v>
      </c>
      <c r="BC234" s="377">
        <f t="shared" si="113"/>
        <v>0</v>
      </c>
      <c r="BD234" s="377">
        <f t="shared" si="114"/>
        <v>0</v>
      </c>
      <c r="BE234" s="377">
        <f t="shared" si="115"/>
        <v>0</v>
      </c>
      <c r="BF234" s="377">
        <f t="shared" si="116"/>
        <v>0</v>
      </c>
      <c r="BG234" s="328"/>
    </row>
    <row r="235" spans="2:59">
      <c r="B235" s="332">
        <v>220</v>
      </c>
      <c r="C235" s="350">
        <v>5373743.0778492391</v>
      </c>
      <c r="D235" s="350">
        <v>5354377.8180280505</v>
      </c>
      <c r="E235" s="350">
        <v>5333435.2389426827</v>
      </c>
      <c r="F235" s="350">
        <v>5308310.1322405767</v>
      </c>
      <c r="G235" s="350">
        <v>5276694.5670358054</v>
      </c>
      <c r="H235" s="348">
        <v>26646560.834096354</v>
      </c>
      <c r="I235" s="369"/>
      <c r="J235" s="350">
        <v>20300055.650455579</v>
      </c>
      <c r="K235" s="350">
        <v>19904423.876525663</v>
      </c>
      <c r="L235" s="350">
        <v>19496007.643889315</v>
      </c>
      <c r="M235" s="350">
        <v>19043493.039992508</v>
      </c>
      <c r="N235" s="350">
        <v>18520513.117246307</v>
      </c>
      <c r="O235" s="348">
        <v>97264493.328109384</v>
      </c>
      <c r="P235" s="369"/>
      <c r="Q235" s="350">
        <f t="shared" si="117"/>
        <v>14926312.57260634</v>
      </c>
      <c r="R235" s="350">
        <f t="shared" si="118"/>
        <v>14550046.058497611</v>
      </c>
      <c r="S235" s="350">
        <f t="shared" si="119"/>
        <v>14162572.404946633</v>
      </c>
      <c r="T235" s="350">
        <f t="shared" si="120"/>
        <v>13735182.907751931</v>
      </c>
      <c r="U235" s="350">
        <f t="shared" si="121"/>
        <v>13243818.550210502</v>
      </c>
      <c r="V235" s="350">
        <f t="shared" si="122"/>
        <v>70617932.494013026</v>
      </c>
      <c r="W235" s="365"/>
      <c r="X235" s="377">
        <f t="shared" si="100"/>
        <v>0</v>
      </c>
      <c r="Y235" s="377">
        <f t="shared" si="101"/>
        <v>0</v>
      </c>
      <c r="Z235" s="377">
        <f t="shared" si="102"/>
        <v>0</v>
      </c>
      <c r="AA235" s="377">
        <f t="shared" si="103"/>
        <v>0</v>
      </c>
      <c r="AB235" s="377">
        <f t="shared" si="104"/>
        <v>0</v>
      </c>
      <c r="AC235" s="377">
        <f t="shared" si="105"/>
        <v>0</v>
      </c>
      <c r="AD235" s="376"/>
      <c r="AE235" s="332">
        <v>220</v>
      </c>
      <c r="AF235" s="350">
        <v>371844.68847571232</v>
      </c>
      <c r="AG235" s="350">
        <v>370504.67856062285</v>
      </c>
      <c r="AH235" s="350">
        <v>369055.5235334732</v>
      </c>
      <c r="AI235" s="350">
        <v>367316.95186392782</v>
      </c>
      <c r="AJ235" s="350">
        <v>365129.26260818157</v>
      </c>
      <c r="AK235" s="348">
        <v>1843851.1050419179</v>
      </c>
      <c r="AL235" s="369"/>
      <c r="AM235" s="350">
        <v>10401480.72960541</v>
      </c>
      <c r="AN235" s="350">
        <v>10309261.252685934</v>
      </c>
      <c r="AO235" s="350">
        <v>10208234.833449841</v>
      </c>
      <c r="AP235" s="350">
        <v>10078787.969717562</v>
      </c>
      <c r="AQ235" s="350">
        <v>9904138.0001912862</v>
      </c>
      <c r="AR235" s="348">
        <v>50901902.78565003</v>
      </c>
      <c r="AS235" s="369"/>
      <c r="AT235" s="350">
        <f t="shared" si="123"/>
        <v>10029636.041129697</v>
      </c>
      <c r="AU235" s="350">
        <f t="shared" si="106"/>
        <v>9938756.5741253123</v>
      </c>
      <c r="AV235" s="350">
        <f t="shared" si="107"/>
        <v>9839179.3099163678</v>
      </c>
      <c r="AW235" s="350">
        <f t="shared" si="108"/>
        <v>9711471.0178536344</v>
      </c>
      <c r="AX235" s="350">
        <f t="shared" si="109"/>
        <v>9539008.7375831045</v>
      </c>
      <c r="AY235" s="350">
        <f t="shared" si="110"/>
        <v>49058051.680608109</v>
      </c>
      <c r="AZ235" s="365"/>
      <c r="BA235" s="377">
        <f t="shared" si="111"/>
        <v>0</v>
      </c>
      <c r="BB235" s="377">
        <f t="shared" si="112"/>
        <v>0</v>
      </c>
      <c r="BC235" s="377">
        <f t="shared" si="113"/>
        <v>0</v>
      </c>
      <c r="BD235" s="377">
        <f t="shared" si="114"/>
        <v>0</v>
      </c>
      <c r="BE235" s="377">
        <f t="shared" si="115"/>
        <v>0</v>
      </c>
      <c r="BF235" s="377">
        <f t="shared" si="116"/>
        <v>0</v>
      </c>
      <c r="BG235" s="328"/>
    </row>
    <row r="236" spans="2:59">
      <c r="B236" s="332">
        <v>221</v>
      </c>
      <c r="C236" s="350">
        <v>4856201.6258702176</v>
      </c>
      <c r="D236" s="350">
        <v>4838701.4207307668</v>
      </c>
      <c r="E236" s="350">
        <v>4819775.8068465674</v>
      </c>
      <c r="F236" s="350">
        <v>4797070.481666456</v>
      </c>
      <c r="G236" s="350">
        <v>4768499.7895202171</v>
      </c>
      <c r="H236" s="348">
        <v>24080249.124634229</v>
      </c>
      <c r="I236" s="369"/>
      <c r="J236" s="350">
        <v>16494084.087222705</v>
      </c>
      <c r="K236" s="350">
        <v>16149895.35168355</v>
      </c>
      <c r="L236" s="350">
        <v>15795783.25591276</v>
      </c>
      <c r="M236" s="350">
        <v>15407038.973597698</v>
      </c>
      <c r="N236" s="350">
        <v>14962912.24575814</v>
      </c>
      <c r="O236" s="348">
        <v>78809713.914174855</v>
      </c>
      <c r="P236" s="369"/>
      <c r="Q236" s="350">
        <f t="shared" si="117"/>
        <v>11637882.461352486</v>
      </c>
      <c r="R236" s="350">
        <f t="shared" si="118"/>
        <v>11311193.930952784</v>
      </c>
      <c r="S236" s="350">
        <f t="shared" si="119"/>
        <v>10976007.449066192</v>
      </c>
      <c r="T236" s="350">
        <f t="shared" si="120"/>
        <v>10609968.491931241</v>
      </c>
      <c r="U236" s="350">
        <f t="shared" si="121"/>
        <v>10194412.456237923</v>
      </c>
      <c r="V236" s="350">
        <f t="shared" si="122"/>
        <v>54729464.789540626</v>
      </c>
      <c r="W236" s="365"/>
      <c r="X236" s="377">
        <f t="shared" si="100"/>
        <v>0</v>
      </c>
      <c r="Y236" s="377">
        <f t="shared" si="101"/>
        <v>0</v>
      </c>
      <c r="Z236" s="377">
        <f t="shared" si="102"/>
        <v>0</v>
      </c>
      <c r="AA236" s="377">
        <f t="shared" si="103"/>
        <v>0</v>
      </c>
      <c r="AB236" s="377">
        <f t="shared" si="104"/>
        <v>0</v>
      </c>
      <c r="AC236" s="377">
        <f t="shared" si="105"/>
        <v>0</v>
      </c>
      <c r="AD236" s="376"/>
      <c r="AE236" s="332">
        <v>221</v>
      </c>
      <c r="AF236" s="350">
        <v>382401.45373523573</v>
      </c>
      <c r="AG236" s="350">
        <v>381023.40059791546</v>
      </c>
      <c r="AH236" s="350">
        <v>379533.10369104991</v>
      </c>
      <c r="AI236" s="350">
        <v>377745.17352971726</v>
      </c>
      <c r="AJ236" s="350">
        <v>375495.37521970877</v>
      </c>
      <c r="AK236" s="348">
        <v>1896198.5067736269</v>
      </c>
      <c r="AL236" s="369"/>
      <c r="AM236" s="350">
        <v>13185030.249613227</v>
      </c>
      <c r="AN236" s="350">
        <v>13072258.924481062</v>
      </c>
      <c r="AO236" s="350">
        <v>12948239.5480281</v>
      </c>
      <c r="AP236" s="350">
        <v>12787976.540816747</v>
      </c>
      <c r="AQ236" s="350">
        <v>12570073.786841454</v>
      </c>
      <c r="AR236" s="348">
        <v>64563579.049780585</v>
      </c>
      <c r="AS236" s="369"/>
      <c r="AT236" s="350">
        <f t="shared" si="123"/>
        <v>12802628.795877991</v>
      </c>
      <c r="AU236" s="350">
        <f t="shared" si="106"/>
        <v>12691235.523883147</v>
      </c>
      <c r="AV236" s="350">
        <f t="shared" si="107"/>
        <v>12568706.444337049</v>
      </c>
      <c r="AW236" s="350">
        <f t="shared" si="108"/>
        <v>12410231.367287029</v>
      </c>
      <c r="AX236" s="350">
        <f t="shared" si="109"/>
        <v>12194578.411621746</v>
      </c>
      <c r="AY236" s="350">
        <f t="shared" si="110"/>
        <v>62667380.543006957</v>
      </c>
      <c r="AZ236" s="365"/>
      <c r="BA236" s="377">
        <f t="shared" si="111"/>
        <v>0</v>
      </c>
      <c r="BB236" s="377">
        <f t="shared" si="112"/>
        <v>0</v>
      </c>
      <c r="BC236" s="377">
        <f t="shared" si="113"/>
        <v>0</v>
      </c>
      <c r="BD236" s="377">
        <f t="shared" si="114"/>
        <v>0</v>
      </c>
      <c r="BE236" s="377">
        <f t="shared" si="115"/>
        <v>0</v>
      </c>
      <c r="BF236" s="377">
        <f t="shared" si="116"/>
        <v>0</v>
      </c>
      <c r="BG236" s="328"/>
    </row>
    <row r="237" spans="2:59">
      <c r="B237" s="332">
        <v>222</v>
      </c>
      <c r="C237" s="350">
        <v>5410016.618482057</v>
      </c>
      <c r="D237" s="350">
        <v>5390520.6403647363</v>
      </c>
      <c r="E237" s="350">
        <v>5369436.6958507663</v>
      </c>
      <c r="F237" s="350">
        <v>5344141.9910555482</v>
      </c>
      <c r="G237" s="350">
        <v>5312313.0162268961</v>
      </c>
      <c r="H237" s="348">
        <v>26826428.961980004</v>
      </c>
      <c r="I237" s="369"/>
      <c r="J237" s="350">
        <v>15668516.93252882</v>
      </c>
      <c r="K237" s="350">
        <v>15304583.382902928</v>
      </c>
      <c r="L237" s="350">
        <v>14931978.135447027</v>
      </c>
      <c r="M237" s="350">
        <v>14528423.172205165</v>
      </c>
      <c r="N237" s="350">
        <v>14075301.838403616</v>
      </c>
      <c r="O237" s="348">
        <v>74508803.461487561</v>
      </c>
      <c r="P237" s="369"/>
      <c r="Q237" s="350">
        <f t="shared" si="117"/>
        <v>10258500.314046763</v>
      </c>
      <c r="R237" s="350">
        <f t="shared" si="118"/>
        <v>9914062.7425381914</v>
      </c>
      <c r="S237" s="350">
        <f t="shared" si="119"/>
        <v>9562541.4395962618</v>
      </c>
      <c r="T237" s="350">
        <f t="shared" si="120"/>
        <v>9184281.1811496168</v>
      </c>
      <c r="U237" s="350">
        <f t="shared" si="121"/>
        <v>8762988.8221767209</v>
      </c>
      <c r="V237" s="350">
        <f t="shared" si="122"/>
        <v>47682374.499507561</v>
      </c>
      <c r="W237" s="365"/>
      <c r="X237" s="377">
        <f t="shared" si="100"/>
        <v>0</v>
      </c>
      <c r="Y237" s="377">
        <f t="shared" si="101"/>
        <v>0</v>
      </c>
      <c r="Z237" s="377">
        <f t="shared" si="102"/>
        <v>0</v>
      </c>
      <c r="AA237" s="377">
        <f t="shared" si="103"/>
        <v>0</v>
      </c>
      <c r="AB237" s="377">
        <f t="shared" si="104"/>
        <v>0</v>
      </c>
      <c r="AC237" s="377">
        <f t="shared" si="105"/>
        <v>0</v>
      </c>
      <c r="AD237" s="376"/>
      <c r="AE237" s="332">
        <v>222</v>
      </c>
      <c r="AF237" s="350">
        <v>526977.2619357591</v>
      </c>
      <c r="AG237" s="350">
        <v>525078.20359794796</v>
      </c>
      <c r="AH237" s="350">
        <v>523024.46510982199</v>
      </c>
      <c r="AI237" s="350">
        <v>520560.56615821453</v>
      </c>
      <c r="AJ237" s="350">
        <v>517460.17900817812</v>
      </c>
      <c r="AK237" s="348">
        <v>2613100.6758099217</v>
      </c>
      <c r="AL237" s="369"/>
      <c r="AM237" s="350">
        <v>12121977.90291949</v>
      </c>
      <c r="AN237" s="350">
        <v>12010160.597245045</v>
      </c>
      <c r="AO237" s="350">
        <v>11888168.30570456</v>
      </c>
      <c r="AP237" s="350">
        <v>11733283.571925582</v>
      </c>
      <c r="AQ237" s="350">
        <v>11526076.38692636</v>
      </c>
      <c r="AR237" s="348">
        <v>59279666.764721036</v>
      </c>
      <c r="AS237" s="369"/>
      <c r="AT237" s="350">
        <f t="shared" si="123"/>
        <v>11595000.640983731</v>
      </c>
      <c r="AU237" s="350">
        <f t="shared" si="106"/>
        <v>11485082.393647097</v>
      </c>
      <c r="AV237" s="350">
        <f t="shared" si="107"/>
        <v>11365143.840594739</v>
      </c>
      <c r="AW237" s="350">
        <f t="shared" si="108"/>
        <v>11212723.005767368</v>
      </c>
      <c r="AX237" s="350">
        <f t="shared" si="109"/>
        <v>11008616.207918182</v>
      </c>
      <c r="AY237" s="350">
        <f t="shared" si="110"/>
        <v>56666566.088911116</v>
      </c>
      <c r="AZ237" s="365"/>
      <c r="BA237" s="377">
        <f t="shared" si="111"/>
        <v>0</v>
      </c>
      <c r="BB237" s="377">
        <f t="shared" si="112"/>
        <v>0</v>
      </c>
      <c r="BC237" s="377">
        <f t="shared" si="113"/>
        <v>0</v>
      </c>
      <c r="BD237" s="377">
        <f t="shared" si="114"/>
        <v>0</v>
      </c>
      <c r="BE237" s="377">
        <f t="shared" si="115"/>
        <v>0</v>
      </c>
      <c r="BF237" s="377">
        <f t="shared" si="116"/>
        <v>0</v>
      </c>
      <c r="BG237" s="328"/>
    </row>
    <row r="238" spans="2:59">
      <c r="B238" s="332">
        <v>223</v>
      </c>
      <c r="C238" s="350">
        <v>5473677.9765823046</v>
      </c>
      <c r="D238" s="350">
        <v>5453952.5831910651</v>
      </c>
      <c r="E238" s="350">
        <v>5432620.5373057807</v>
      </c>
      <c r="F238" s="350">
        <v>5407028.1818056637</v>
      </c>
      <c r="G238" s="350">
        <v>5374824.6654723492</v>
      </c>
      <c r="H238" s="348">
        <v>27142103.944357164</v>
      </c>
      <c r="I238" s="369"/>
      <c r="J238" s="350">
        <v>20536717.681543678</v>
      </c>
      <c r="K238" s="350">
        <v>20134743.586965784</v>
      </c>
      <c r="L238" s="350">
        <v>19719871.31597602</v>
      </c>
      <c r="M238" s="350">
        <v>19260477.76417926</v>
      </c>
      <c r="N238" s="350">
        <v>18729939.829314183</v>
      </c>
      <c r="O238" s="348">
        <v>98381750.177978933</v>
      </c>
      <c r="P238" s="369"/>
      <c r="Q238" s="350">
        <f t="shared" si="117"/>
        <v>15063039.704961374</v>
      </c>
      <c r="R238" s="350">
        <f t="shared" si="118"/>
        <v>14680791.003774719</v>
      </c>
      <c r="S238" s="350">
        <f t="shared" si="119"/>
        <v>14287250.77867024</v>
      </c>
      <c r="T238" s="350">
        <f t="shared" si="120"/>
        <v>13853449.582373597</v>
      </c>
      <c r="U238" s="350">
        <f t="shared" si="121"/>
        <v>13355115.163841834</v>
      </c>
      <c r="V238" s="350">
        <f t="shared" si="122"/>
        <v>71239646.233621776</v>
      </c>
      <c r="W238" s="365"/>
      <c r="X238" s="377">
        <f t="shared" si="100"/>
        <v>0</v>
      </c>
      <c r="Y238" s="377">
        <f t="shared" si="101"/>
        <v>0</v>
      </c>
      <c r="Z238" s="377">
        <f t="shared" si="102"/>
        <v>0</v>
      </c>
      <c r="AA238" s="377">
        <f t="shared" si="103"/>
        <v>0</v>
      </c>
      <c r="AB238" s="377">
        <f t="shared" si="104"/>
        <v>0</v>
      </c>
      <c r="AC238" s="377">
        <f t="shared" si="105"/>
        <v>0</v>
      </c>
      <c r="AD238" s="376"/>
      <c r="AE238" s="332">
        <v>223</v>
      </c>
      <c r="AF238" s="350">
        <v>334355.06119783118</v>
      </c>
      <c r="AG238" s="350">
        <v>333150.15196811472</v>
      </c>
      <c r="AH238" s="350">
        <v>331847.10170867969</v>
      </c>
      <c r="AI238" s="350">
        <v>330283.81398403709</v>
      </c>
      <c r="AJ238" s="350">
        <v>328316.68900509668</v>
      </c>
      <c r="AK238" s="348">
        <v>1657952.8178637594</v>
      </c>
      <c r="AL238" s="369"/>
      <c r="AM238" s="350">
        <v>10425904.509350091</v>
      </c>
      <c r="AN238" s="350">
        <v>10335248.382050814</v>
      </c>
      <c r="AO238" s="350">
        <v>10235728.287350092</v>
      </c>
      <c r="AP238" s="350">
        <v>10107627.184255883</v>
      </c>
      <c r="AQ238" s="350">
        <v>9934070.2890623007</v>
      </c>
      <c r="AR238" s="348">
        <v>51038578.652069174</v>
      </c>
      <c r="AS238" s="369"/>
      <c r="AT238" s="350">
        <f t="shared" si="123"/>
        <v>10091549.448152261</v>
      </c>
      <c r="AU238" s="350">
        <f t="shared" si="106"/>
        <v>10002098.2300827</v>
      </c>
      <c r="AV238" s="350">
        <f t="shared" si="107"/>
        <v>9903881.1856414117</v>
      </c>
      <c r="AW238" s="350">
        <f t="shared" si="108"/>
        <v>9777343.3702718467</v>
      </c>
      <c r="AX238" s="350">
        <f t="shared" si="109"/>
        <v>9605753.6000572033</v>
      </c>
      <c r="AY238" s="350">
        <f t="shared" si="110"/>
        <v>49380625.834205411</v>
      </c>
      <c r="AZ238" s="365"/>
      <c r="BA238" s="377">
        <f t="shared" si="111"/>
        <v>0</v>
      </c>
      <c r="BB238" s="377">
        <f t="shared" si="112"/>
        <v>0</v>
      </c>
      <c r="BC238" s="377">
        <f t="shared" si="113"/>
        <v>0</v>
      </c>
      <c r="BD238" s="377">
        <f t="shared" si="114"/>
        <v>0</v>
      </c>
      <c r="BE238" s="377">
        <f t="shared" si="115"/>
        <v>0</v>
      </c>
      <c r="BF238" s="377">
        <f t="shared" si="116"/>
        <v>0</v>
      </c>
      <c r="BG238" s="328"/>
    </row>
    <row r="239" spans="2:59">
      <c r="B239" s="332">
        <v>224</v>
      </c>
      <c r="C239" s="350">
        <v>8087076.1591732726</v>
      </c>
      <c r="D239" s="350">
        <v>8057932.9104642533</v>
      </c>
      <c r="E239" s="350">
        <v>8026415.9157774411</v>
      </c>
      <c r="F239" s="350">
        <v>7988604.5339410361</v>
      </c>
      <c r="G239" s="350">
        <v>7941025.5038455706</v>
      </c>
      <c r="H239" s="348">
        <v>40101055.023201577</v>
      </c>
      <c r="I239" s="369"/>
      <c r="J239" s="350">
        <v>24970462.546874419</v>
      </c>
      <c r="K239" s="350">
        <v>24415280.787636168</v>
      </c>
      <c r="L239" s="350">
        <v>23845772.601067573</v>
      </c>
      <c r="M239" s="350">
        <v>23225632.922463089</v>
      </c>
      <c r="N239" s="350">
        <v>22524458.171500277</v>
      </c>
      <c r="O239" s="348">
        <v>118981607.02954154</v>
      </c>
      <c r="P239" s="369"/>
      <c r="Q239" s="350">
        <f t="shared" si="117"/>
        <v>16883386.387701146</v>
      </c>
      <c r="R239" s="350">
        <f t="shared" si="118"/>
        <v>16357347.877171915</v>
      </c>
      <c r="S239" s="350">
        <f t="shared" si="119"/>
        <v>15819356.685290132</v>
      </c>
      <c r="T239" s="350">
        <f t="shared" si="120"/>
        <v>15237028.388522053</v>
      </c>
      <c r="U239" s="350">
        <f t="shared" si="121"/>
        <v>14583432.667654706</v>
      </c>
      <c r="V239" s="350">
        <f t="shared" si="122"/>
        <v>78880552.006339967</v>
      </c>
      <c r="W239" s="365"/>
      <c r="X239" s="377">
        <f t="shared" si="100"/>
        <v>0</v>
      </c>
      <c r="Y239" s="377">
        <f t="shared" si="101"/>
        <v>0</v>
      </c>
      <c r="Z239" s="377">
        <f t="shared" si="102"/>
        <v>0</v>
      </c>
      <c r="AA239" s="377">
        <f t="shared" si="103"/>
        <v>0</v>
      </c>
      <c r="AB239" s="377">
        <f t="shared" si="104"/>
        <v>0</v>
      </c>
      <c r="AC239" s="377">
        <f t="shared" si="105"/>
        <v>0</v>
      </c>
      <c r="AD239" s="376"/>
      <c r="AE239" s="332">
        <v>224</v>
      </c>
      <c r="AF239" s="350">
        <v>514374.00267390575</v>
      </c>
      <c r="AG239" s="350">
        <v>512520.36247139878</v>
      </c>
      <c r="AH239" s="350">
        <v>510515.7414699113</v>
      </c>
      <c r="AI239" s="350">
        <v>508110.76945789898</v>
      </c>
      <c r="AJ239" s="350">
        <v>505084.53158504475</v>
      </c>
      <c r="AK239" s="348">
        <v>2550605.4076581597</v>
      </c>
      <c r="AL239" s="369"/>
      <c r="AM239" s="350">
        <v>12892415.57007999</v>
      </c>
      <c r="AN239" s="350">
        <v>12775630.184922809</v>
      </c>
      <c r="AO239" s="350">
        <v>12647979.448964886</v>
      </c>
      <c r="AP239" s="350">
        <v>12485232.977746559</v>
      </c>
      <c r="AQ239" s="350">
        <v>12266662.505538655</v>
      </c>
      <c r="AR239" s="348">
        <v>63067920.687252901</v>
      </c>
      <c r="AS239" s="369"/>
      <c r="AT239" s="350">
        <f t="shared" si="123"/>
        <v>12378041.567406084</v>
      </c>
      <c r="AU239" s="350">
        <f t="shared" si="106"/>
        <v>12263109.822451411</v>
      </c>
      <c r="AV239" s="350">
        <f t="shared" si="107"/>
        <v>12137463.707494974</v>
      </c>
      <c r="AW239" s="350">
        <f t="shared" si="108"/>
        <v>11977122.20828866</v>
      </c>
      <c r="AX239" s="350">
        <f t="shared" si="109"/>
        <v>11761577.97395361</v>
      </c>
      <c r="AY239" s="350">
        <f t="shared" si="110"/>
        <v>60517315.279594742</v>
      </c>
      <c r="AZ239" s="365"/>
      <c r="BA239" s="377">
        <f t="shared" si="111"/>
        <v>0</v>
      </c>
      <c r="BB239" s="377">
        <f t="shared" si="112"/>
        <v>0</v>
      </c>
      <c r="BC239" s="377">
        <f t="shared" si="113"/>
        <v>0</v>
      </c>
      <c r="BD239" s="377">
        <f t="shared" si="114"/>
        <v>0</v>
      </c>
      <c r="BE239" s="377">
        <f t="shared" si="115"/>
        <v>0</v>
      </c>
      <c r="BF239" s="377">
        <f t="shared" si="116"/>
        <v>0</v>
      </c>
      <c r="BG239" s="328"/>
    </row>
    <row r="240" spans="2:59">
      <c r="B240" s="332">
        <v>225</v>
      </c>
      <c r="C240" s="350">
        <v>4970544.5913616698</v>
      </c>
      <c r="D240" s="350">
        <v>4952632.3305650391</v>
      </c>
      <c r="E240" s="350">
        <v>4933261.0986892516</v>
      </c>
      <c r="F240" s="350">
        <v>4910021.1593366731</v>
      </c>
      <c r="G240" s="350">
        <v>4880777.7484860169</v>
      </c>
      <c r="H240" s="348">
        <v>24647236.928438652</v>
      </c>
      <c r="I240" s="369"/>
      <c r="J240" s="350">
        <v>18041640.158613246</v>
      </c>
      <c r="K240" s="350">
        <v>17680992.53133525</v>
      </c>
      <c r="L240" s="350">
        <v>17309167.142365418</v>
      </c>
      <c r="M240" s="350">
        <v>16898625.460148066</v>
      </c>
      <c r="N240" s="350">
        <v>16426201.362136133</v>
      </c>
      <c r="O240" s="348">
        <v>86356626.654598117</v>
      </c>
      <c r="P240" s="369"/>
      <c r="Q240" s="350">
        <f t="shared" si="117"/>
        <v>13071095.567251576</v>
      </c>
      <c r="R240" s="350">
        <f t="shared" si="118"/>
        <v>12728360.20077021</v>
      </c>
      <c r="S240" s="350">
        <f t="shared" si="119"/>
        <v>12375906.043676168</v>
      </c>
      <c r="T240" s="350">
        <f t="shared" si="120"/>
        <v>11988604.300811393</v>
      </c>
      <c r="U240" s="350">
        <f t="shared" si="121"/>
        <v>11545423.613650117</v>
      </c>
      <c r="V240" s="350">
        <f t="shared" si="122"/>
        <v>61709389.726159468</v>
      </c>
      <c r="W240" s="365"/>
      <c r="X240" s="377">
        <f t="shared" si="100"/>
        <v>0</v>
      </c>
      <c r="Y240" s="377">
        <f t="shared" si="101"/>
        <v>0</v>
      </c>
      <c r="Z240" s="377">
        <f t="shared" si="102"/>
        <v>0</v>
      </c>
      <c r="AA240" s="377">
        <f t="shared" si="103"/>
        <v>0</v>
      </c>
      <c r="AB240" s="377">
        <f t="shared" si="104"/>
        <v>0</v>
      </c>
      <c r="AC240" s="377">
        <f t="shared" si="105"/>
        <v>0</v>
      </c>
      <c r="AD240" s="376"/>
      <c r="AE240" s="332">
        <v>225</v>
      </c>
      <c r="AF240" s="350">
        <v>606123.55621841864</v>
      </c>
      <c r="AG240" s="350">
        <v>603939.27982487541</v>
      </c>
      <c r="AH240" s="350">
        <v>601577.09199272294</v>
      </c>
      <c r="AI240" s="350">
        <v>598743.14202451124</v>
      </c>
      <c r="AJ240" s="350">
        <v>595177.11020345881</v>
      </c>
      <c r="AK240" s="348">
        <v>3005560.1802639868</v>
      </c>
      <c r="AL240" s="369"/>
      <c r="AM240" s="350">
        <v>19804151.076208122</v>
      </c>
      <c r="AN240" s="350">
        <v>19633293.459453069</v>
      </c>
      <c r="AO240" s="350">
        <v>19445571.148767103</v>
      </c>
      <c r="AP240" s="350">
        <v>19203487.912144154</v>
      </c>
      <c r="AQ240" s="350">
        <v>18874950.028828241</v>
      </c>
      <c r="AR240" s="348">
        <v>96961453.625400692</v>
      </c>
      <c r="AS240" s="369"/>
      <c r="AT240" s="350">
        <f t="shared" si="123"/>
        <v>19198027.519989703</v>
      </c>
      <c r="AU240" s="350">
        <f t="shared" si="106"/>
        <v>19029354.179628193</v>
      </c>
      <c r="AV240" s="350">
        <f t="shared" si="107"/>
        <v>18843994.056774378</v>
      </c>
      <c r="AW240" s="350">
        <f t="shared" si="108"/>
        <v>18604744.770119645</v>
      </c>
      <c r="AX240" s="350">
        <f t="shared" si="109"/>
        <v>18279772.918624781</v>
      </c>
      <c r="AY240" s="350">
        <f t="shared" si="110"/>
        <v>93955893.445136711</v>
      </c>
      <c r="AZ240" s="365"/>
      <c r="BA240" s="377">
        <f t="shared" si="111"/>
        <v>0</v>
      </c>
      <c r="BB240" s="377">
        <f t="shared" si="112"/>
        <v>0</v>
      </c>
      <c r="BC240" s="377">
        <f t="shared" si="113"/>
        <v>0</v>
      </c>
      <c r="BD240" s="377">
        <f t="shared" si="114"/>
        <v>0</v>
      </c>
      <c r="BE240" s="377">
        <f t="shared" si="115"/>
        <v>0</v>
      </c>
      <c r="BF240" s="377">
        <f t="shared" si="116"/>
        <v>0</v>
      </c>
      <c r="BG240" s="328"/>
    </row>
    <row r="241" spans="2:59">
      <c r="B241" s="332">
        <v>226</v>
      </c>
      <c r="C241" s="350">
        <v>5568563.9728679853</v>
      </c>
      <c r="D241" s="350">
        <v>5548496.6405442636</v>
      </c>
      <c r="E241" s="350">
        <v>5526794.8044675756</v>
      </c>
      <c r="F241" s="350">
        <v>5500758.8064734535</v>
      </c>
      <c r="G241" s="350">
        <v>5467997.0434284657</v>
      </c>
      <c r="H241" s="348">
        <v>27612611.267781746</v>
      </c>
      <c r="I241" s="369"/>
      <c r="J241" s="350">
        <v>19306412.900744777</v>
      </c>
      <c r="K241" s="350">
        <v>18908903.699038841</v>
      </c>
      <c r="L241" s="350">
        <v>18499669.587007664</v>
      </c>
      <c r="M241" s="350">
        <v>18049615.464324173</v>
      </c>
      <c r="N241" s="350">
        <v>17534294.131897863</v>
      </c>
      <c r="O241" s="348">
        <v>92298895.783013314</v>
      </c>
      <c r="P241" s="369"/>
      <c r="Q241" s="350">
        <f t="shared" si="117"/>
        <v>13737848.927876793</v>
      </c>
      <c r="R241" s="350">
        <f t="shared" si="118"/>
        <v>13360407.058494577</v>
      </c>
      <c r="S241" s="350">
        <f t="shared" si="119"/>
        <v>12972874.782540089</v>
      </c>
      <c r="T241" s="350">
        <f t="shared" si="120"/>
        <v>12548856.65785072</v>
      </c>
      <c r="U241" s="350">
        <f t="shared" si="121"/>
        <v>12066297.088469397</v>
      </c>
      <c r="V241" s="350">
        <f t="shared" si="122"/>
        <v>64686284.515231565</v>
      </c>
      <c r="W241" s="365"/>
      <c r="X241" s="377">
        <f t="shared" si="100"/>
        <v>0</v>
      </c>
      <c r="Y241" s="377">
        <f t="shared" si="101"/>
        <v>0</v>
      </c>
      <c r="Z241" s="377">
        <f t="shared" si="102"/>
        <v>0</v>
      </c>
      <c r="AA241" s="377">
        <f t="shared" si="103"/>
        <v>0</v>
      </c>
      <c r="AB241" s="377">
        <f t="shared" si="104"/>
        <v>0</v>
      </c>
      <c r="AC241" s="377">
        <f t="shared" si="105"/>
        <v>0</v>
      </c>
      <c r="AD241" s="376"/>
      <c r="AE241" s="332">
        <v>226</v>
      </c>
      <c r="AF241" s="350">
        <v>500963.07018130634</v>
      </c>
      <c r="AG241" s="350">
        <v>499157.75871137943</v>
      </c>
      <c r="AH241" s="350">
        <v>497205.40286478779</v>
      </c>
      <c r="AI241" s="350">
        <v>494863.13409425365</v>
      </c>
      <c r="AJ241" s="350">
        <v>491915.79731595004</v>
      </c>
      <c r="AK241" s="348">
        <v>2484105.1631676769</v>
      </c>
      <c r="AL241" s="369"/>
      <c r="AM241" s="350">
        <v>15383267.361752635</v>
      </c>
      <c r="AN241" s="350">
        <v>15249151.720235193</v>
      </c>
      <c r="AO241" s="350">
        <v>15101964.652442707</v>
      </c>
      <c r="AP241" s="350">
        <v>14912625.38583196</v>
      </c>
      <c r="AQ241" s="350">
        <v>14656245.908088222</v>
      </c>
      <c r="AR241" s="348">
        <v>75303255.028350711</v>
      </c>
      <c r="AS241" s="369"/>
      <c r="AT241" s="350">
        <f t="shared" si="123"/>
        <v>14882304.291571328</v>
      </c>
      <c r="AU241" s="350">
        <f t="shared" si="106"/>
        <v>14749993.961523814</v>
      </c>
      <c r="AV241" s="350">
        <f t="shared" si="107"/>
        <v>14604759.249577919</v>
      </c>
      <c r="AW241" s="350">
        <f t="shared" si="108"/>
        <v>14417762.251737706</v>
      </c>
      <c r="AX241" s="350">
        <f t="shared" si="109"/>
        <v>14164330.110772273</v>
      </c>
      <c r="AY241" s="350">
        <f t="shared" si="110"/>
        <v>72819149.86518304</v>
      </c>
      <c r="AZ241" s="365"/>
      <c r="BA241" s="377">
        <f t="shared" si="111"/>
        <v>0</v>
      </c>
      <c r="BB241" s="377">
        <f t="shared" si="112"/>
        <v>0</v>
      </c>
      <c r="BC241" s="377">
        <f t="shared" si="113"/>
        <v>0</v>
      </c>
      <c r="BD241" s="377">
        <f t="shared" si="114"/>
        <v>0</v>
      </c>
      <c r="BE241" s="377">
        <f t="shared" si="115"/>
        <v>0</v>
      </c>
      <c r="BF241" s="377">
        <f t="shared" si="116"/>
        <v>0</v>
      </c>
      <c r="BG241" s="328"/>
    </row>
    <row r="242" spans="2:59">
      <c r="B242" s="332">
        <v>227</v>
      </c>
      <c r="C242" s="350">
        <v>3935304.9334124392</v>
      </c>
      <c r="D242" s="350">
        <v>3921123.3468707846</v>
      </c>
      <c r="E242" s="350">
        <v>3905786.6562997852</v>
      </c>
      <c r="F242" s="350">
        <v>3887387.0128994742</v>
      </c>
      <c r="G242" s="350">
        <v>3864234.270403129</v>
      </c>
      <c r="H242" s="348">
        <v>19513836.21988561</v>
      </c>
      <c r="I242" s="369"/>
      <c r="J242" s="350">
        <v>12737487.064655622</v>
      </c>
      <c r="K242" s="350">
        <v>12463099.705353595</v>
      </c>
      <c r="L242" s="350">
        <v>12181224.461764012</v>
      </c>
      <c r="M242" s="350">
        <v>11873057.443076942</v>
      </c>
      <c r="N242" s="350">
        <v>11522828.73072966</v>
      </c>
      <c r="O242" s="348">
        <v>60777697.405579828</v>
      </c>
      <c r="P242" s="369"/>
      <c r="Q242" s="350">
        <f t="shared" si="117"/>
        <v>8802182.1312431842</v>
      </c>
      <c r="R242" s="350">
        <f t="shared" si="118"/>
        <v>8541976.3584828116</v>
      </c>
      <c r="S242" s="350">
        <f t="shared" si="119"/>
        <v>8275437.8054642268</v>
      </c>
      <c r="T242" s="350">
        <f t="shared" si="120"/>
        <v>7985670.4301774679</v>
      </c>
      <c r="U242" s="350">
        <f t="shared" si="121"/>
        <v>7658594.460326531</v>
      </c>
      <c r="V242" s="350">
        <f t="shared" si="122"/>
        <v>41263861.185694218</v>
      </c>
      <c r="W242" s="365"/>
      <c r="X242" s="377">
        <f t="shared" si="100"/>
        <v>0</v>
      </c>
      <c r="Y242" s="377">
        <f t="shared" si="101"/>
        <v>0</v>
      </c>
      <c r="Z242" s="377">
        <f t="shared" si="102"/>
        <v>0</v>
      </c>
      <c r="AA242" s="377">
        <f t="shared" si="103"/>
        <v>0</v>
      </c>
      <c r="AB242" s="377">
        <f t="shared" si="104"/>
        <v>0</v>
      </c>
      <c r="AC242" s="377">
        <f t="shared" si="105"/>
        <v>0</v>
      </c>
      <c r="AD242" s="376"/>
      <c r="AE242" s="332">
        <v>227</v>
      </c>
      <c r="AF242" s="350">
        <v>532794.55759783264</v>
      </c>
      <c r="AG242" s="350">
        <v>530874.53557785042</v>
      </c>
      <c r="AH242" s="350">
        <v>528798.12589523289</v>
      </c>
      <c r="AI242" s="350">
        <v>526307.02799270605</v>
      </c>
      <c r="AJ242" s="350">
        <v>523172.41570617619</v>
      </c>
      <c r="AK242" s="348">
        <v>2641946.6627697982</v>
      </c>
      <c r="AL242" s="369"/>
      <c r="AM242" s="350">
        <v>17786713.734962419</v>
      </c>
      <c r="AN242" s="350">
        <v>17633798.717993397</v>
      </c>
      <c r="AO242" s="350">
        <v>17465726.02922304</v>
      </c>
      <c r="AP242" s="350">
        <v>17248801.798743181</v>
      </c>
      <c r="AQ242" s="350">
        <v>16954185.757295769</v>
      </c>
      <c r="AR242" s="348">
        <v>87089226.038217798</v>
      </c>
      <c r="AS242" s="369"/>
      <c r="AT242" s="350">
        <f t="shared" si="123"/>
        <v>17253919.177364588</v>
      </c>
      <c r="AU242" s="350">
        <f t="shared" si="106"/>
        <v>17102924.182415545</v>
      </c>
      <c r="AV242" s="350">
        <f t="shared" si="107"/>
        <v>16936927.903327808</v>
      </c>
      <c r="AW242" s="350">
        <f t="shared" si="108"/>
        <v>16722494.770750474</v>
      </c>
      <c r="AX242" s="350">
        <f t="shared" si="109"/>
        <v>16431013.341589592</v>
      </c>
      <c r="AY242" s="350">
        <f t="shared" si="110"/>
        <v>84447279.375448003</v>
      </c>
      <c r="AZ242" s="365"/>
      <c r="BA242" s="377">
        <f t="shared" si="111"/>
        <v>0</v>
      </c>
      <c r="BB242" s="377">
        <f t="shared" si="112"/>
        <v>0</v>
      </c>
      <c r="BC242" s="377">
        <f t="shared" si="113"/>
        <v>0</v>
      </c>
      <c r="BD242" s="377">
        <f t="shared" si="114"/>
        <v>0</v>
      </c>
      <c r="BE242" s="377">
        <f t="shared" si="115"/>
        <v>0</v>
      </c>
      <c r="BF242" s="377">
        <f t="shared" si="116"/>
        <v>0</v>
      </c>
      <c r="BG242" s="328"/>
    </row>
    <row r="243" spans="2:59">
      <c r="B243" s="332">
        <v>228</v>
      </c>
      <c r="C243" s="350">
        <v>4500374.910825314</v>
      </c>
      <c r="D243" s="350">
        <v>4484156.9919225425</v>
      </c>
      <c r="E243" s="350">
        <v>4466618.1077372786</v>
      </c>
      <c r="F243" s="350">
        <v>4445576.4616823979</v>
      </c>
      <c r="G243" s="350">
        <v>4419099.2195854317</v>
      </c>
      <c r="H243" s="348">
        <v>22315825.691752963</v>
      </c>
      <c r="I243" s="369"/>
      <c r="J243" s="350">
        <v>15395484.018238716</v>
      </c>
      <c r="K243" s="350">
        <v>15075722.342238041</v>
      </c>
      <c r="L243" s="350">
        <v>14746667.584894117</v>
      </c>
      <c r="M243" s="350">
        <v>14385208.155217879</v>
      </c>
      <c r="N243" s="350">
        <v>13971931.391401757</v>
      </c>
      <c r="O243" s="348">
        <v>73575013.491990507</v>
      </c>
      <c r="P243" s="369"/>
      <c r="Q243" s="350">
        <f t="shared" si="117"/>
        <v>10895109.107413402</v>
      </c>
      <c r="R243" s="350">
        <f t="shared" si="118"/>
        <v>10591565.350315498</v>
      </c>
      <c r="S243" s="350">
        <f t="shared" si="119"/>
        <v>10280049.477156838</v>
      </c>
      <c r="T243" s="350">
        <f t="shared" si="120"/>
        <v>9939631.6935354806</v>
      </c>
      <c r="U243" s="350">
        <f t="shared" si="121"/>
        <v>9552832.1718163248</v>
      </c>
      <c r="V243" s="350">
        <f t="shared" si="122"/>
        <v>51259187.800237544</v>
      </c>
      <c r="W243" s="365"/>
      <c r="X243" s="377">
        <f t="shared" si="100"/>
        <v>0</v>
      </c>
      <c r="Y243" s="377">
        <f t="shared" si="101"/>
        <v>0</v>
      </c>
      <c r="Z243" s="377">
        <f t="shared" si="102"/>
        <v>0</v>
      </c>
      <c r="AA243" s="377">
        <f t="shared" si="103"/>
        <v>0</v>
      </c>
      <c r="AB243" s="377">
        <f t="shared" si="104"/>
        <v>0</v>
      </c>
      <c r="AC243" s="377">
        <f t="shared" si="105"/>
        <v>0</v>
      </c>
      <c r="AD243" s="376"/>
      <c r="AE243" s="332">
        <v>228</v>
      </c>
      <c r="AF243" s="350">
        <v>490866.67546089028</v>
      </c>
      <c r="AG243" s="350">
        <v>489097.74818428734</v>
      </c>
      <c r="AH243" s="350">
        <v>487184.74005898542</v>
      </c>
      <c r="AI243" s="350">
        <v>484889.67730313813</v>
      </c>
      <c r="AJ243" s="350">
        <v>482001.74106203788</v>
      </c>
      <c r="AK243" s="348">
        <v>2434040.5820693392</v>
      </c>
      <c r="AL243" s="369"/>
      <c r="AM243" s="350">
        <v>15871127.521719983</v>
      </c>
      <c r="AN243" s="350">
        <v>15733964.130242016</v>
      </c>
      <c r="AO243" s="350">
        <v>15583290.151915479</v>
      </c>
      <c r="AP243" s="350">
        <v>15389063.62051872</v>
      </c>
      <c r="AQ243" s="350">
        <v>15125571.528278759</v>
      </c>
      <c r="AR243" s="348">
        <v>77703016.952674955</v>
      </c>
      <c r="AS243" s="369"/>
      <c r="AT243" s="350">
        <f t="shared" si="123"/>
        <v>15380260.846259093</v>
      </c>
      <c r="AU243" s="350">
        <f t="shared" si="106"/>
        <v>15244866.382057728</v>
      </c>
      <c r="AV243" s="350">
        <f t="shared" si="107"/>
        <v>15096105.411856495</v>
      </c>
      <c r="AW243" s="350">
        <f t="shared" si="108"/>
        <v>14904173.943215583</v>
      </c>
      <c r="AX243" s="350">
        <f t="shared" si="109"/>
        <v>14643569.787216721</v>
      </c>
      <c r="AY243" s="350">
        <f t="shared" si="110"/>
        <v>75268976.370605618</v>
      </c>
      <c r="AZ243" s="365"/>
      <c r="BA243" s="377">
        <f t="shared" si="111"/>
        <v>0</v>
      </c>
      <c r="BB243" s="377">
        <f t="shared" si="112"/>
        <v>0</v>
      </c>
      <c r="BC243" s="377">
        <f t="shared" si="113"/>
        <v>0</v>
      </c>
      <c r="BD243" s="377">
        <f t="shared" si="114"/>
        <v>0</v>
      </c>
      <c r="BE243" s="377">
        <f t="shared" si="115"/>
        <v>0</v>
      </c>
      <c r="BF243" s="377">
        <f t="shared" si="116"/>
        <v>0</v>
      </c>
      <c r="BG243" s="328"/>
    </row>
    <row r="244" spans="2:59">
      <c r="B244" s="332">
        <v>229</v>
      </c>
      <c r="C244" s="350">
        <v>3532349.4837046377</v>
      </c>
      <c r="D244" s="350">
        <v>3519620.0203603348</v>
      </c>
      <c r="E244" s="350">
        <v>3505853.7298347289</v>
      </c>
      <c r="F244" s="350">
        <v>3489338.117457753</v>
      </c>
      <c r="G244" s="350">
        <v>3468556.0994471717</v>
      </c>
      <c r="H244" s="348">
        <v>17515717.450804625</v>
      </c>
      <c r="I244" s="369"/>
      <c r="J244" s="350">
        <v>13563020.111040184</v>
      </c>
      <c r="K244" s="350">
        <v>13301378.484291205</v>
      </c>
      <c r="L244" s="350">
        <v>13031140.267473549</v>
      </c>
      <c r="M244" s="350">
        <v>12731296.881295092</v>
      </c>
      <c r="N244" s="350">
        <v>12384152.158443203</v>
      </c>
      <c r="O244" s="348">
        <v>65010987.902543232</v>
      </c>
      <c r="P244" s="369"/>
      <c r="Q244" s="350">
        <f t="shared" si="117"/>
        <v>10030670.627335547</v>
      </c>
      <c r="R244" s="350">
        <f t="shared" si="118"/>
        <v>9781758.4639308713</v>
      </c>
      <c r="S244" s="350">
        <f t="shared" si="119"/>
        <v>9525286.5376388207</v>
      </c>
      <c r="T244" s="350">
        <f t="shared" si="120"/>
        <v>9241958.7638373394</v>
      </c>
      <c r="U244" s="350">
        <f t="shared" si="121"/>
        <v>8915596.0589960311</v>
      </c>
      <c r="V244" s="350">
        <f t="shared" si="122"/>
        <v>47495270.451738611</v>
      </c>
      <c r="W244" s="365"/>
      <c r="X244" s="377">
        <f t="shared" si="100"/>
        <v>0</v>
      </c>
      <c r="Y244" s="377">
        <f t="shared" si="101"/>
        <v>0</v>
      </c>
      <c r="Z244" s="377">
        <f t="shared" si="102"/>
        <v>0</v>
      </c>
      <c r="AA244" s="377">
        <f t="shared" si="103"/>
        <v>0</v>
      </c>
      <c r="AB244" s="377">
        <f t="shared" si="104"/>
        <v>0</v>
      </c>
      <c r="AC244" s="377">
        <f t="shared" si="105"/>
        <v>0</v>
      </c>
      <c r="AD244" s="376"/>
      <c r="AE244" s="332">
        <v>229</v>
      </c>
      <c r="AF244" s="350">
        <v>418575.79390560201</v>
      </c>
      <c r="AG244" s="350">
        <v>417067.37995904498</v>
      </c>
      <c r="AH244" s="350">
        <v>415436.10422812618</v>
      </c>
      <c r="AI244" s="350">
        <v>413479.03978860204</v>
      </c>
      <c r="AJ244" s="350">
        <v>411016.41548490024</v>
      </c>
      <c r="AK244" s="348">
        <v>2075574.7333662752</v>
      </c>
      <c r="AL244" s="369"/>
      <c r="AM244" s="350">
        <v>13377987.54082251</v>
      </c>
      <c r="AN244" s="350">
        <v>13262147.146156047</v>
      </c>
      <c r="AO244" s="350">
        <v>13134923.059846872</v>
      </c>
      <c r="AP244" s="350">
        <v>12970999.722155061</v>
      </c>
      <c r="AQ244" s="350">
        <v>12748709.911894383</v>
      </c>
      <c r="AR244" s="348">
        <v>65494767.380874872</v>
      </c>
      <c r="AS244" s="369"/>
      <c r="AT244" s="350">
        <f t="shared" si="123"/>
        <v>12959411.746916907</v>
      </c>
      <c r="AU244" s="350">
        <f t="shared" si="106"/>
        <v>12845079.766197002</v>
      </c>
      <c r="AV244" s="350">
        <f t="shared" si="107"/>
        <v>12719486.955618747</v>
      </c>
      <c r="AW244" s="350">
        <f t="shared" si="108"/>
        <v>12557520.682366459</v>
      </c>
      <c r="AX244" s="350">
        <f t="shared" si="109"/>
        <v>12337693.496409483</v>
      </c>
      <c r="AY244" s="350">
        <f t="shared" si="110"/>
        <v>63419192.647508599</v>
      </c>
      <c r="AZ244" s="365"/>
      <c r="BA244" s="377">
        <f t="shared" si="111"/>
        <v>0</v>
      </c>
      <c r="BB244" s="377">
        <f t="shared" si="112"/>
        <v>0</v>
      </c>
      <c r="BC244" s="377">
        <f t="shared" si="113"/>
        <v>0</v>
      </c>
      <c r="BD244" s="377">
        <f t="shared" si="114"/>
        <v>0</v>
      </c>
      <c r="BE244" s="377">
        <f t="shared" si="115"/>
        <v>0</v>
      </c>
      <c r="BF244" s="377">
        <f t="shared" si="116"/>
        <v>0</v>
      </c>
      <c r="BG244" s="328"/>
    </row>
    <row r="245" spans="2:59">
      <c r="B245" s="332">
        <v>230</v>
      </c>
      <c r="C245" s="350">
        <v>4927522.5020691995</v>
      </c>
      <c r="D245" s="350">
        <v>4909765.2791902972</v>
      </c>
      <c r="E245" s="350">
        <v>4890561.713221563</v>
      </c>
      <c r="F245" s="350">
        <v>4867522.9250160297</v>
      </c>
      <c r="G245" s="350">
        <v>4838532.6278050765</v>
      </c>
      <c r="H245" s="348">
        <v>24433905.047302164</v>
      </c>
      <c r="I245" s="369"/>
      <c r="J245" s="350">
        <v>15245051.813111357</v>
      </c>
      <c r="K245" s="350">
        <v>14906556.281106964</v>
      </c>
      <c r="L245" s="350">
        <v>14559304.819882311</v>
      </c>
      <c r="M245" s="350">
        <v>14181117.61291402</v>
      </c>
      <c r="N245" s="350">
        <v>13753419.059689634</v>
      </c>
      <c r="O245" s="348">
        <v>72645449.586704284</v>
      </c>
      <c r="P245" s="369"/>
      <c r="Q245" s="350">
        <f t="shared" si="117"/>
        <v>10317529.311042158</v>
      </c>
      <c r="R245" s="350">
        <f t="shared" si="118"/>
        <v>9996791.0019166656</v>
      </c>
      <c r="S245" s="350">
        <f t="shared" si="119"/>
        <v>9668743.1066607479</v>
      </c>
      <c r="T245" s="350">
        <f t="shared" si="120"/>
        <v>9313594.6878979914</v>
      </c>
      <c r="U245" s="350">
        <f t="shared" si="121"/>
        <v>8914886.431884557</v>
      </c>
      <c r="V245" s="350">
        <f t="shared" si="122"/>
        <v>48211544.53940212</v>
      </c>
      <c r="W245" s="365"/>
      <c r="X245" s="377">
        <f t="shared" si="100"/>
        <v>0</v>
      </c>
      <c r="Y245" s="377">
        <f t="shared" si="101"/>
        <v>0</v>
      </c>
      <c r="Z245" s="377">
        <f t="shared" si="102"/>
        <v>0</v>
      </c>
      <c r="AA245" s="377">
        <f t="shared" si="103"/>
        <v>0</v>
      </c>
      <c r="AB245" s="377">
        <f t="shared" si="104"/>
        <v>0</v>
      </c>
      <c r="AC245" s="377">
        <f t="shared" si="105"/>
        <v>0</v>
      </c>
      <c r="AD245" s="376"/>
      <c r="AE245" s="332">
        <v>230</v>
      </c>
      <c r="AF245" s="350">
        <v>360951.20437899634</v>
      </c>
      <c r="AG245" s="350">
        <v>359650.45111366379</v>
      </c>
      <c r="AH245" s="350">
        <v>358243.75022860942</v>
      </c>
      <c r="AI245" s="350">
        <v>356556.11139048578</v>
      </c>
      <c r="AJ245" s="350">
        <v>354432.512220882</v>
      </c>
      <c r="AK245" s="348">
        <v>1789834.0293326373</v>
      </c>
      <c r="AL245" s="369"/>
      <c r="AM245" s="350">
        <v>10765857.580855759</v>
      </c>
      <c r="AN245" s="350">
        <v>10671517.325078515</v>
      </c>
      <c r="AO245" s="350">
        <v>10568038.946953436</v>
      </c>
      <c r="AP245" s="350">
        <v>10435086.016693173</v>
      </c>
      <c r="AQ245" s="350">
        <v>10255255.086994106</v>
      </c>
      <c r="AR245" s="348">
        <v>52695754.956574991</v>
      </c>
      <c r="AS245" s="369"/>
      <c r="AT245" s="350">
        <f t="shared" si="123"/>
        <v>10404906.376476763</v>
      </c>
      <c r="AU245" s="350">
        <f t="shared" si="106"/>
        <v>10311866.873964852</v>
      </c>
      <c r="AV245" s="350">
        <f t="shared" si="107"/>
        <v>10209795.196724826</v>
      </c>
      <c r="AW245" s="350">
        <f t="shared" si="108"/>
        <v>10078529.905302687</v>
      </c>
      <c r="AX245" s="350">
        <f t="shared" si="109"/>
        <v>9900822.5747732241</v>
      </c>
      <c r="AY245" s="350">
        <f t="shared" si="110"/>
        <v>50905920.927242354</v>
      </c>
      <c r="AZ245" s="365"/>
      <c r="BA245" s="377">
        <f t="shared" si="111"/>
        <v>0</v>
      </c>
      <c r="BB245" s="377">
        <f t="shared" si="112"/>
        <v>0</v>
      </c>
      <c r="BC245" s="377">
        <f t="shared" si="113"/>
        <v>0</v>
      </c>
      <c r="BD245" s="377">
        <f t="shared" si="114"/>
        <v>0</v>
      </c>
      <c r="BE245" s="377">
        <f t="shared" si="115"/>
        <v>0</v>
      </c>
      <c r="BF245" s="377">
        <f t="shared" si="116"/>
        <v>0</v>
      </c>
      <c r="BG245" s="328"/>
    </row>
    <row r="246" spans="2:59">
      <c r="B246" s="332">
        <v>231</v>
      </c>
      <c r="C246" s="350">
        <v>8401653.448888015</v>
      </c>
      <c r="D246" s="350">
        <v>8371376.5637432914</v>
      </c>
      <c r="E246" s="350">
        <v>8338633.5968295084</v>
      </c>
      <c r="F246" s="350">
        <v>8299351.3988681724</v>
      </c>
      <c r="G246" s="350">
        <v>8249921.603175832</v>
      </c>
      <c r="H246" s="348">
        <v>41660936.611504823</v>
      </c>
      <c r="I246" s="369"/>
      <c r="J246" s="350">
        <v>26472099.63940708</v>
      </c>
      <c r="K246" s="350">
        <v>25891499.807768874</v>
      </c>
      <c r="L246" s="350">
        <v>25295549.287214179</v>
      </c>
      <c r="M246" s="350">
        <v>24645502.393282697</v>
      </c>
      <c r="N246" s="350">
        <v>23908891.17300117</v>
      </c>
      <c r="O246" s="348">
        <v>126213542.30067399</v>
      </c>
      <c r="P246" s="369"/>
      <c r="Q246" s="350">
        <f t="shared" si="117"/>
        <v>18070446.190519065</v>
      </c>
      <c r="R246" s="350">
        <f t="shared" si="118"/>
        <v>17520123.244025581</v>
      </c>
      <c r="S246" s="350">
        <f t="shared" si="119"/>
        <v>16956915.690384671</v>
      </c>
      <c r="T246" s="350">
        <f t="shared" si="120"/>
        <v>16346150.994414523</v>
      </c>
      <c r="U246" s="350">
        <f t="shared" si="121"/>
        <v>15658969.569825338</v>
      </c>
      <c r="V246" s="350">
        <f t="shared" si="122"/>
        <v>84552605.689169168</v>
      </c>
      <c r="W246" s="365"/>
      <c r="X246" s="377">
        <f t="shared" si="100"/>
        <v>0</v>
      </c>
      <c r="Y246" s="377">
        <f t="shared" si="101"/>
        <v>0</v>
      </c>
      <c r="Z246" s="377">
        <f t="shared" si="102"/>
        <v>0</v>
      </c>
      <c r="AA246" s="377">
        <f t="shared" si="103"/>
        <v>0</v>
      </c>
      <c r="AB246" s="377">
        <f t="shared" si="104"/>
        <v>0</v>
      </c>
      <c r="AC246" s="377">
        <f t="shared" si="105"/>
        <v>0</v>
      </c>
      <c r="AD246" s="376"/>
      <c r="AE246" s="332">
        <v>231</v>
      </c>
      <c r="AF246" s="350">
        <v>644857.87113741005</v>
      </c>
      <c r="AG246" s="350">
        <v>642534.00860036572</v>
      </c>
      <c r="AH246" s="350">
        <v>640020.86519743968</v>
      </c>
      <c r="AI246" s="350">
        <v>637005.81170766521</v>
      </c>
      <c r="AJ246" s="350">
        <v>633211.89268745866</v>
      </c>
      <c r="AK246" s="348">
        <v>3197630.4493303392</v>
      </c>
      <c r="AL246" s="369"/>
      <c r="AM246" s="350">
        <v>19591954.602894537</v>
      </c>
      <c r="AN246" s="350">
        <v>19420829.233650655</v>
      </c>
      <c r="AO246" s="350">
        <v>19233062.721826851</v>
      </c>
      <c r="AP246" s="350">
        <v>18991628.370599784</v>
      </c>
      <c r="AQ246" s="350">
        <v>18664838.484974731</v>
      </c>
      <c r="AR246" s="348">
        <v>95902313.413946554</v>
      </c>
      <c r="AS246" s="369"/>
      <c r="AT246" s="350">
        <f t="shared" si="123"/>
        <v>18947096.731757127</v>
      </c>
      <c r="AU246" s="350">
        <f t="shared" si="106"/>
        <v>18778295.225050289</v>
      </c>
      <c r="AV246" s="350">
        <f t="shared" si="107"/>
        <v>18593041.856629413</v>
      </c>
      <c r="AW246" s="350">
        <f t="shared" si="108"/>
        <v>18354622.55889212</v>
      </c>
      <c r="AX246" s="350">
        <f t="shared" si="109"/>
        <v>18031626.592287272</v>
      </c>
      <c r="AY246" s="350">
        <f t="shared" si="110"/>
        <v>92704682.964616209</v>
      </c>
      <c r="AZ246" s="365"/>
      <c r="BA246" s="377">
        <f t="shared" si="111"/>
        <v>0</v>
      </c>
      <c r="BB246" s="377">
        <f t="shared" si="112"/>
        <v>0</v>
      </c>
      <c r="BC246" s="377">
        <f t="shared" si="113"/>
        <v>0</v>
      </c>
      <c r="BD246" s="377">
        <f t="shared" si="114"/>
        <v>0</v>
      </c>
      <c r="BE246" s="377">
        <f t="shared" si="115"/>
        <v>0</v>
      </c>
      <c r="BF246" s="377">
        <f t="shared" si="116"/>
        <v>0</v>
      </c>
      <c r="BG246" s="328"/>
    </row>
    <row r="247" spans="2:59">
      <c r="B247" s="332">
        <v>232</v>
      </c>
      <c r="C247" s="350">
        <v>8571288.9745637961</v>
      </c>
      <c r="D247" s="350">
        <v>8540400.7769722305</v>
      </c>
      <c r="E247" s="350">
        <v>8506996.7056177109</v>
      </c>
      <c r="F247" s="350">
        <v>8466921.3713598773</v>
      </c>
      <c r="G247" s="350">
        <v>8416493.5519538354</v>
      </c>
      <c r="H247" s="348">
        <v>42502101.380467452</v>
      </c>
      <c r="I247" s="369"/>
      <c r="J247" s="350">
        <v>25683362.367219657</v>
      </c>
      <c r="K247" s="350">
        <v>25100576.787960108</v>
      </c>
      <c r="L247" s="350">
        <v>24503295.773521144</v>
      </c>
      <c r="M247" s="350">
        <v>23854557.357542038</v>
      </c>
      <c r="N247" s="350">
        <v>23123438.049723014</v>
      </c>
      <c r="O247" s="348">
        <v>122265230.33596596</v>
      </c>
      <c r="P247" s="369"/>
      <c r="Q247" s="350">
        <f t="shared" si="117"/>
        <v>17112073.392655861</v>
      </c>
      <c r="R247" s="350">
        <f t="shared" si="118"/>
        <v>16560176.010987878</v>
      </c>
      <c r="S247" s="350">
        <f t="shared" si="119"/>
        <v>15996299.067903433</v>
      </c>
      <c r="T247" s="350">
        <f t="shared" si="120"/>
        <v>15387635.986182161</v>
      </c>
      <c r="U247" s="350">
        <f t="shared" si="121"/>
        <v>14706944.497769179</v>
      </c>
      <c r="V247" s="350">
        <f t="shared" si="122"/>
        <v>79763128.955498517</v>
      </c>
      <c r="W247" s="365"/>
      <c r="X247" s="377">
        <f t="shared" si="100"/>
        <v>0</v>
      </c>
      <c r="Y247" s="377">
        <f t="shared" si="101"/>
        <v>0</v>
      </c>
      <c r="Z247" s="377">
        <f t="shared" si="102"/>
        <v>0</v>
      </c>
      <c r="AA247" s="377">
        <f t="shared" si="103"/>
        <v>0</v>
      </c>
      <c r="AB247" s="377">
        <f t="shared" si="104"/>
        <v>0</v>
      </c>
      <c r="AC247" s="377">
        <f t="shared" si="105"/>
        <v>0</v>
      </c>
      <c r="AD247" s="376"/>
      <c r="AE247" s="332">
        <v>232</v>
      </c>
      <c r="AF247" s="350">
        <v>449587.5444434713</v>
      </c>
      <c r="AG247" s="350">
        <v>447967.37401768268</v>
      </c>
      <c r="AH247" s="350">
        <v>446215.23913350597</v>
      </c>
      <c r="AI247" s="350">
        <v>444113.17826784175</v>
      </c>
      <c r="AJ247" s="350">
        <v>441468.10124784143</v>
      </c>
      <c r="AK247" s="348">
        <v>2229351.437110343</v>
      </c>
      <c r="AL247" s="369"/>
      <c r="AM247" s="350">
        <v>16095397.840615818</v>
      </c>
      <c r="AN247" s="350">
        <v>15958533.251130512</v>
      </c>
      <c r="AO247" s="350">
        <v>15807921.480580725</v>
      </c>
      <c r="AP247" s="350">
        <v>15613023.80055142</v>
      </c>
      <c r="AQ247" s="350">
        <v>15347697.606519453</v>
      </c>
      <c r="AR247" s="348">
        <v>78822573.979397923</v>
      </c>
      <c r="AS247" s="369"/>
      <c r="AT247" s="350">
        <f t="shared" si="123"/>
        <v>15645810.296172347</v>
      </c>
      <c r="AU247" s="350">
        <f t="shared" si="106"/>
        <v>15510565.87711283</v>
      </c>
      <c r="AV247" s="350">
        <f t="shared" si="107"/>
        <v>15361706.24144722</v>
      </c>
      <c r="AW247" s="350">
        <f t="shared" si="108"/>
        <v>15168910.622283578</v>
      </c>
      <c r="AX247" s="350">
        <f t="shared" si="109"/>
        <v>14906229.505271612</v>
      </c>
      <c r="AY247" s="350">
        <f t="shared" si="110"/>
        <v>76593222.542287573</v>
      </c>
      <c r="AZ247" s="365"/>
      <c r="BA247" s="377">
        <f t="shared" si="111"/>
        <v>0</v>
      </c>
      <c r="BB247" s="377">
        <f t="shared" si="112"/>
        <v>0</v>
      </c>
      <c r="BC247" s="377">
        <f t="shared" si="113"/>
        <v>0</v>
      </c>
      <c r="BD247" s="377">
        <f t="shared" si="114"/>
        <v>0</v>
      </c>
      <c r="BE247" s="377">
        <f t="shared" si="115"/>
        <v>0</v>
      </c>
      <c r="BF247" s="377">
        <f t="shared" si="116"/>
        <v>0</v>
      </c>
      <c r="BG247" s="328"/>
    </row>
    <row r="248" spans="2:59">
      <c r="B248" s="332">
        <v>233</v>
      </c>
      <c r="C248" s="350">
        <v>4034949.8121902221</v>
      </c>
      <c r="D248" s="350">
        <v>4020409.1372181317</v>
      </c>
      <c r="E248" s="350">
        <v>4004684.1101144738</v>
      </c>
      <c r="F248" s="350">
        <v>3985818.5739136804</v>
      </c>
      <c r="G248" s="350">
        <v>3962079.5865752064</v>
      </c>
      <c r="H248" s="348">
        <v>20007941.220011715</v>
      </c>
      <c r="I248" s="369"/>
      <c r="J248" s="350">
        <v>13054224.075624682</v>
      </c>
      <c r="K248" s="350">
        <v>12772930.722046677</v>
      </c>
      <c r="L248" s="350">
        <v>12483964.98006874</v>
      </c>
      <c r="M248" s="350">
        <v>12168058.050006326</v>
      </c>
      <c r="N248" s="350">
        <v>11809050.326534711</v>
      </c>
      <c r="O248" s="348">
        <v>62288228.154281132</v>
      </c>
      <c r="P248" s="369"/>
      <c r="Q248" s="350">
        <f t="shared" si="117"/>
        <v>9019274.2634344604</v>
      </c>
      <c r="R248" s="350">
        <f t="shared" si="118"/>
        <v>8752521.5848285444</v>
      </c>
      <c r="S248" s="350">
        <f t="shared" si="119"/>
        <v>8479280.8699542657</v>
      </c>
      <c r="T248" s="350">
        <f t="shared" si="120"/>
        <v>8182239.4760926459</v>
      </c>
      <c r="U248" s="350">
        <f t="shared" si="121"/>
        <v>7846970.7399595045</v>
      </c>
      <c r="V248" s="350">
        <f t="shared" si="122"/>
        <v>42280286.934269413</v>
      </c>
      <c r="W248" s="365"/>
      <c r="X248" s="377">
        <f t="shared" si="100"/>
        <v>0</v>
      </c>
      <c r="Y248" s="377">
        <f t="shared" si="101"/>
        <v>0</v>
      </c>
      <c r="Z248" s="377">
        <f t="shared" si="102"/>
        <v>0</v>
      </c>
      <c r="AA248" s="377">
        <f t="shared" si="103"/>
        <v>0</v>
      </c>
      <c r="AB248" s="377">
        <f t="shared" si="104"/>
        <v>0</v>
      </c>
      <c r="AC248" s="377">
        <f t="shared" si="105"/>
        <v>0</v>
      </c>
      <c r="AD248" s="376"/>
      <c r="AE248" s="332">
        <v>233</v>
      </c>
      <c r="AF248" s="350">
        <v>360791.3164192501</v>
      </c>
      <c r="AG248" s="350">
        <v>359491.1393392391</v>
      </c>
      <c r="AH248" s="350">
        <v>358085.06157036161</v>
      </c>
      <c r="AI248" s="350">
        <v>356398.17029347987</v>
      </c>
      <c r="AJ248" s="350">
        <v>354275.51179933135</v>
      </c>
      <c r="AK248" s="348">
        <v>1789041.1994216621</v>
      </c>
      <c r="AL248" s="369"/>
      <c r="AM248" s="350">
        <v>8487399.6608674694</v>
      </c>
      <c r="AN248" s="350">
        <v>8409488.4977197871</v>
      </c>
      <c r="AO248" s="350">
        <v>8324445.4027952217</v>
      </c>
      <c r="AP248" s="350">
        <v>8216352.1223559715</v>
      </c>
      <c r="AQ248" s="350">
        <v>8071593.1793256225</v>
      </c>
      <c r="AR248" s="348">
        <v>41509278.863064073</v>
      </c>
      <c r="AS248" s="369"/>
      <c r="AT248" s="350">
        <f t="shared" si="123"/>
        <v>8126608.3444482191</v>
      </c>
      <c r="AU248" s="350">
        <f t="shared" si="106"/>
        <v>8049997.3583805477</v>
      </c>
      <c r="AV248" s="350">
        <f t="shared" si="107"/>
        <v>7966360.3412248604</v>
      </c>
      <c r="AW248" s="350">
        <f t="shared" si="108"/>
        <v>7859953.9520624913</v>
      </c>
      <c r="AX248" s="350">
        <f t="shared" si="109"/>
        <v>7717317.6675262908</v>
      </c>
      <c r="AY248" s="350">
        <f t="shared" si="110"/>
        <v>39720237.663642414</v>
      </c>
      <c r="AZ248" s="365"/>
      <c r="BA248" s="377">
        <f t="shared" si="111"/>
        <v>0</v>
      </c>
      <c r="BB248" s="377">
        <f t="shared" si="112"/>
        <v>0</v>
      </c>
      <c r="BC248" s="377">
        <f t="shared" si="113"/>
        <v>0</v>
      </c>
      <c r="BD248" s="377">
        <f t="shared" si="114"/>
        <v>0</v>
      </c>
      <c r="BE248" s="377">
        <f t="shared" si="115"/>
        <v>0</v>
      </c>
      <c r="BF248" s="377">
        <f t="shared" si="116"/>
        <v>0</v>
      </c>
      <c r="BG248" s="328"/>
    </row>
    <row r="249" spans="2:59">
      <c r="B249" s="332">
        <v>234</v>
      </c>
      <c r="C249" s="350">
        <v>4827480.4042043155</v>
      </c>
      <c r="D249" s="350">
        <v>4810083.7012070203</v>
      </c>
      <c r="E249" s="350">
        <v>4791270.0198152084</v>
      </c>
      <c r="F249" s="350">
        <v>4768698.981620634</v>
      </c>
      <c r="G249" s="350">
        <v>4740297.2662273189</v>
      </c>
      <c r="H249" s="348">
        <v>23937830.373074498</v>
      </c>
      <c r="I249" s="369"/>
      <c r="J249" s="350">
        <v>15300361.651964858</v>
      </c>
      <c r="K249" s="350">
        <v>14966109.066859134</v>
      </c>
      <c r="L249" s="350">
        <v>14622957.066960797</v>
      </c>
      <c r="M249" s="350">
        <v>14248468.671257451</v>
      </c>
      <c r="N249" s="350">
        <v>13823838.850868553</v>
      </c>
      <c r="O249" s="348">
        <v>72961735.3079108</v>
      </c>
      <c r="P249" s="369"/>
      <c r="Q249" s="350">
        <f t="shared" si="117"/>
        <v>10472881.247760542</v>
      </c>
      <c r="R249" s="350">
        <f t="shared" si="118"/>
        <v>10156025.365652114</v>
      </c>
      <c r="S249" s="350">
        <f t="shared" si="119"/>
        <v>9831687.0471455883</v>
      </c>
      <c r="T249" s="350">
        <f t="shared" si="120"/>
        <v>9479769.6896368172</v>
      </c>
      <c r="U249" s="350">
        <f t="shared" si="121"/>
        <v>9083541.5846412331</v>
      </c>
      <c r="V249" s="350">
        <f t="shared" si="122"/>
        <v>49023904.934836298</v>
      </c>
      <c r="W249" s="365"/>
      <c r="X249" s="377">
        <f t="shared" si="100"/>
        <v>0</v>
      </c>
      <c r="Y249" s="377">
        <f t="shared" si="101"/>
        <v>0</v>
      </c>
      <c r="Z249" s="377">
        <f t="shared" si="102"/>
        <v>0</v>
      </c>
      <c r="AA249" s="377">
        <f t="shared" si="103"/>
        <v>0</v>
      </c>
      <c r="AB249" s="377">
        <f t="shared" si="104"/>
        <v>0</v>
      </c>
      <c r="AC249" s="377">
        <f t="shared" si="105"/>
        <v>0</v>
      </c>
      <c r="AD249" s="376"/>
      <c r="AE249" s="332">
        <v>234</v>
      </c>
      <c r="AF249" s="350">
        <v>493940.94748132868</v>
      </c>
      <c r="AG249" s="350">
        <v>492160.94150677283</v>
      </c>
      <c r="AH249" s="350">
        <v>490235.95231278462</v>
      </c>
      <c r="AI249" s="350">
        <v>487926.51570031157</v>
      </c>
      <c r="AJ249" s="350">
        <v>485020.49246731179</v>
      </c>
      <c r="AK249" s="348">
        <v>2449284.8494685097</v>
      </c>
      <c r="AL249" s="369"/>
      <c r="AM249" s="350">
        <v>15623325.418508843</v>
      </c>
      <c r="AN249" s="350">
        <v>15487805.39195825</v>
      </c>
      <c r="AO249" s="350">
        <v>15338995.898307567</v>
      </c>
      <c r="AP249" s="350">
        <v>15147340.11904737</v>
      </c>
      <c r="AQ249" s="350">
        <v>14887541.269397942</v>
      </c>
      <c r="AR249" s="348">
        <v>76485008.097219974</v>
      </c>
      <c r="AS249" s="369"/>
      <c r="AT249" s="350">
        <f t="shared" si="123"/>
        <v>15129384.471027514</v>
      </c>
      <c r="AU249" s="350">
        <f t="shared" si="106"/>
        <v>14995644.450451476</v>
      </c>
      <c r="AV249" s="350">
        <f t="shared" si="107"/>
        <v>14848759.945994783</v>
      </c>
      <c r="AW249" s="350">
        <f t="shared" si="108"/>
        <v>14659413.603347057</v>
      </c>
      <c r="AX249" s="350">
        <f t="shared" si="109"/>
        <v>14402520.77693063</v>
      </c>
      <c r="AY249" s="350">
        <f t="shared" si="110"/>
        <v>74035723.247751459</v>
      </c>
      <c r="AZ249" s="365"/>
      <c r="BA249" s="377">
        <f t="shared" si="111"/>
        <v>0</v>
      </c>
      <c r="BB249" s="377">
        <f t="shared" si="112"/>
        <v>0</v>
      </c>
      <c r="BC249" s="377">
        <f t="shared" si="113"/>
        <v>0</v>
      </c>
      <c r="BD249" s="377">
        <f t="shared" si="114"/>
        <v>0</v>
      </c>
      <c r="BE249" s="377">
        <f t="shared" si="115"/>
        <v>0</v>
      </c>
      <c r="BF249" s="377">
        <f t="shared" si="116"/>
        <v>0</v>
      </c>
      <c r="BG249" s="328"/>
    </row>
    <row r="250" spans="2:59">
      <c r="B250" s="332">
        <v>235</v>
      </c>
      <c r="C250" s="350">
        <v>5808795.7451468389</v>
      </c>
      <c r="D250" s="350">
        <v>5787862.6939712688</v>
      </c>
      <c r="E250" s="350">
        <v>5765224.6253994899</v>
      </c>
      <c r="F250" s="350">
        <v>5738065.4161121752</v>
      </c>
      <c r="G250" s="350">
        <v>5703890.2875320818</v>
      </c>
      <c r="H250" s="348">
        <v>28803838.768161856</v>
      </c>
      <c r="I250" s="369"/>
      <c r="J250" s="350">
        <v>16592156.395051541</v>
      </c>
      <c r="K250" s="350">
        <v>16203063.956814256</v>
      </c>
      <c r="L250" s="350">
        <v>15804864.300704205</v>
      </c>
      <c r="M250" s="350">
        <v>15374085.820898961</v>
      </c>
      <c r="N250" s="350">
        <v>14891124.178600257</v>
      </c>
      <c r="O250" s="348">
        <v>78865294.652069211</v>
      </c>
      <c r="P250" s="369"/>
      <c r="Q250" s="350">
        <f t="shared" si="117"/>
        <v>10783360.649904702</v>
      </c>
      <c r="R250" s="350">
        <f t="shared" si="118"/>
        <v>10415201.262842987</v>
      </c>
      <c r="S250" s="350">
        <f t="shared" si="119"/>
        <v>10039639.675304715</v>
      </c>
      <c r="T250" s="350">
        <f t="shared" si="120"/>
        <v>9636020.4047867861</v>
      </c>
      <c r="U250" s="350">
        <f t="shared" si="121"/>
        <v>9187233.8910681754</v>
      </c>
      <c r="V250" s="350">
        <f t="shared" si="122"/>
        <v>50061455.883907355</v>
      </c>
      <c r="W250" s="365"/>
      <c r="X250" s="377">
        <f t="shared" si="100"/>
        <v>0</v>
      </c>
      <c r="Y250" s="377">
        <f t="shared" si="101"/>
        <v>0</v>
      </c>
      <c r="Z250" s="377">
        <f t="shared" si="102"/>
        <v>0</v>
      </c>
      <c r="AA250" s="377">
        <f t="shared" si="103"/>
        <v>0</v>
      </c>
      <c r="AB250" s="377">
        <f t="shared" si="104"/>
        <v>0</v>
      </c>
      <c r="AC250" s="377">
        <f t="shared" si="105"/>
        <v>0</v>
      </c>
      <c r="AD250" s="376"/>
      <c r="AE250" s="332">
        <v>235</v>
      </c>
      <c r="AF250" s="350">
        <v>513939.04492502968</v>
      </c>
      <c r="AG250" s="350">
        <v>512086.97217182146</v>
      </c>
      <c r="AH250" s="350">
        <v>510084.04628990375</v>
      </c>
      <c r="AI250" s="350">
        <v>507681.10793668259</v>
      </c>
      <c r="AJ250" s="350">
        <v>504657.42906876624</v>
      </c>
      <c r="AK250" s="348">
        <v>2548448.6003922038</v>
      </c>
      <c r="AL250" s="369"/>
      <c r="AM250" s="350">
        <v>15255295.080859724</v>
      </c>
      <c r="AN250" s="350">
        <v>15121499.744632915</v>
      </c>
      <c r="AO250" s="350">
        <v>14974757.964335101</v>
      </c>
      <c r="AP250" s="350">
        <v>14786256.576655805</v>
      </c>
      <c r="AQ250" s="350">
        <v>14531338.167958111</v>
      </c>
      <c r="AR250" s="348">
        <v>74669147.53444165</v>
      </c>
      <c r="AS250" s="369"/>
      <c r="AT250" s="350">
        <f t="shared" si="123"/>
        <v>14741356.035934694</v>
      </c>
      <c r="AU250" s="350">
        <f t="shared" si="106"/>
        <v>14609412.772461094</v>
      </c>
      <c r="AV250" s="350">
        <f t="shared" si="107"/>
        <v>14464673.918045197</v>
      </c>
      <c r="AW250" s="350">
        <f t="shared" si="108"/>
        <v>14278575.468719123</v>
      </c>
      <c r="AX250" s="350">
        <f t="shared" si="109"/>
        <v>14026680.738889344</v>
      </c>
      <c r="AY250" s="350">
        <f t="shared" si="110"/>
        <v>72120698.934049442</v>
      </c>
      <c r="AZ250" s="365"/>
      <c r="BA250" s="377">
        <f t="shared" si="111"/>
        <v>0</v>
      </c>
      <c r="BB250" s="377">
        <f t="shared" si="112"/>
        <v>0</v>
      </c>
      <c r="BC250" s="377">
        <f t="shared" si="113"/>
        <v>0</v>
      </c>
      <c r="BD250" s="377">
        <f t="shared" si="114"/>
        <v>0</v>
      </c>
      <c r="BE250" s="377">
        <f t="shared" si="115"/>
        <v>0</v>
      </c>
      <c r="BF250" s="377">
        <f t="shared" si="116"/>
        <v>0</v>
      </c>
      <c r="BG250" s="328"/>
    </row>
    <row r="251" spans="2:59">
      <c r="B251" s="332">
        <v>236</v>
      </c>
      <c r="C251" s="350">
        <v>5361333.3681974635</v>
      </c>
      <c r="D251" s="350">
        <v>5342012.8290203828</v>
      </c>
      <c r="E251" s="350">
        <v>5321118.6131191207</v>
      </c>
      <c r="F251" s="350">
        <v>5296051.5284092501</v>
      </c>
      <c r="G251" s="350">
        <v>5264508.9737632237</v>
      </c>
      <c r="H251" s="348">
        <v>26585025.31250944</v>
      </c>
      <c r="I251" s="369"/>
      <c r="J251" s="350">
        <v>16761240.915014654</v>
      </c>
      <c r="K251" s="350">
        <v>16391690.430031117</v>
      </c>
      <c r="L251" s="350">
        <v>16012459.9038484</v>
      </c>
      <c r="M251" s="350">
        <v>15599079.344908709</v>
      </c>
      <c r="N251" s="350">
        <v>15131048.426664993</v>
      </c>
      <c r="O251" s="348">
        <v>79895519.020467877</v>
      </c>
      <c r="P251" s="369"/>
      <c r="Q251" s="350">
        <f t="shared" si="117"/>
        <v>11399907.546817191</v>
      </c>
      <c r="R251" s="350">
        <f t="shared" si="118"/>
        <v>11049677.601010734</v>
      </c>
      <c r="S251" s="350">
        <f t="shared" si="119"/>
        <v>10691341.290729281</v>
      </c>
      <c r="T251" s="350">
        <f t="shared" si="120"/>
        <v>10303027.816499459</v>
      </c>
      <c r="U251" s="350">
        <f t="shared" si="121"/>
        <v>9866539.4529017694</v>
      </c>
      <c r="V251" s="350">
        <f t="shared" si="122"/>
        <v>53310493.707958438</v>
      </c>
      <c r="W251" s="365"/>
      <c r="X251" s="377">
        <f t="shared" si="100"/>
        <v>0</v>
      </c>
      <c r="Y251" s="377">
        <f t="shared" si="101"/>
        <v>0</v>
      </c>
      <c r="Z251" s="377">
        <f t="shared" si="102"/>
        <v>0</v>
      </c>
      <c r="AA251" s="377">
        <f t="shared" si="103"/>
        <v>0</v>
      </c>
      <c r="AB251" s="377">
        <f t="shared" si="104"/>
        <v>0</v>
      </c>
      <c r="AC251" s="377">
        <f t="shared" si="105"/>
        <v>0</v>
      </c>
      <c r="AD251" s="376"/>
      <c r="AE251" s="332">
        <v>236</v>
      </c>
      <c r="AF251" s="350">
        <v>282560.69671857485</v>
      </c>
      <c r="AG251" s="350">
        <v>281542.43789452233</v>
      </c>
      <c r="AH251" s="350">
        <v>280441.24089799356</v>
      </c>
      <c r="AI251" s="350">
        <v>279120.11937207985</v>
      </c>
      <c r="AJ251" s="350">
        <v>277457.71832275635</v>
      </c>
      <c r="AK251" s="348">
        <v>1401122.2132059271</v>
      </c>
      <c r="AL251" s="369"/>
      <c r="AM251" s="350">
        <v>9545400.3462814596</v>
      </c>
      <c r="AN251" s="350">
        <v>9463493.4003546499</v>
      </c>
      <c r="AO251" s="350">
        <v>9373448.7619615719</v>
      </c>
      <c r="AP251" s="350">
        <v>9257179.2647251692</v>
      </c>
      <c r="AQ251" s="350">
        <v>9099202.889583271</v>
      </c>
      <c r="AR251" s="348">
        <v>46738724.662906125</v>
      </c>
      <c r="AS251" s="369"/>
      <c r="AT251" s="350">
        <f t="shared" si="123"/>
        <v>9262839.6495628841</v>
      </c>
      <c r="AU251" s="350">
        <f t="shared" si="106"/>
        <v>9181950.9624601267</v>
      </c>
      <c r="AV251" s="350">
        <f t="shared" si="107"/>
        <v>9093007.5210635774</v>
      </c>
      <c r="AW251" s="350">
        <f t="shared" si="108"/>
        <v>8978059.14535309</v>
      </c>
      <c r="AX251" s="350">
        <f t="shared" si="109"/>
        <v>8821745.1712605152</v>
      </c>
      <c r="AY251" s="350">
        <f t="shared" si="110"/>
        <v>45337602.449700199</v>
      </c>
      <c r="AZ251" s="365"/>
      <c r="BA251" s="377">
        <f t="shared" si="111"/>
        <v>0</v>
      </c>
      <c r="BB251" s="377">
        <f t="shared" si="112"/>
        <v>0</v>
      </c>
      <c r="BC251" s="377">
        <f t="shared" si="113"/>
        <v>0</v>
      </c>
      <c r="BD251" s="377">
        <f t="shared" si="114"/>
        <v>0</v>
      </c>
      <c r="BE251" s="377">
        <f t="shared" si="115"/>
        <v>0</v>
      </c>
      <c r="BF251" s="377">
        <f t="shared" si="116"/>
        <v>0</v>
      </c>
      <c r="BG251" s="328"/>
    </row>
    <row r="252" spans="2:59">
      <c r="B252" s="332">
        <v>237</v>
      </c>
      <c r="C252" s="350">
        <v>5051100.1072462369</v>
      </c>
      <c r="D252" s="350">
        <v>5032897.5500077149</v>
      </c>
      <c r="E252" s="350">
        <v>5013212.3767622449</v>
      </c>
      <c r="F252" s="350">
        <v>4989595.7975326357</v>
      </c>
      <c r="G252" s="350">
        <v>4959878.4510791497</v>
      </c>
      <c r="H252" s="348">
        <v>25046684.282627981</v>
      </c>
      <c r="I252" s="369"/>
      <c r="J252" s="350">
        <v>17225661.409112304</v>
      </c>
      <c r="K252" s="350">
        <v>16867157.357926458</v>
      </c>
      <c r="L252" s="350">
        <v>16498270.391085144</v>
      </c>
      <c r="M252" s="350">
        <v>16093165.041257326</v>
      </c>
      <c r="N252" s="350">
        <v>15630142.534151837</v>
      </c>
      <c r="O252" s="348">
        <v>82314396.733533069</v>
      </c>
      <c r="P252" s="369"/>
      <c r="Q252" s="350">
        <f t="shared" si="117"/>
        <v>12174561.301866068</v>
      </c>
      <c r="R252" s="350">
        <f t="shared" si="118"/>
        <v>11834259.807918742</v>
      </c>
      <c r="S252" s="350">
        <f t="shared" si="119"/>
        <v>11485058.014322899</v>
      </c>
      <c r="T252" s="350">
        <f t="shared" si="120"/>
        <v>11103569.243724689</v>
      </c>
      <c r="U252" s="350">
        <f t="shared" si="121"/>
        <v>10670264.083072688</v>
      </c>
      <c r="V252" s="350">
        <f t="shared" si="122"/>
        <v>57267712.450905085</v>
      </c>
      <c r="W252" s="365"/>
      <c r="X252" s="377">
        <f t="shared" si="100"/>
        <v>0</v>
      </c>
      <c r="Y252" s="377">
        <f t="shared" si="101"/>
        <v>0</v>
      </c>
      <c r="Z252" s="377">
        <f t="shared" si="102"/>
        <v>0</v>
      </c>
      <c r="AA252" s="377">
        <f t="shared" si="103"/>
        <v>0</v>
      </c>
      <c r="AB252" s="377">
        <f t="shared" si="104"/>
        <v>0</v>
      </c>
      <c r="AC252" s="377">
        <f t="shared" si="105"/>
        <v>0</v>
      </c>
      <c r="AD252" s="376"/>
      <c r="AE252" s="332">
        <v>237</v>
      </c>
      <c r="AF252" s="350">
        <v>514954.95613805647</v>
      </c>
      <c r="AG252" s="350">
        <v>513099.22236415732</v>
      </c>
      <c r="AH252" s="350">
        <v>511092.33726784948</v>
      </c>
      <c r="AI252" s="350">
        <v>508684.64898943517</v>
      </c>
      <c r="AJ252" s="350">
        <v>505654.99316900497</v>
      </c>
      <c r="AK252" s="348">
        <v>2553486.1579285036</v>
      </c>
      <c r="AL252" s="369"/>
      <c r="AM252" s="350">
        <v>15031919.010421423</v>
      </c>
      <c r="AN252" s="350">
        <v>14899686.492188368</v>
      </c>
      <c r="AO252" s="350">
        <v>14754705.190675478</v>
      </c>
      <c r="AP252" s="350">
        <v>14568596.638672868</v>
      </c>
      <c r="AQ252" s="350">
        <v>14317076.206108557</v>
      </c>
      <c r="AR252" s="348">
        <v>73571983.5380667</v>
      </c>
      <c r="AS252" s="369"/>
      <c r="AT252" s="350">
        <f t="shared" si="123"/>
        <v>14516964.054283367</v>
      </c>
      <c r="AU252" s="350">
        <f t="shared" si="106"/>
        <v>14386587.269824211</v>
      </c>
      <c r="AV252" s="350">
        <f t="shared" si="107"/>
        <v>14243612.853407629</v>
      </c>
      <c r="AW252" s="350">
        <f t="shared" si="108"/>
        <v>14059911.989683433</v>
      </c>
      <c r="AX252" s="350">
        <f t="shared" si="109"/>
        <v>13811421.212939553</v>
      </c>
      <c r="AY252" s="350">
        <f t="shared" si="110"/>
        <v>71018497.380138204</v>
      </c>
      <c r="AZ252" s="365"/>
      <c r="BA252" s="377">
        <f t="shared" si="111"/>
        <v>0</v>
      </c>
      <c r="BB252" s="377">
        <f t="shared" si="112"/>
        <v>0</v>
      </c>
      <c r="BC252" s="377">
        <f t="shared" si="113"/>
        <v>0</v>
      </c>
      <c r="BD252" s="377">
        <f t="shared" si="114"/>
        <v>0</v>
      </c>
      <c r="BE252" s="377">
        <f t="shared" si="115"/>
        <v>0</v>
      </c>
      <c r="BF252" s="377">
        <f t="shared" si="116"/>
        <v>0</v>
      </c>
      <c r="BG252" s="328"/>
    </row>
    <row r="253" spans="2:59">
      <c r="B253" s="332">
        <v>238</v>
      </c>
      <c r="C253" s="350">
        <v>7836051.1424670797</v>
      </c>
      <c r="D253" s="350">
        <v>7807812.5080277976</v>
      </c>
      <c r="E253" s="350">
        <v>7777273.8093236201</v>
      </c>
      <c r="F253" s="350">
        <v>7740636.1029380653</v>
      </c>
      <c r="G253" s="350">
        <v>7694533.9387196489</v>
      </c>
      <c r="H253" s="348">
        <v>38856307.501476213</v>
      </c>
      <c r="I253" s="369"/>
      <c r="J253" s="350">
        <v>27122603.801056497</v>
      </c>
      <c r="K253" s="350">
        <v>26563557.414091744</v>
      </c>
      <c r="L253" s="350">
        <v>25988051.663579036</v>
      </c>
      <c r="M253" s="350">
        <v>25355231.878601622</v>
      </c>
      <c r="N253" s="350">
        <v>24630771.36653883</v>
      </c>
      <c r="O253" s="348">
        <v>129660216.12386772</v>
      </c>
      <c r="P253" s="369"/>
      <c r="Q253" s="350">
        <f t="shared" si="117"/>
        <v>19286552.658589415</v>
      </c>
      <c r="R253" s="350">
        <f t="shared" si="118"/>
        <v>18755744.906063944</v>
      </c>
      <c r="S253" s="350">
        <f t="shared" si="119"/>
        <v>18210777.854255415</v>
      </c>
      <c r="T253" s="350">
        <f t="shared" si="120"/>
        <v>17614595.775663555</v>
      </c>
      <c r="U253" s="350">
        <f t="shared" si="121"/>
        <v>16936237.427819181</v>
      </c>
      <c r="V253" s="350">
        <f t="shared" si="122"/>
        <v>90803908.622391507</v>
      </c>
      <c r="W253" s="365"/>
      <c r="X253" s="377">
        <f t="shared" si="100"/>
        <v>0</v>
      </c>
      <c r="Y253" s="377">
        <f t="shared" si="101"/>
        <v>0</v>
      </c>
      <c r="Z253" s="377">
        <f t="shared" si="102"/>
        <v>0</v>
      </c>
      <c r="AA253" s="377">
        <f t="shared" si="103"/>
        <v>0</v>
      </c>
      <c r="AB253" s="377">
        <f t="shared" si="104"/>
        <v>0</v>
      </c>
      <c r="AC253" s="377">
        <f t="shared" si="105"/>
        <v>0</v>
      </c>
      <c r="AD253" s="376"/>
      <c r="AE253" s="332">
        <v>238</v>
      </c>
      <c r="AF253" s="350">
        <v>335768.90505662648</v>
      </c>
      <c r="AG253" s="350">
        <v>334558.90078360855</v>
      </c>
      <c r="AH253" s="350">
        <v>333250.3404846355</v>
      </c>
      <c r="AI253" s="350">
        <v>331680.44228805584</v>
      </c>
      <c r="AJ253" s="350">
        <v>329704.99918298633</v>
      </c>
      <c r="AK253" s="348">
        <v>1664963.5877959125</v>
      </c>
      <c r="AL253" s="369"/>
      <c r="AM253" s="350">
        <v>8718802.387267746</v>
      </c>
      <c r="AN253" s="350">
        <v>8640384.3683203831</v>
      </c>
      <c r="AO253" s="350">
        <v>8554606.9446542077</v>
      </c>
      <c r="AP253" s="350">
        <v>8445065.6287722588</v>
      </c>
      <c r="AQ253" s="350">
        <v>8297725.8270705752</v>
      </c>
      <c r="AR253" s="348">
        <v>42656585.156085178</v>
      </c>
      <c r="AS253" s="369"/>
      <c r="AT253" s="350">
        <f t="shared" si="123"/>
        <v>8383033.4822111195</v>
      </c>
      <c r="AU253" s="350">
        <f t="shared" si="106"/>
        <v>8305825.4675367745</v>
      </c>
      <c r="AV253" s="350">
        <f t="shared" si="107"/>
        <v>8221356.6041695718</v>
      </c>
      <c r="AW253" s="350">
        <f t="shared" si="108"/>
        <v>8113385.1864842027</v>
      </c>
      <c r="AX253" s="350">
        <f t="shared" si="109"/>
        <v>7968020.8278875891</v>
      </c>
      <c r="AY253" s="350">
        <f t="shared" si="110"/>
        <v>40991621.568289265</v>
      </c>
      <c r="AZ253" s="365"/>
      <c r="BA253" s="377">
        <f t="shared" si="111"/>
        <v>0</v>
      </c>
      <c r="BB253" s="377">
        <f t="shared" si="112"/>
        <v>0</v>
      </c>
      <c r="BC253" s="377">
        <f t="shared" si="113"/>
        <v>0</v>
      </c>
      <c r="BD253" s="377">
        <f t="shared" si="114"/>
        <v>0</v>
      </c>
      <c r="BE253" s="377">
        <f t="shared" si="115"/>
        <v>0</v>
      </c>
      <c r="BF253" s="377">
        <f t="shared" si="116"/>
        <v>0</v>
      </c>
      <c r="BG253" s="328"/>
    </row>
    <row r="254" spans="2:59">
      <c r="B254" s="332">
        <v>239</v>
      </c>
      <c r="C254" s="350">
        <v>1983502.8397113979</v>
      </c>
      <c r="D254" s="350">
        <v>1976354.9267407521</v>
      </c>
      <c r="E254" s="350">
        <v>1968624.8093002792</v>
      </c>
      <c r="F254" s="350">
        <v>1959350.8786769283</v>
      </c>
      <c r="G254" s="350">
        <v>1947681.2542728088</v>
      </c>
      <c r="H254" s="348">
        <v>9835514.7087021675</v>
      </c>
      <c r="I254" s="369"/>
      <c r="J254" s="350">
        <v>6391908.8891343419</v>
      </c>
      <c r="K254" s="350">
        <v>6253812.8493861025</v>
      </c>
      <c r="L254" s="350">
        <v>6111967.4856524635</v>
      </c>
      <c r="M254" s="350">
        <v>5956949.6807706617</v>
      </c>
      <c r="N254" s="350">
        <v>5780857.740750826</v>
      </c>
      <c r="O254" s="348">
        <v>30495496.645694394</v>
      </c>
      <c r="P254" s="369"/>
      <c r="Q254" s="350">
        <f t="shared" si="117"/>
        <v>4408406.049422944</v>
      </c>
      <c r="R254" s="350">
        <f t="shared" si="118"/>
        <v>4277457.9226453509</v>
      </c>
      <c r="S254" s="350">
        <f t="shared" si="119"/>
        <v>4143342.6763521843</v>
      </c>
      <c r="T254" s="350">
        <f t="shared" si="120"/>
        <v>3997598.8020937331</v>
      </c>
      <c r="U254" s="350">
        <f t="shared" si="121"/>
        <v>3833176.4864780172</v>
      </c>
      <c r="V254" s="350">
        <f t="shared" si="122"/>
        <v>20659981.936992228</v>
      </c>
      <c r="W254" s="365"/>
      <c r="X254" s="377">
        <f t="shared" si="100"/>
        <v>0</v>
      </c>
      <c r="Y254" s="377">
        <f t="shared" si="101"/>
        <v>0</v>
      </c>
      <c r="Z254" s="377">
        <f t="shared" si="102"/>
        <v>0</v>
      </c>
      <c r="AA254" s="377">
        <f t="shared" si="103"/>
        <v>0</v>
      </c>
      <c r="AB254" s="377">
        <f t="shared" si="104"/>
        <v>0</v>
      </c>
      <c r="AC254" s="377">
        <f t="shared" si="105"/>
        <v>0</v>
      </c>
      <c r="AD254" s="376"/>
      <c r="AE254" s="332">
        <v>239</v>
      </c>
      <c r="AF254" s="350">
        <v>774308.20622518414</v>
      </c>
      <c r="AG254" s="350">
        <v>771517.84587895963</v>
      </c>
      <c r="AH254" s="350">
        <v>768500.20796616795</v>
      </c>
      <c r="AI254" s="350">
        <v>764879.90531680651</v>
      </c>
      <c r="AJ254" s="350">
        <v>760324.3857789617</v>
      </c>
      <c r="AK254" s="348">
        <v>3839530.5511660799</v>
      </c>
      <c r="AL254" s="369"/>
      <c r="AM254" s="350">
        <v>23493331.541217841</v>
      </c>
      <c r="AN254" s="350">
        <v>23288081.511338398</v>
      </c>
      <c r="AO254" s="350">
        <v>23062877.545953292</v>
      </c>
      <c r="AP254" s="350">
        <v>22773321.320006814</v>
      </c>
      <c r="AQ254" s="350">
        <v>22381416.545018587</v>
      </c>
      <c r="AR254" s="348">
        <v>114999028.46353494</v>
      </c>
      <c r="AS254" s="369"/>
      <c r="AT254" s="350">
        <f t="shared" si="123"/>
        <v>22719023.334992658</v>
      </c>
      <c r="AU254" s="350">
        <f t="shared" si="106"/>
        <v>22516563.665459439</v>
      </c>
      <c r="AV254" s="350">
        <f t="shared" si="107"/>
        <v>22294377.337987125</v>
      </c>
      <c r="AW254" s="350">
        <f t="shared" si="108"/>
        <v>22008441.414690007</v>
      </c>
      <c r="AX254" s="350">
        <f t="shared" si="109"/>
        <v>21621092.159239627</v>
      </c>
      <c r="AY254" s="350">
        <f t="shared" si="110"/>
        <v>111159497.91236886</v>
      </c>
      <c r="AZ254" s="365"/>
      <c r="BA254" s="377">
        <f t="shared" si="111"/>
        <v>0</v>
      </c>
      <c r="BB254" s="377">
        <f t="shared" si="112"/>
        <v>0</v>
      </c>
      <c r="BC254" s="377">
        <f t="shared" si="113"/>
        <v>0</v>
      </c>
      <c r="BD254" s="377">
        <f t="shared" si="114"/>
        <v>0</v>
      </c>
      <c r="BE254" s="377">
        <f t="shared" si="115"/>
        <v>0</v>
      </c>
      <c r="BF254" s="377">
        <f t="shared" si="116"/>
        <v>0</v>
      </c>
      <c r="BG254" s="328"/>
    </row>
    <row r="255" spans="2:59">
      <c r="B255" s="332">
        <v>240</v>
      </c>
      <c r="C255" s="350">
        <v>7546891.076569098</v>
      </c>
      <c r="D255" s="350">
        <v>7519694.4829800967</v>
      </c>
      <c r="E255" s="350">
        <v>7490282.7003678642</v>
      </c>
      <c r="F255" s="350">
        <v>7454996.9710687464</v>
      </c>
      <c r="G255" s="350">
        <v>7410596.0342416624</v>
      </c>
      <c r="H255" s="348">
        <v>37422461.265227467</v>
      </c>
      <c r="I255" s="369"/>
      <c r="J255" s="350">
        <v>22908953.655291706</v>
      </c>
      <c r="K255" s="350">
        <v>22393692.538974885</v>
      </c>
      <c r="L255" s="350">
        <v>21865408.519117527</v>
      </c>
      <c r="M255" s="350">
        <v>21290984.802162625</v>
      </c>
      <c r="N255" s="350">
        <v>20642703.017999008</v>
      </c>
      <c r="O255" s="348">
        <v>109101742.53354575</v>
      </c>
      <c r="P255" s="369"/>
      <c r="Q255" s="350">
        <f t="shared" si="117"/>
        <v>15362062.578722607</v>
      </c>
      <c r="R255" s="350">
        <f t="shared" si="118"/>
        <v>14873998.055994788</v>
      </c>
      <c r="S255" s="350">
        <f t="shared" si="119"/>
        <v>14375125.818749662</v>
      </c>
      <c r="T255" s="350">
        <f t="shared" si="120"/>
        <v>13835987.831093878</v>
      </c>
      <c r="U255" s="350">
        <f t="shared" si="121"/>
        <v>13232106.983757347</v>
      </c>
      <c r="V255" s="350">
        <f t="shared" si="122"/>
        <v>71679281.268318281</v>
      </c>
      <c r="W255" s="365"/>
      <c r="X255" s="377">
        <f t="shared" si="100"/>
        <v>0</v>
      </c>
      <c r="Y255" s="377">
        <f t="shared" si="101"/>
        <v>0</v>
      </c>
      <c r="Z255" s="377">
        <f t="shared" si="102"/>
        <v>0</v>
      </c>
      <c r="AA255" s="377">
        <f t="shared" si="103"/>
        <v>0</v>
      </c>
      <c r="AB255" s="377">
        <f t="shared" si="104"/>
        <v>0</v>
      </c>
      <c r="AC255" s="377">
        <f t="shared" si="105"/>
        <v>0</v>
      </c>
      <c r="AD255" s="376"/>
      <c r="AE255" s="332">
        <v>240</v>
      </c>
      <c r="AF255" s="350">
        <v>549884.94415780681</v>
      </c>
      <c r="AG255" s="350">
        <v>547903.33382379764</v>
      </c>
      <c r="AH255" s="350">
        <v>545760.31939902063</v>
      </c>
      <c r="AI255" s="350">
        <v>543189.31485047832</v>
      </c>
      <c r="AJ255" s="350">
        <v>539954.15398489777</v>
      </c>
      <c r="AK255" s="348">
        <v>2726692.0662160013</v>
      </c>
      <c r="AL255" s="369"/>
      <c r="AM255" s="350">
        <v>13245343.206445236</v>
      </c>
      <c r="AN255" s="350">
        <v>13124366.566585822</v>
      </c>
      <c r="AO255" s="350">
        <v>12992247.441977799</v>
      </c>
      <c r="AP255" s="350">
        <v>12824124.25719505</v>
      </c>
      <c r="AQ255" s="350">
        <v>12598730.761233203</v>
      </c>
      <c r="AR255" s="348">
        <v>64784812.233437106</v>
      </c>
      <c r="AS255" s="369"/>
      <c r="AT255" s="350">
        <f t="shared" si="123"/>
        <v>12695458.262287429</v>
      </c>
      <c r="AU255" s="350">
        <f t="shared" si="106"/>
        <v>12576463.232762024</v>
      </c>
      <c r="AV255" s="350">
        <f t="shared" si="107"/>
        <v>12446487.122578777</v>
      </c>
      <c r="AW255" s="350">
        <f t="shared" si="108"/>
        <v>12280934.942344572</v>
      </c>
      <c r="AX255" s="350">
        <f t="shared" si="109"/>
        <v>12058776.607248306</v>
      </c>
      <c r="AY255" s="350">
        <f t="shared" si="110"/>
        <v>62058120.167221107</v>
      </c>
      <c r="AZ255" s="365"/>
      <c r="BA255" s="377">
        <f t="shared" si="111"/>
        <v>0</v>
      </c>
      <c r="BB255" s="377">
        <f t="shared" si="112"/>
        <v>0</v>
      </c>
      <c r="BC255" s="377">
        <f t="shared" si="113"/>
        <v>0</v>
      </c>
      <c r="BD255" s="377">
        <f t="shared" si="114"/>
        <v>0</v>
      </c>
      <c r="BE255" s="377">
        <f t="shared" si="115"/>
        <v>0</v>
      </c>
      <c r="BF255" s="377">
        <f t="shared" si="116"/>
        <v>0</v>
      </c>
      <c r="BG255" s="328"/>
    </row>
    <row r="256" spans="2:59">
      <c r="B256" s="332">
        <v>241</v>
      </c>
      <c r="C256" s="350">
        <v>6363795.5166883813</v>
      </c>
      <c r="D256" s="350">
        <v>6340862.4229687434</v>
      </c>
      <c r="E256" s="350">
        <v>6316061.4064406715</v>
      </c>
      <c r="F256" s="350">
        <v>6286307.2780666761</v>
      </c>
      <c r="G256" s="350">
        <v>6248866.8963452224</v>
      </c>
      <c r="H256" s="348">
        <v>31555893.520509697</v>
      </c>
      <c r="I256" s="369"/>
      <c r="J256" s="350">
        <v>22702164.019242994</v>
      </c>
      <c r="K256" s="350">
        <v>22243284.589122992</v>
      </c>
      <c r="L256" s="350">
        <v>21770443.465828441</v>
      </c>
      <c r="M256" s="350">
        <v>21249152.069179699</v>
      </c>
      <c r="N256" s="350">
        <v>20650410.127465948</v>
      </c>
      <c r="O256" s="348">
        <v>108615454.27084006</v>
      </c>
      <c r="P256" s="369"/>
      <c r="Q256" s="350">
        <f t="shared" si="117"/>
        <v>16338368.502554614</v>
      </c>
      <c r="R256" s="350">
        <f t="shared" si="118"/>
        <v>15902422.166154249</v>
      </c>
      <c r="S256" s="350">
        <f t="shared" si="119"/>
        <v>15454382.05938777</v>
      </c>
      <c r="T256" s="350">
        <f t="shared" si="120"/>
        <v>14962844.791113023</v>
      </c>
      <c r="U256" s="350">
        <f t="shared" si="121"/>
        <v>14401543.231120726</v>
      </c>
      <c r="V256" s="350">
        <f t="shared" si="122"/>
        <v>77059560.750330359</v>
      </c>
      <c r="W256" s="365"/>
      <c r="X256" s="377">
        <f t="shared" si="100"/>
        <v>0</v>
      </c>
      <c r="Y256" s="377">
        <f t="shared" si="101"/>
        <v>0</v>
      </c>
      <c r="Z256" s="377">
        <f t="shared" si="102"/>
        <v>0</v>
      </c>
      <c r="AA256" s="377">
        <f t="shared" si="103"/>
        <v>0</v>
      </c>
      <c r="AB256" s="377">
        <f t="shared" si="104"/>
        <v>0</v>
      </c>
      <c r="AC256" s="377">
        <f t="shared" si="105"/>
        <v>0</v>
      </c>
      <c r="AD256" s="376"/>
      <c r="AE256" s="332">
        <v>241</v>
      </c>
      <c r="AF256" s="350">
        <v>676821.3016042636</v>
      </c>
      <c r="AG256" s="350">
        <v>674382.2530364024</v>
      </c>
      <c r="AH256" s="350">
        <v>671744.54158831784</v>
      </c>
      <c r="AI256" s="350">
        <v>668580.0420626218</v>
      </c>
      <c r="AJ256" s="350">
        <v>664598.07126817666</v>
      </c>
      <c r="AK256" s="348">
        <v>3356126.2095597824</v>
      </c>
      <c r="AL256" s="369"/>
      <c r="AM256" s="350">
        <v>17696239.498106267</v>
      </c>
      <c r="AN256" s="350">
        <v>17537294.251195941</v>
      </c>
      <c r="AO256" s="350">
        <v>17363407.454487316</v>
      </c>
      <c r="AP256" s="350">
        <v>17141276.502107903</v>
      </c>
      <c r="AQ256" s="350">
        <v>16842409.457968779</v>
      </c>
      <c r="AR256" s="348">
        <v>86580627.163866192</v>
      </c>
      <c r="AS256" s="369"/>
      <c r="AT256" s="350">
        <f t="shared" si="123"/>
        <v>17019418.196502004</v>
      </c>
      <c r="AU256" s="350">
        <f t="shared" si="106"/>
        <v>16862911.998159539</v>
      </c>
      <c r="AV256" s="350">
        <f t="shared" si="107"/>
        <v>16691662.912898999</v>
      </c>
      <c r="AW256" s="350">
        <f t="shared" si="108"/>
        <v>16472696.460045282</v>
      </c>
      <c r="AX256" s="350">
        <f t="shared" si="109"/>
        <v>16177811.386700602</v>
      </c>
      <c r="AY256" s="350">
        <f t="shared" si="110"/>
        <v>83224500.954306409</v>
      </c>
      <c r="AZ256" s="365"/>
      <c r="BA256" s="377">
        <f t="shared" si="111"/>
        <v>0</v>
      </c>
      <c r="BB256" s="377">
        <f t="shared" si="112"/>
        <v>0</v>
      </c>
      <c r="BC256" s="377">
        <f t="shared" si="113"/>
        <v>0</v>
      </c>
      <c r="BD256" s="377">
        <f t="shared" si="114"/>
        <v>0</v>
      </c>
      <c r="BE256" s="377">
        <f t="shared" si="115"/>
        <v>0</v>
      </c>
      <c r="BF256" s="377">
        <f t="shared" si="116"/>
        <v>0</v>
      </c>
      <c r="BG256" s="328"/>
    </row>
    <row r="257" spans="2:59">
      <c r="B257" s="332">
        <v>242</v>
      </c>
      <c r="C257" s="350">
        <v>7379722.3637702819</v>
      </c>
      <c r="D257" s="350">
        <v>7353128.1930195903</v>
      </c>
      <c r="E257" s="350">
        <v>7324367.9011722989</v>
      </c>
      <c r="F257" s="350">
        <v>7289863.7745076008</v>
      </c>
      <c r="G257" s="350">
        <v>7246446.3482918572</v>
      </c>
      <c r="H257" s="348">
        <v>36593528.580761626</v>
      </c>
      <c r="I257" s="369"/>
      <c r="J257" s="350">
        <v>20733869.193003088</v>
      </c>
      <c r="K257" s="350">
        <v>20242040.713820323</v>
      </c>
      <c r="L257" s="350">
        <v>19738946.267429136</v>
      </c>
      <c r="M257" s="350">
        <v>19195436.520715043</v>
      </c>
      <c r="N257" s="350">
        <v>18587179.714153253</v>
      </c>
      <c r="O257" s="348">
        <v>98497472.409120858</v>
      </c>
      <c r="P257" s="369"/>
      <c r="Q257" s="350">
        <f t="shared" si="117"/>
        <v>13354146.829232806</v>
      </c>
      <c r="R257" s="350">
        <f t="shared" si="118"/>
        <v>12888912.520800732</v>
      </c>
      <c r="S257" s="350">
        <f t="shared" si="119"/>
        <v>12414578.366256837</v>
      </c>
      <c r="T257" s="350">
        <f t="shared" si="120"/>
        <v>11905572.746207442</v>
      </c>
      <c r="U257" s="350">
        <f t="shared" si="121"/>
        <v>11340733.365861395</v>
      </c>
      <c r="V257" s="350">
        <f t="shared" si="122"/>
        <v>61903943.828359231</v>
      </c>
      <c r="W257" s="365"/>
      <c r="X257" s="377">
        <f t="shared" si="100"/>
        <v>0</v>
      </c>
      <c r="Y257" s="377">
        <f t="shared" si="101"/>
        <v>0</v>
      </c>
      <c r="Z257" s="377">
        <f t="shared" si="102"/>
        <v>0</v>
      </c>
      <c r="AA257" s="377">
        <f t="shared" si="103"/>
        <v>0</v>
      </c>
      <c r="AB257" s="377">
        <f t="shared" si="104"/>
        <v>0</v>
      </c>
      <c r="AC257" s="377">
        <f t="shared" si="105"/>
        <v>0</v>
      </c>
      <c r="AD257" s="376"/>
      <c r="AE257" s="332">
        <v>242</v>
      </c>
      <c r="AF257" s="350">
        <v>579293.31904142397</v>
      </c>
      <c r="AG257" s="350">
        <v>577205.73028375569</v>
      </c>
      <c r="AH257" s="350">
        <v>574948.10538954404</v>
      </c>
      <c r="AI257" s="350">
        <v>572239.60104873753</v>
      </c>
      <c r="AJ257" s="350">
        <v>568831.42067324929</v>
      </c>
      <c r="AK257" s="348">
        <v>2872518.1764367106</v>
      </c>
      <c r="AL257" s="369"/>
      <c r="AM257" s="350">
        <v>19653389.035983548</v>
      </c>
      <c r="AN257" s="350">
        <v>19484862.840275269</v>
      </c>
      <c r="AO257" s="350">
        <v>19299579.287821963</v>
      </c>
      <c r="AP257" s="350">
        <v>19060294.302895732</v>
      </c>
      <c r="AQ257" s="350">
        <v>18735127.955515295</v>
      </c>
      <c r="AR257" s="348">
        <v>96233253.422491819</v>
      </c>
      <c r="AS257" s="369"/>
      <c r="AT257" s="350">
        <f t="shared" si="123"/>
        <v>19074095.716942124</v>
      </c>
      <c r="AU257" s="350">
        <f t="shared" si="106"/>
        <v>18907657.109991513</v>
      </c>
      <c r="AV257" s="350">
        <f t="shared" si="107"/>
        <v>18724631.182432421</v>
      </c>
      <c r="AW257" s="350">
        <f t="shared" si="108"/>
        <v>18488054.701846994</v>
      </c>
      <c r="AX257" s="350">
        <f t="shared" si="109"/>
        <v>18166296.534842044</v>
      </c>
      <c r="AY257" s="350">
        <f t="shared" si="110"/>
        <v>93360735.246055111</v>
      </c>
      <c r="AZ257" s="365"/>
      <c r="BA257" s="377">
        <f t="shared" si="111"/>
        <v>0</v>
      </c>
      <c r="BB257" s="377">
        <f t="shared" si="112"/>
        <v>0</v>
      </c>
      <c r="BC257" s="377">
        <f t="shared" si="113"/>
        <v>0</v>
      </c>
      <c r="BD257" s="377">
        <f t="shared" si="114"/>
        <v>0</v>
      </c>
      <c r="BE257" s="377">
        <f t="shared" si="115"/>
        <v>0</v>
      </c>
      <c r="BF257" s="377">
        <f t="shared" si="116"/>
        <v>0</v>
      </c>
      <c r="BG257" s="328"/>
    </row>
    <row r="258" spans="2:59">
      <c r="B258" s="332">
        <v>243</v>
      </c>
      <c r="C258" s="350">
        <v>6530838.4586948249</v>
      </c>
      <c r="D258" s="350">
        <v>6507303.3953747787</v>
      </c>
      <c r="E258" s="350">
        <v>6481851.3782363441</v>
      </c>
      <c r="F258" s="350">
        <v>6451316.2352732737</v>
      </c>
      <c r="G258" s="350">
        <v>6412893.0828929907</v>
      </c>
      <c r="H258" s="348">
        <v>32384202.550472215</v>
      </c>
      <c r="I258" s="369"/>
      <c r="J258" s="350">
        <v>21116115.759627789</v>
      </c>
      <c r="K258" s="350">
        <v>20660917.37832123</v>
      </c>
      <c r="L258" s="350">
        <v>20193312.189587079</v>
      </c>
      <c r="M258" s="350">
        <v>19682137.602494884</v>
      </c>
      <c r="N258" s="350">
        <v>19101259.863766473</v>
      </c>
      <c r="O258" s="348">
        <v>100753742.79379746</v>
      </c>
      <c r="P258" s="369"/>
      <c r="Q258" s="350">
        <f t="shared" si="117"/>
        <v>14585277.300932964</v>
      </c>
      <c r="R258" s="350">
        <f t="shared" si="118"/>
        <v>14153613.982946452</v>
      </c>
      <c r="S258" s="350">
        <f t="shared" si="119"/>
        <v>13711460.811350735</v>
      </c>
      <c r="T258" s="350">
        <f t="shared" si="120"/>
        <v>13230821.367221611</v>
      </c>
      <c r="U258" s="350">
        <f t="shared" si="121"/>
        <v>12688366.780873481</v>
      </c>
      <c r="V258" s="350">
        <f t="shared" si="122"/>
        <v>68369540.243325248</v>
      </c>
      <c r="W258" s="365"/>
      <c r="X258" s="377">
        <f t="shared" si="100"/>
        <v>0</v>
      </c>
      <c r="Y258" s="377">
        <f t="shared" si="101"/>
        <v>0</v>
      </c>
      <c r="Z258" s="377">
        <f t="shared" si="102"/>
        <v>0</v>
      </c>
      <c r="AA258" s="377">
        <f t="shared" si="103"/>
        <v>0</v>
      </c>
      <c r="AB258" s="377">
        <f t="shared" si="104"/>
        <v>0</v>
      </c>
      <c r="AC258" s="377">
        <f t="shared" si="105"/>
        <v>0</v>
      </c>
      <c r="AD258" s="376"/>
      <c r="AE258" s="332">
        <v>243</v>
      </c>
      <c r="AF258" s="350">
        <v>432058.94800652296</v>
      </c>
      <c r="AG258" s="350">
        <v>430501.94506369444</v>
      </c>
      <c r="AH258" s="350">
        <v>428818.1227154574</v>
      </c>
      <c r="AI258" s="350">
        <v>426798.01736002805</v>
      </c>
      <c r="AJ258" s="350">
        <v>424256.06705739623</v>
      </c>
      <c r="AK258" s="348">
        <v>2142433.1002030992</v>
      </c>
      <c r="AL258" s="369"/>
      <c r="AM258" s="350">
        <v>10944156.916321354</v>
      </c>
      <c r="AN258" s="350">
        <v>10845232.454920229</v>
      </c>
      <c r="AO258" s="350">
        <v>10737080.234636325</v>
      </c>
      <c r="AP258" s="350">
        <v>10599124.615833893</v>
      </c>
      <c r="AQ258" s="350">
        <v>10413763.419115175</v>
      </c>
      <c r="AR258" s="348">
        <v>53539357.64082697</v>
      </c>
      <c r="AS258" s="369"/>
      <c r="AT258" s="350">
        <f t="shared" si="123"/>
        <v>10512097.96831483</v>
      </c>
      <c r="AU258" s="350">
        <f t="shared" si="106"/>
        <v>10414730.509856533</v>
      </c>
      <c r="AV258" s="350">
        <f t="shared" si="107"/>
        <v>10308262.111920867</v>
      </c>
      <c r="AW258" s="350">
        <f t="shared" si="108"/>
        <v>10172326.598473866</v>
      </c>
      <c r="AX258" s="350">
        <f t="shared" si="109"/>
        <v>9989507.3520577792</v>
      </c>
      <c r="AY258" s="350">
        <f t="shared" si="110"/>
        <v>51396924.540623873</v>
      </c>
      <c r="AZ258" s="365"/>
      <c r="BA258" s="377">
        <f t="shared" si="111"/>
        <v>0</v>
      </c>
      <c r="BB258" s="377">
        <f t="shared" si="112"/>
        <v>0</v>
      </c>
      <c r="BC258" s="377">
        <f t="shared" si="113"/>
        <v>0</v>
      </c>
      <c r="BD258" s="377">
        <f t="shared" si="114"/>
        <v>0</v>
      </c>
      <c r="BE258" s="377">
        <f t="shared" si="115"/>
        <v>0</v>
      </c>
      <c r="BF258" s="377">
        <f t="shared" si="116"/>
        <v>0</v>
      </c>
      <c r="BG258" s="328"/>
    </row>
    <row r="259" spans="2:59">
      <c r="B259" s="332">
        <v>244</v>
      </c>
      <c r="C259" s="350">
        <v>5728739.2789165005</v>
      </c>
      <c r="D259" s="350">
        <v>5708094.7257666914</v>
      </c>
      <c r="E259" s="350">
        <v>5685768.6536657205</v>
      </c>
      <c r="F259" s="350">
        <v>5658983.750932904</v>
      </c>
      <c r="G259" s="350">
        <v>5625279.621876142</v>
      </c>
      <c r="H259" s="348">
        <v>28406866.031157963</v>
      </c>
      <c r="I259" s="369"/>
      <c r="J259" s="350">
        <v>19932624.518114582</v>
      </c>
      <c r="K259" s="350">
        <v>19523170.437186763</v>
      </c>
      <c r="L259" s="350">
        <v>19101591.775149725</v>
      </c>
      <c r="M259" s="350">
        <v>18637819.086681888</v>
      </c>
      <c r="N259" s="350">
        <v>18106584.125869974</v>
      </c>
      <c r="O259" s="348">
        <v>95301789.943002924</v>
      </c>
      <c r="P259" s="369"/>
      <c r="Q259" s="350">
        <f t="shared" si="117"/>
        <v>14203885.239198081</v>
      </c>
      <c r="R259" s="350">
        <f t="shared" si="118"/>
        <v>13815075.71142007</v>
      </c>
      <c r="S259" s="350">
        <f t="shared" si="119"/>
        <v>13415823.121484004</v>
      </c>
      <c r="T259" s="350">
        <f t="shared" si="120"/>
        <v>12978835.335748984</v>
      </c>
      <c r="U259" s="350">
        <f t="shared" si="121"/>
        <v>12481304.503993832</v>
      </c>
      <c r="V259" s="350">
        <f t="shared" si="122"/>
        <v>66894923.911844961</v>
      </c>
      <c r="W259" s="365"/>
      <c r="X259" s="377">
        <f t="shared" si="100"/>
        <v>0</v>
      </c>
      <c r="Y259" s="377">
        <f t="shared" si="101"/>
        <v>0</v>
      </c>
      <c r="Z259" s="377">
        <f t="shared" si="102"/>
        <v>0</v>
      </c>
      <c r="AA259" s="377">
        <f t="shared" si="103"/>
        <v>0</v>
      </c>
      <c r="AB259" s="377">
        <f t="shared" si="104"/>
        <v>0</v>
      </c>
      <c r="AC259" s="377">
        <f t="shared" si="105"/>
        <v>0</v>
      </c>
      <c r="AD259" s="376"/>
      <c r="AE259" s="332">
        <v>244</v>
      </c>
      <c r="AF259" s="350">
        <v>673325.37675791013</v>
      </c>
      <c r="AG259" s="350">
        <v>670898.92639059271</v>
      </c>
      <c r="AH259" s="350">
        <v>668274.83927875024</v>
      </c>
      <c r="AI259" s="350">
        <v>665126.6850608805</v>
      </c>
      <c r="AJ259" s="350">
        <v>661165.28198586847</v>
      </c>
      <c r="AK259" s="348">
        <v>3338791.1094740024</v>
      </c>
      <c r="AL259" s="369"/>
      <c r="AM259" s="350">
        <v>17586099.167331576</v>
      </c>
      <c r="AN259" s="350">
        <v>17428109.939861394</v>
      </c>
      <c r="AO259" s="350">
        <v>17255272.836789943</v>
      </c>
      <c r="AP259" s="350">
        <v>17034493.599398009</v>
      </c>
      <c r="AQ259" s="350">
        <v>16737458.608345721</v>
      </c>
      <c r="AR259" s="348">
        <v>86041434.151726633</v>
      </c>
      <c r="AS259" s="369"/>
      <c r="AT259" s="350">
        <f t="shared" si="123"/>
        <v>16912773.790573668</v>
      </c>
      <c r="AU259" s="350">
        <f t="shared" si="106"/>
        <v>16757211.013470802</v>
      </c>
      <c r="AV259" s="350">
        <f t="shared" si="107"/>
        <v>16586997.997511193</v>
      </c>
      <c r="AW259" s="350">
        <f t="shared" si="108"/>
        <v>16369366.914337128</v>
      </c>
      <c r="AX259" s="350">
        <f t="shared" si="109"/>
        <v>16076293.326359853</v>
      </c>
      <c r="AY259" s="350">
        <f t="shared" si="110"/>
        <v>82702643.04225263</v>
      </c>
      <c r="AZ259" s="365"/>
      <c r="BA259" s="377">
        <f t="shared" si="111"/>
        <v>0</v>
      </c>
      <c r="BB259" s="377">
        <f t="shared" si="112"/>
        <v>0</v>
      </c>
      <c r="BC259" s="377">
        <f t="shared" si="113"/>
        <v>0</v>
      </c>
      <c r="BD259" s="377">
        <f t="shared" si="114"/>
        <v>0</v>
      </c>
      <c r="BE259" s="377">
        <f t="shared" si="115"/>
        <v>0</v>
      </c>
      <c r="BF259" s="377">
        <f t="shared" si="116"/>
        <v>0</v>
      </c>
      <c r="BG259" s="328"/>
    </row>
    <row r="260" spans="2:59">
      <c r="B260" s="332">
        <v>245</v>
      </c>
      <c r="C260" s="350">
        <v>4902741.3244038066</v>
      </c>
      <c r="D260" s="350">
        <v>4885073.4050024264</v>
      </c>
      <c r="E260" s="350">
        <v>4865966.4163663955</v>
      </c>
      <c r="F260" s="350">
        <v>4843043.493345337</v>
      </c>
      <c r="G260" s="350">
        <v>4814198.992263265</v>
      </c>
      <c r="H260" s="348">
        <v>24311023.631381229</v>
      </c>
      <c r="I260" s="369"/>
      <c r="J260" s="350">
        <v>18810658.794719256</v>
      </c>
      <c r="K260" s="350">
        <v>18447614.392555982</v>
      </c>
      <c r="L260" s="350">
        <v>18072650.816010237</v>
      </c>
      <c r="M260" s="350">
        <v>17656636.643431976</v>
      </c>
      <c r="N260" s="350">
        <v>17175034.003523681</v>
      </c>
      <c r="O260" s="348">
        <v>90162594.650241137</v>
      </c>
      <c r="P260" s="369"/>
      <c r="Q260" s="350">
        <f t="shared" si="117"/>
        <v>13907917.470315449</v>
      </c>
      <c r="R260" s="350">
        <f t="shared" si="118"/>
        <v>13562540.987553556</v>
      </c>
      <c r="S260" s="350">
        <f t="shared" si="119"/>
        <v>13206684.399643842</v>
      </c>
      <c r="T260" s="350">
        <f t="shared" si="120"/>
        <v>12813593.150086639</v>
      </c>
      <c r="U260" s="350">
        <f t="shared" si="121"/>
        <v>12360835.011260416</v>
      </c>
      <c r="V260" s="350">
        <f t="shared" si="122"/>
        <v>65851571.018859908</v>
      </c>
      <c r="W260" s="365"/>
      <c r="X260" s="377">
        <f t="shared" si="100"/>
        <v>0</v>
      </c>
      <c r="Y260" s="377">
        <f t="shared" si="101"/>
        <v>0</v>
      </c>
      <c r="Z260" s="377">
        <f t="shared" si="102"/>
        <v>0</v>
      </c>
      <c r="AA260" s="377">
        <f t="shared" si="103"/>
        <v>0</v>
      </c>
      <c r="AB260" s="377">
        <f t="shared" si="104"/>
        <v>0</v>
      </c>
      <c r="AC260" s="377">
        <f t="shared" si="105"/>
        <v>0</v>
      </c>
      <c r="AD260" s="376"/>
      <c r="AE260" s="332">
        <v>245</v>
      </c>
      <c r="AF260" s="350">
        <v>510899.30389556015</v>
      </c>
      <c r="AG260" s="350">
        <v>509058.18540160306</v>
      </c>
      <c r="AH260" s="350">
        <v>507067.10601401655</v>
      </c>
      <c r="AI260" s="350">
        <v>504678.38006667444</v>
      </c>
      <c r="AJ260" s="350">
        <v>501672.58503304835</v>
      </c>
      <c r="AK260" s="348">
        <v>2533375.5604109024</v>
      </c>
      <c r="AL260" s="369"/>
      <c r="AM260" s="350">
        <v>15201366.201211205</v>
      </c>
      <c r="AN260" s="350">
        <v>15068100.582814621</v>
      </c>
      <c r="AO260" s="350">
        <v>14921933.128613072</v>
      </c>
      <c r="AP260" s="350">
        <v>14734150.700025618</v>
      </c>
      <c r="AQ260" s="350">
        <v>14480181.369219678</v>
      </c>
      <c r="AR260" s="348">
        <v>74405731.981884196</v>
      </c>
      <c r="AS260" s="369"/>
      <c r="AT260" s="350">
        <f t="shared" si="123"/>
        <v>14690466.897315644</v>
      </c>
      <c r="AU260" s="350">
        <f t="shared" si="106"/>
        <v>14559042.397413017</v>
      </c>
      <c r="AV260" s="350">
        <f t="shared" si="107"/>
        <v>14414866.022599055</v>
      </c>
      <c r="AW260" s="350">
        <f t="shared" si="108"/>
        <v>14229472.319958944</v>
      </c>
      <c r="AX260" s="350">
        <f t="shared" si="109"/>
        <v>13978508.78418663</v>
      </c>
      <c r="AY260" s="350">
        <f t="shared" si="110"/>
        <v>71872356.421473294</v>
      </c>
      <c r="AZ260" s="365"/>
      <c r="BA260" s="377">
        <f t="shared" si="111"/>
        <v>0</v>
      </c>
      <c r="BB260" s="377">
        <f t="shared" si="112"/>
        <v>0</v>
      </c>
      <c r="BC260" s="377">
        <f t="shared" si="113"/>
        <v>0</v>
      </c>
      <c r="BD260" s="377">
        <f t="shared" si="114"/>
        <v>0</v>
      </c>
      <c r="BE260" s="377">
        <f t="shared" si="115"/>
        <v>0</v>
      </c>
      <c r="BF260" s="377">
        <f t="shared" si="116"/>
        <v>0</v>
      </c>
      <c r="BG260" s="328"/>
    </row>
    <row r="261" spans="2:59">
      <c r="B261" s="332">
        <v>246</v>
      </c>
      <c r="C261" s="350">
        <v>6036469.2555220295</v>
      </c>
      <c r="D261" s="350">
        <v>6014715.7414737577</v>
      </c>
      <c r="E261" s="350">
        <v>5991190.3825295866</v>
      </c>
      <c r="F261" s="350">
        <v>5962966.6785020977</v>
      </c>
      <c r="G261" s="350">
        <v>5927452.0689292606</v>
      </c>
      <c r="H261" s="348">
        <v>29932794.126956731</v>
      </c>
      <c r="I261" s="369"/>
      <c r="J261" s="350">
        <v>20663775.07362128</v>
      </c>
      <c r="K261" s="350">
        <v>20234773.786945149</v>
      </c>
      <c r="L261" s="350">
        <v>19793295.637778707</v>
      </c>
      <c r="M261" s="350">
        <v>19308314.438417491</v>
      </c>
      <c r="N261" s="350">
        <v>18753769.180923317</v>
      </c>
      <c r="O261" s="348">
        <v>98753928.117685944</v>
      </c>
      <c r="P261" s="369"/>
      <c r="Q261" s="350">
        <f t="shared" si="117"/>
        <v>14627305.818099251</v>
      </c>
      <c r="R261" s="350">
        <f t="shared" si="118"/>
        <v>14220058.045471393</v>
      </c>
      <c r="S261" s="350">
        <f t="shared" si="119"/>
        <v>13802105.25524912</v>
      </c>
      <c r="T261" s="350">
        <f t="shared" si="120"/>
        <v>13345347.759915393</v>
      </c>
      <c r="U261" s="350">
        <f t="shared" si="121"/>
        <v>12826317.111994056</v>
      </c>
      <c r="V261" s="350">
        <f t="shared" si="122"/>
        <v>68821133.990729213</v>
      </c>
      <c r="W261" s="365"/>
      <c r="X261" s="377">
        <f t="shared" si="100"/>
        <v>0</v>
      </c>
      <c r="Y261" s="377">
        <f t="shared" si="101"/>
        <v>0</v>
      </c>
      <c r="Z261" s="377">
        <f t="shared" si="102"/>
        <v>0</v>
      </c>
      <c r="AA261" s="377">
        <f t="shared" si="103"/>
        <v>0</v>
      </c>
      <c r="AB261" s="377">
        <f t="shared" si="104"/>
        <v>0</v>
      </c>
      <c r="AC261" s="377">
        <f t="shared" si="105"/>
        <v>0</v>
      </c>
      <c r="AD261" s="376"/>
      <c r="AE261" s="332">
        <v>246</v>
      </c>
      <c r="AF261" s="350">
        <v>403642.46600733092</v>
      </c>
      <c r="AG261" s="350">
        <v>402187.86702188296</v>
      </c>
      <c r="AH261" s="350">
        <v>400614.78953304357</v>
      </c>
      <c r="AI261" s="350">
        <v>398727.54634314496</v>
      </c>
      <c r="AJ261" s="350">
        <v>396352.77990593435</v>
      </c>
      <c r="AK261" s="348">
        <v>2001525.4488113367</v>
      </c>
      <c r="AL261" s="369"/>
      <c r="AM261" s="350">
        <v>12227824.467174273</v>
      </c>
      <c r="AN261" s="350">
        <v>12120966.567281554</v>
      </c>
      <c r="AO261" s="350">
        <v>12003723.626967873</v>
      </c>
      <c r="AP261" s="350">
        <v>11852988.121214652</v>
      </c>
      <c r="AQ261" s="350">
        <v>11648984.582834654</v>
      </c>
      <c r="AR261" s="348">
        <v>59854487.365473002</v>
      </c>
      <c r="AS261" s="369"/>
      <c r="AT261" s="350">
        <f t="shared" si="123"/>
        <v>11824182.001166942</v>
      </c>
      <c r="AU261" s="350">
        <f t="shared" si="106"/>
        <v>11718778.700259671</v>
      </c>
      <c r="AV261" s="350">
        <f t="shared" si="107"/>
        <v>11603108.83743483</v>
      </c>
      <c r="AW261" s="350">
        <f t="shared" si="108"/>
        <v>11454260.574871507</v>
      </c>
      <c r="AX261" s="350">
        <f t="shared" si="109"/>
        <v>11252631.80292872</v>
      </c>
      <c r="AY261" s="350">
        <f t="shared" si="110"/>
        <v>57852961.916661665</v>
      </c>
      <c r="AZ261" s="365"/>
      <c r="BA261" s="377">
        <f t="shared" si="111"/>
        <v>0</v>
      </c>
      <c r="BB261" s="377">
        <f t="shared" si="112"/>
        <v>0</v>
      </c>
      <c r="BC261" s="377">
        <f t="shared" si="113"/>
        <v>0</v>
      </c>
      <c r="BD261" s="377">
        <f t="shared" si="114"/>
        <v>0</v>
      </c>
      <c r="BE261" s="377">
        <f t="shared" si="115"/>
        <v>0</v>
      </c>
      <c r="BF261" s="377">
        <f t="shared" si="116"/>
        <v>0</v>
      </c>
      <c r="BG261" s="328"/>
    </row>
    <row r="262" spans="2:59">
      <c r="B262" s="332">
        <v>247</v>
      </c>
      <c r="C262" s="350">
        <v>4252609.8401891161</v>
      </c>
      <c r="D262" s="350">
        <v>4237284.7877479475</v>
      </c>
      <c r="E262" s="350">
        <v>4220711.4948667753</v>
      </c>
      <c r="F262" s="350">
        <v>4200828.282281192</v>
      </c>
      <c r="G262" s="350">
        <v>4175808.7266855491</v>
      </c>
      <c r="H262" s="348">
        <v>21087243.131770581</v>
      </c>
      <c r="I262" s="369"/>
      <c r="J262" s="350">
        <v>13341983.059955804</v>
      </c>
      <c r="K262" s="350">
        <v>13048517.098850507</v>
      </c>
      <c r="L262" s="350">
        <v>12747331.571734663</v>
      </c>
      <c r="M262" s="350">
        <v>12418925.803051064</v>
      </c>
      <c r="N262" s="350">
        <v>12046960.846597478</v>
      </c>
      <c r="O262" s="348">
        <v>63603718.380189516</v>
      </c>
      <c r="P262" s="369"/>
      <c r="Q262" s="350">
        <f t="shared" si="117"/>
        <v>9089373.2197666876</v>
      </c>
      <c r="R262" s="350">
        <f t="shared" si="118"/>
        <v>8811232.3111025598</v>
      </c>
      <c r="S262" s="350">
        <f t="shared" si="119"/>
        <v>8526620.0768678878</v>
      </c>
      <c r="T262" s="350">
        <f t="shared" si="120"/>
        <v>8218097.5207698718</v>
      </c>
      <c r="U262" s="350">
        <f t="shared" si="121"/>
        <v>7871152.1199119287</v>
      </c>
      <c r="V262" s="350">
        <f t="shared" si="122"/>
        <v>42516475.248418935</v>
      </c>
      <c r="W262" s="365"/>
      <c r="X262" s="377">
        <f t="shared" si="100"/>
        <v>0</v>
      </c>
      <c r="Y262" s="377">
        <f t="shared" si="101"/>
        <v>0</v>
      </c>
      <c r="Z262" s="377">
        <f t="shared" si="102"/>
        <v>0</v>
      </c>
      <c r="AA262" s="377">
        <f t="shared" si="103"/>
        <v>0</v>
      </c>
      <c r="AB262" s="377">
        <f t="shared" si="104"/>
        <v>0</v>
      </c>
      <c r="AC262" s="377">
        <f t="shared" si="105"/>
        <v>0</v>
      </c>
      <c r="AD262" s="376"/>
      <c r="AE262" s="332">
        <v>247</v>
      </c>
      <c r="AF262" s="350">
        <v>563910.79139145464</v>
      </c>
      <c r="AG262" s="350">
        <v>561878.63636783964</v>
      </c>
      <c r="AH262" s="350">
        <v>559680.96033928369</v>
      </c>
      <c r="AI262" s="350">
        <v>557044.37749583111</v>
      </c>
      <c r="AJ262" s="350">
        <v>553726.69778233673</v>
      </c>
      <c r="AK262" s="348">
        <v>2796241.4633767456</v>
      </c>
      <c r="AL262" s="369"/>
      <c r="AM262" s="350">
        <v>16566879.575336702</v>
      </c>
      <c r="AN262" s="350">
        <v>16421312.667862685</v>
      </c>
      <c r="AO262" s="350">
        <v>16261691.718131302</v>
      </c>
      <c r="AP262" s="350">
        <v>16056735.000475336</v>
      </c>
      <c r="AQ262" s="350">
        <v>15779673.113083456</v>
      </c>
      <c r="AR262" s="348">
        <v>81086292.074889481</v>
      </c>
      <c r="AS262" s="369"/>
      <c r="AT262" s="350">
        <f t="shared" si="123"/>
        <v>16002968.783945248</v>
      </c>
      <c r="AU262" s="350">
        <f t="shared" si="106"/>
        <v>15859434.031494847</v>
      </c>
      <c r="AV262" s="350">
        <f t="shared" si="107"/>
        <v>15702010.757792018</v>
      </c>
      <c r="AW262" s="350">
        <f t="shared" si="108"/>
        <v>15499690.622979505</v>
      </c>
      <c r="AX262" s="350">
        <f t="shared" si="109"/>
        <v>15225946.415301118</v>
      </c>
      <c r="AY262" s="350">
        <f t="shared" si="110"/>
        <v>78290050.611512735</v>
      </c>
      <c r="AZ262" s="365"/>
      <c r="BA262" s="377">
        <f t="shared" si="111"/>
        <v>0</v>
      </c>
      <c r="BB262" s="377">
        <f t="shared" si="112"/>
        <v>0</v>
      </c>
      <c r="BC262" s="377">
        <f t="shared" si="113"/>
        <v>0</v>
      </c>
      <c r="BD262" s="377">
        <f t="shared" si="114"/>
        <v>0</v>
      </c>
      <c r="BE262" s="377">
        <f t="shared" si="115"/>
        <v>0</v>
      </c>
      <c r="BF262" s="377">
        <f t="shared" si="116"/>
        <v>0</v>
      </c>
      <c r="BG262" s="328"/>
    </row>
    <row r="263" spans="2:59">
      <c r="B263" s="332">
        <v>248</v>
      </c>
      <c r="C263" s="350">
        <v>6065438.3858049847</v>
      </c>
      <c r="D263" s="350">
        <v>6043580.4762308011</v>
      </c>
      <c r="E263" s="350">
        <v>6019942.218643507</v>
      </c>
      <c r="F263" s="350">
        <v>5991583.0685258564</v>
      </c>
      <c r="G263" s="350">
        <v>5955898.0236690622</v>
      </c>
      <c r="H263" s="348">
        <v>30076442.172874212</v>
      </c>
      <c r="I263" s="369"/>
      <c r="J263" s="350">
        <v>20830579.504381076</v>
      </c>
      <c r="K263" s="350">
        <v>20399031.93655315</v>
      </c>
      <c r="L263" s="350">
        <v>19954888.069017936</v>
      </c>
      <c r="M263" s="350">
        <v>19466841.653177164</v>
      </c>
      <c r="N263" s="350">
        <v>18908594.157148466</v>
      </c>
      <c r="O263" s="348">
        <v>99559935.320277795</v>
      </c>
      <c r="P263" s="369"/>
      <c r="Q263" s="350">
        <f t="shared" si="117"/>
        <v>14765141.118576091</v>
      </c>
      <c r="R263" s="350">
        <f t="shared" si="118"/>
        <v>14355451.46032235</v>
      </c>
      <c r="S263" s="350">
        <f t="shared" si="119"/>
        <v>13934945.850374429</v>
      </c>
      <c r="T263" s="350">
        <f t="shared" si="120"/>
        <v>13475258.584651308</v>
      </c>
      <c r="U263" s="350">
        <f t="shared" si="121"/>
        <v>12952696.133479403</v>
      </c>
      <c r="V263" s="350">
        <f t="shared" si="122"/>
        <v>69483493.147403583</v>
      </c>
      <c r="W263" s="365"/>
      <c r="X263" s="377">
        <f t="shared" si="100"/>
        <v>0</v>
      </c>
      <c r="Y263" s="377">
        <f t="shared" si="101"/>
        <v>0</v>
      </c>
      <c r="Z263" s="377">
        <f t="shared" si="102"/>
        <v>0</v>
      </c>
      <c r="AA263" s="377">
        <f t="shared" si="103"/>
        <v>0</v>
      </c>
      <c r="AB263" s="377">
        <f t="shared" si="104"/>
        <v>0</v>
      </c>
      <c r="AC263" s="377">
        <f t="shared" si="105"/>
        <v>0</v>
      </c>
      <c r="AD263" s="376"/>
      <c r="AE263" s="332">
        <v>248</v>
      </c>
      <c r="AF263" s="350">
        <v>479926.45184650272</v>
      </c>
      <c r="AG263" s="350">
        <v>478196.94965400337</v>
      </c>
      <c r="AH263" s="350">
        <v>476326.57782428461</v>
      </c>
      <c r="AI263" s="350">
        <v>474082.66643196088</v>
      </c>
      <c r="AJ263" s="350">
        <v>471259.09526154312</v>
      </c>
      <c r="AK263" s="348">
        <v>2379791.7410182948</v>
      </c>
      <c r="AL263" s="369"/>
      <c r="AM263" s="350">
        <v>11226638.094920896</v>
      </c>
      <c r="AN263" s="350">
        <v>11123456.813045327</v>
      </c>
      <c r="AO263" s="350">
        <v>11010844.378179405</v>
      </c>
      <c r="AP263" s="350">
        <v>10867749.085967965</v>
      </c>
      <c r="AQ263" s="350">
        <v>10676164.876185494</v>
      </c>
      <c r="AR263" s="348">
        <v>54904853.248299085</v>
      </c>
      <c r="AS263" s="369"/>
      <c r="AT263" s="350">
        <f t="shared" si="123"/>
        <v>10746711.643074393</v>
      </c>
      <c r="AU263" s="350">
        <f t="shared" si="106"/>
        <v>10645259.863391323</v>
      </c>
      <c r="AV263" s="350">
        <f t="shared" si="107"/>
        <v>10534517.80035512</v>
      </c>
      <c r="AW263" s="350">
        <f t="shared" si="108"/>
        <v>10393666.419536004</v>
      </c>
      <c r="AX263" s="350">
        <f t="shared" si="109"/>
        <v>10204905.78092395</v>
      </c>
      <c r="AY263" s="350">
        <f t="shared" si="110"/>
        <v>52525061.507280789</v>
      </c>
      <c r="AZ263" s="365"/>
      <c r="BA263" s="377">
        <f t="shared" si="111"/>
        <v>0</v>
      </c>
      <c r="BB263" s="377">
        <f t="shared" si="112"/>
        <v>0</v>
      </c>
      <c r="BC263" s="377">
        <f t="shared" si="113"/>
        <v>0</v>
      </c>
      <c r="BD263" s="377">
        <f t="shared" si="114"/>
        <v>0</v>
      </c>
      <c r="BE263" s="377">
        <f t="shared" si="115"/>
        <v>0</v>
      </c>
      <c r="BF263" s="377">
        <f t="shared" si="116"/>
        <v>0</v>
      </c>
      <c r="BG263" s="328"/>
    </row>
    <row r="264" spans="2:59">
      <c r="B264" s="332">
        <v>249</v>
      </c>
      <c r="C264" s="350">
        <v>3783737.479143776</v>
      </c>
      <c r="D264" s="350">
        <v>3770102.0934699015</v>
      </c>
      <c r="E264" s="350">
        <v>3755356.09235908</v>
      </c>
      <c r="F264" s="350">
        <v>3737665.1074126428</v>
      </c>
      <c r="G264" s="350">
        <v>3715404.0879971995</v>
      </c>
      <c r="H264" s="348">
        <v>18762264.860382598</v>
      </c>
      <c r="I264" s="369"/>
      <c r="J264" s="350">
        <v>14254181.322303642</v>
      </c>
      <c r="K264" s="350">
        <v>13975894.768035291</v>
      </c>
      <c r="L264" s="350">
        <v>13688641.176505301</v>
      </c>
      <c r="M264" s="350">
        <v>13370448.348914361</v>
      </c>
      <c r="N264" s="350">
        <v>13002816.422155421</v>
      </c>
      <c r="O264" s="348">
        <v>68291982.037914008</v>
      </c>
      <c r="P264" s="369"/>
      <c r="Q264" s="350">
        <f t="shared" si="117"/>
        <v>10470443.843159866</v>
      </c>
      <c r="R264" s="350">
        <f t="shared" si="118"/>
        <v>10205792.67456539</v>
      </c>
      <c r="S264" s="350">
        <f t="shared" si="119"/>
        <v>9933285.0841462202</v>
      </c>
      <c r="T264" s="350">
        <f t="shared" si="120"/>
        <v>9632783.2415017188</v>
      </c>
      <c r="U264" s="350">
        <f t="shared" si="121"/>
        <v>9287412.3341582213</v>
      </c>
      <c r="V264" s="350">
        <f t="shared" si="122"/>
        <v>49529717.177531406</v>
      </c>
      <c r="W264" s="365"/>
      <c r="X264" s="377">
        <f t="shared" si="100"/>
        <v>0</v>
      </c>
      <c r="Y264" s="377">
        <f t="shared" si="101"/>
        <v>0</v>
      </c>
      <c r="Z264" s="377">
        <f t="shared" si="102"/>
        <v>0</v>
      </c>
      <c r="AA264" s="377">
        <f t="shared" si="103"/>
        <v>0</v>
      </c>
      <c r="AB264" s="377">
        <f t="shared" si="104"/>
        <v>0</v>
      </c>
      <c r="AC264" s="377">
        <f t="shared" si="105"/>
        <v>0</v>
      </c>
      <c r="AD264" s="376"/>
      <c r="AE264" s="332">
        <v>249</v>
      </c>
      <c r="AF264" s="350">
        <v>449082.0032580134</v>
      </c>
      <c r="AG264" s="350">
        <v>447463.65464176505</v>
      </c>
      <c r="AH264" s="350">
        <v>445713.48995528917</v>
      </c>
      <c r="AI264" s="350">
        <v>443613.79276351916</v>
      </c>
      <c r="AJ264" s="350">
        <v>440971.69001491228</v>
      </c>
      <c r="AK264" s="348">
        <v>2226844.630633499</v>
      </c>
      <c r="AL264" s="369"/>
      <c r="AM264" s="350">
        <v>12355674.853766879</v>
      </c>
      <c r="AN264" s="350">
        <v>12245787.262434432</v>
      </c>
      <c r="AO264" s="350">
        <v>12125445.099542618</v>
      </c>
      <c r="AP264" s="350">
        <v>11971360.999265146</v>
      </c>
      <c r="AQ264" s="350">
        <v>11763609.368180912</v>
      </c>
      <c r="AR264" s="348">
        <v>60461877.583189994</v>
      </c>
      <c r="AS264" s="369"/>
      <c r="AT264" s="350">
        <f t="shared" si="123"/>
        <v>11906592.850508865</v>
      </c>
      <c r="AU264" s="350">
        <f t="shared" si="106"/>
        <v>11798323.607792668</v>
      </c>
      <c r="AV264" s="350">
        <f t="shared" si="107"/>
        <v>11679731.609587329</v>
      </c>
      <c r="AW264" s="350">
        <f t="shared" si="108"/>
        <v>11527747.206501625</v>
      </c>
      <c r="AX264" s="350">
        <f t="shared" si="109"/>
        <v>11322637.678166</v>
      </c>
      <c r="AY264" s="350">
        <f t="shared" si="110"/>
        <v>58235032.952556498</v>
      </c>
      <c r="AZ264" s="365"/>
      <c r="BA264" s="377">
        <f t="shared" si="111"/>
        <v>0</v>
      </c>
      <c r="BB264" s="377">
        <f t="shared" si="112"/>
        <v>0</v>
      </c>
      <c r="BC264" s="377">
        <f t="shared" si="113"/>
        <v>0</v>
      </c>
      <c r="BD264" s="377">
        <f t="shared" si="114"/>
        <v>0</v>
      </c>
      <c r="BE264" s="377">
        <f t="shared" si="115"/>
        <v>0</v>
      </c>
      <c r="BF264" s="377">
        <f t="shared" si="116"/>
        <v>0</v>
      </c>
      <c r="BG264" s="328"/>
    </row>
    <row r="265" spans="2:59">
      <c r="B265" s="332">
        <v>250</v>
      </c>
      <c r="C265" s="350">
        <v>3906221.0052965917</v>
      </c>
      <c r="D265" s="350">
        <v>3892144.2279757028</v>
      </c>
      <c r="E265" s="350">
        <v>3876920.8834385313</v>
      </c>
      <c r="F265" s="350">
        <v>3858657.2228693003</v>
      </c>
      <c r="G265" s="350">
        <v>3835675.5910517578</v>
      </c>
      <c r="H265" s="348">
        <v>19369618.930631883</v>
      </c>
      <c r="I265" s="369"/>
      <c r="J265" s="350">
        <v>13255242.213458858</v>
      </c>
      <c r="K265" s="350">
        <v>12978472.591787692</v>
      </c>
      <c r="L265" s="350">
        <v>12693731.611547451</v>
      </c>
      <c r="M265" s="350">
        <v>12381167.763844326</v>
      </c>
      <c r="N265" s="350">
        <v>12024110.339807292</v>
      </c>
      <c r="O265" s="348">
        <v>63332724.520445623</v>
      </c>
      <c r="P265" s="369"/>
      <c r="Q265" s="350">
        <f t="shared" si="117"/>
        <v>9349021.2081622668</v>
      </c>
      <c r="R265" s="350">
        <f t="shared" si="118"/>
        <v>9086328.3638119884</v>
      </c>
      <c r="S265" s="350">
        <f t="shared" si="119"/>
        <v>8816810.7281089202</v>
      </c>
      <c r="T265" s="350">
        <f t="shared" si="120"/>
        <v>8522510.5409750268</v>
      </c>
      <c r="U265" s="350">
        <f t="shared" si="121"/>
        <v>8188434.7487555351</v>
      </c>
      <c r="V265" s="350">
        <f t="shared" si="122"/>
        <v>43963105.589813739</v>
      </c>
      <c r="W265" s="365"/>
      <c r="X265" s="377">
        <f t="shared" si="100"/>
        <v>0</v>
      </c>
      <c r="Y265" s="377">
        <f t="shared" si="101"/>
        <v>0</v>
      </c>
      <c r="Z265" s="377">
        <f t="shared" si="102"/>
        <v>0</v>
      </c>
      <c r="AA265" s="377">
        <f t="shared" si="103"/>
        <v>0</v>
      </c>
      <c r="AB265" s="377">
        <f t="shared" si="104"/>
        <v>0</v>
      </c>
      <c r="AC265" s="377">
        <f t="shared" si="105"/>
        <v>0</v>
      </c>
      <c r="AD265" s="376"/>
      <c r="AE265" s="332">
        <v>250</v>
      </c>
      <c r="AF265" s="350">
        <v>492665.34663357784</v>
      </c>
      <c r="AG265" s="350">
        <v>490889.93751850841</v>
      </c>
      <c r="AH265" s="350">
        <v>488969.91960268666</v>
      </c>
      <c r="AI265" s="350">
        <v>486666.44710255502</v>
      </c>
      <c r="AJ265" s="350">
        <v>483767.92866485176</v>
      </c>
      <c r="AK265" s="348">
        <v>2442959.5795221799</v>
      </c>
      <c r="AL265" s="369"/>
      <c r="AM265" s="350">
        <v>16580052.158907378</v>
      </c>
      <c r="AN265" s="350">
        <v>16437695.838164864</v>
      </c>
      <c r="AO265" s="350">
        <v>16281206.37678176</v>
      </c>
      <c r="AP265" s="350">
        <v>16079169.747733312</v>
      </c>
      <c r="AQ265" s="350">
        <v>15804696.748704584</v>
      </c>
      <c r="AR265" s="348">
        <v>81182820.870291904</v>
      </c>
      <c r="AS265" s="369"/>
      <c r="AT265" s="350">
        <f t="shared" si="123"/>
        <v>16087386.8122738</v>
      </c>
      <c r="AU265" s="350">
        <f t="shared" si="106"/>
        <v>15946805.900646355</v>
      </c>
      <c r="AV265" s="350">
        <f t="shared" si="107"/>
        <v>15792236.457179073</v>
      </c>
      <c r="AW265" s="350">
        <f t="shared" si="108"/>
        <v>15592503.300630758</v>
      </c>
      <c r="AX265" s="350">
        <f t="shared" si="109"/>
        <v>15320928.820039732</v>
      </c>
      <c r="AY265" s="350">
        <f t="shared" si="110"/>
        <v>78739861.290769726</v>
      </c>
      <c r="AZ265" s="365"/>
      <c r="BA265" s="377">
        <f t="shared" si="111"/>
        <v>0</v>
      </c>
      <c r="BB265" s="377">
        <f t="shared" si="112"/>
        <v>0</v>
      </c>
      <c r="BC265" s="377">
        <f t="shared" si="113"/>
        <v>0</v>
      </c>
      <c r="BD265" s="377">
        <f t="shared" si="114"/>
        <v>0</v>
      </c>
      <c r="BE265" s="377">
        <f t="shared" si="115"/>
        <v>0</v>
      </c>
      <c r="BF265" s="377">
        <f t="shared" si="116"/>
        <v>0</v>
      </c>
      <c r="BG265" s="328"/>
    </row>
    <row r="266" spans="2:59">
      <c r="B266" s="332">
        <v>251</v>
      </c>
      <c r="C266" s="350">
        <v>8548838.3355797306</v>
      </c>
      <c r="D266" s="350">
        <v>8518031.0429459885</v>
      </c>
      <c r="E266" s="350">
        <v>8484714.4663368687</v>
      </c>
      <c r="F266" s="350">
        <v>8444744.1007557735</v>
      </c>
      <c r="G266" s="350">
        <v>8394448.3661238644</v>
      </c>
      <c r="H266" s="348">
        <v>42390776.311742224</v>
      </c>
      <c r="I266" s="369"/>
      <c r="J266" s="350">
        <v>24262331.029713389</v>
      </c>
      <c r="K266" s="350">
        <v>23690828.966819607</v>
      </c>
      <c r="L266" s="350">
        <v>23106061.51646525</v>
      </c>
      <c r="M266" s="350">
        <v>22473788.754091095</v>
      </c>
      <c r="N266" s="350">
        <v>21765418.962369107</v>
      </c>
      <c r="O266" s="348">
        <v>115298429.22945845</v>
      </c>
      <c r="P266" s="369"/>
      <c r="Q266" s="350">
        <f t="shared" si="117"/>
        <v>15713492.694133658</v>
      </c>
      <c r="R266" s="350">
        <f t="shared" si="118"/>
        <v>15172797.923873618</v>
      </c>
      <c r="S266" s="350">
        <f t="shared" si="119"/>
        <v>14621347.050128382</v>
      </c>
      <c r="T266" s="350">
        <f t="shared" si="120"/>
        <v>14029044.653335322</v>
      </c>
      <c r="U266" s="350">
        <f t="shared" si="121"/>
        <v>13370970.596245242</v>
      </c>
      <c r="V266" s="350">
        <f t="shared" si="122"/>
        <v>72907652.917716235</v>
      </c>
      <c r="W266" s="365"/>
      <c r="X266" s="377">
        <f t="shared" si="100"/>
        <v>0</v>
      </c>
      <c r="Y266" s="377">
        <f t="shared" si="101"/>
        <v>0</v>
      </c>
      <c r="Z266" s="377">
        <f t="shared" si="102"/>
        <v>0</v>
      </c>
      <c r="AA266" s="377">
        <f t="shared" si="103"/>
        <v>0</v>
      </c>
      <c r="AB266" s="377">
        <f t="shared" si="104"/>
        <v>0</v>
      </c>
      <c r="AC266" s="377">
        <f t="shared" si="105"/>
        <v>0</v>
      </c>
      <c r="AD266" s="376"/>
      <c r="AE266" s="332">
        <v>251</v>
      </c>
      <c r="AF266" s="350">
        <v>289006.35892192245</v>
      </c>
      <c r="AG266" s="350">
        <v>287964.87198266614</v>
      </c>
      <c r="AH266" s="350">
        <v>286838.55491833814</v>
      </c>
      <c r="AI266" s="350">
        <v>285487.29649375286</v>
      </c>
      <c r="AJ266" s="350">
        <v>283786.9734130397</v>
      </c>
      <c r="AK266" s="348">
        <v>1433084.0557297193</v>
      </c>
      <c r="AL266" s="369"/>
      <c r="AM266" s="350">
        <v>12774106.346980322</v>
      </c>
      <c r="AN266" s="350">
        <v>12668629.888322109</v>
      </c>
      <c r="AO266" s="350">
        <v>12552178.74176033</v>
      </c>
      <c r="AP266" s="350">
        <v>12400414.25011008</v>
      </c>
      <c r="AQ266" s="350">
        <v>12192495.168258052</v>
      </c>
      <c r="AR266" s="348">
        <v>62587824.395430893</v>
      </c>
      <c r="AS266" s="369"/>
      <c r="AT266" s="350">
        <f t="shared" si="123"/>
        <v>12485099.988058399</v>
      </c>
      <c r="AU266" s="350">
        <f t="shared" si="106"/>
        <v>12380665.016339444</v>
      </c>
      <c r="AV266" s="350">
        <f t="shared" si="107"/>
        <v>12265340.186841993</v>
      </c>
      <c r="AW266" s="350">
        <f t="shared" si="108"/>
        <v>12114926.953616329</v>
      </c>
      <c r="AX266" s="350">
        <f t="shared" si="109"/>
        <v>11908708.194845013</v>
      </c>
      <c r="AY266" s="350">
        <f t="shared" si="110"/>
        <v>61154740.339701176</v>
      </c>
      <c r="AZ266" s="365"/>
      <c r="BA266" s="377">
        <f t="shared" si="111"/>
        <v>0</v>
      </c>
      <c r="BB266" s="377">
        <f t="shared" si="112"/>
        <v>0</v>
      </c>
      <c r="BC266" s="377">
        <f t="shared" si="113"/>
        <v>0</v>
      </c>
      <c r="BD266" s="377">
        <f t="shared" si="114"/>
        <v>0</v>
      </c>
      <c r="BE266" s="377">
        <f t="shared" si="115"/>
        <v>0</v>
      </c>
      <c r="BF266" s="377">
        <f t="shared" si="116"/>
        <v>0</v>
      </c>
      <c r="BG266" s="328"/>
    </row>
    <row r="267" spans="2:59">
      <c r="B267" s="332">
        <v>252</v>
      </c>
      <c r="C267" s="350">
        <v>4795754.7181216348</v>
      </c>
      <c r="D267" s="350">
        <v>4778472.3444000594</v>
      </c>
      <c r="E267" s="350">
        <v>4759782.3045147741</v>
      </c>
      <c r="F267" s="350">
        <v>4737359.6007746905</v>
      </c>
      <c r="G267" s="350">
        <v>4709144.5384242311</v>
      </c>
      <c r="H267" s="348">
        <v>23780513.506235391</v>
      </c>
      <c r="I267" s="369"/>
      <c r="J267" s="350">
        <v>14706060.975793339</v>
      </c>
      <c r="K267" s="350">
        <v>14377563.686709169</v>
      </c>
      <c r="L267" s="350">
        <v>14040660.24888368</v>
      </c>
      <c r="M267" s="350">
        <v>13674018.61802334</v>
      </c>
      <c r="N267" s="350">
        <v>13259778.261457328</v>
      </c>
      <c r="O267" s="348">
        <v>70058081.790866852</v>
      </c>
      <c r="P267" s="369"/>
      <c r="Q267" s="350">
        <f t="shared" si="117"/>
        <v>9910306.2576717045</v>
      </c>
      <c r="R267" s="350">
        <f t="shared" si="118"/>
        <v>9599091.3423091099</v>
      </c>
      <c r="S267" s="350">
        <f t="shared" si="119"/>
        <v>9280877.9443689063</v>
      </c>
      <c r="T267" s="350">
        <f t="shared" si="120"/>
        <v>8936659.0172486492</v>
      </c>
      <c r="U267" s="350">
        <f t="shared" si="121"/>
        <v>8550633.7230330966</v>
      </c>
      <c r="V267" s="350">
        <f t="shared" si="122"/>
        <v>46277568.284631461</v>
      </c>
      <c r="W267" s="365"/>
      <c r="X267" s="377">
        <f t="shared" si="100"/>
        <v>0</v>
      </c>
      <c r="Y267" s="377">
        <f t="shared" si="101"/>
        <v>0</v>
      </c>
      <c r="Z267" s="377">
        <f t="shared" si="102"/>
        <v>0</v>
      </c>
      <c r="AA267" s="377">
        <f t="shared" si="103"/>
        <v>0</v>
      </c>
      <c r="AB267" s="377">
        <f t="shared" si="104"/>
        <v>0</v>
      </c>
      <c r="AC267" s="377">
        <f t="shared" si="105"/>
        <v>0</v>
      </c>
      <c r="AD267" s="376"/>
      <c r="AE267" s="332">
        <v>252</v>
      </c>
      <c r="AF267" s="350">
        <v>281144.19528954243</v>
      </c>
      <c r="AG267" s="350">
        <v>280131.04108582868</v>
      </c>
      <c r="AH267" s="350">
        <v>279035.36448593443</v>
      </c>
      <c r="AI267" s="350">
        <v>277720.86585751188</v>
      </c>
      <c r="AJ267" s="350">
        <v>276066.79856971063</v>
      </c>
      <c r="AK267" s="348">
        <v>1394098.2652885283</v>
      </c>
      <c r="AL267" s="369"/>
      <c r="AM267" s="350">
        <v>9545254.0043486785</v>
      </c>
      <c r="AN267" s="350">
        <v>9463413.833612483</v>
      </c>
      <c r="AO267" s="350">
        <v>9373434.7572597302</v>
      </c>
      <c r="AP267" s="350">
        <v>9257227.7701614611</v>
      </c>
      <c r="AQ267" s="350">
        <v>9099309.1501257345</v>
      </c>
      <c r="AR267" s="348">
        <v>46738639.515508085</v>
      </c>
      <c r="AS267" s="369"/>
      <c r="AT267" s="350">
        <f t="shared" si="123"/>
        <v>9264109.8090591356</v>
      </c>
      <c r="AU267" s="350">
        <f t="shared" si="106"/>
        <v>9183282.7925266549</v>
      </c>
      <c r="AV267" s="350">
        <f t="shared" si="107"/>
        <v>9094399.3927737959</v>
      </c>
      <c r="AW267" s="350">
        <f t="shared" si="108"/>
        <v>8979506.9043039493</v>
      </c>
      <c r="AX267" s="350">
        <f t="shared" si="109"/>
        <v>8823242.3515560236</v>
      </c>
      <c r="AY267" s="350">
        <f t="shared" si="110"/>
        <v>45344541.250219554</v>
      </c>
      <c r="AZ267" s="365"/>
      <c r="BA267" s="377">
        <f t="shared" si="111"/>
        <v>0</v>
      </c>
      <c r="BB267" s="377">
        <f t="shared" si="112"/>
        <v>0</v>
      </c>
      <c r="BC267" s="377">
        <f t="shared" si="113"/>
        <v>0</v>
      </c>
      <c r="BD267" s="377">
        <f t="shared" si="114"/>
        <v>0</v>
      </c>
      <c r="BE267" s="377">
        <f t="shared" si="115"/>
        <v>0</v>
      </c>
      <c r="BF267" s="377">
        <f t="shared" si="116"/>
        <v>0</v>
      </c>
      <c r="BG267" s="328"/>
    </row>
    <row r="268" spans="2:59">
      <c r="B268" s="332">
        <v>253</v>
      </c>
      <c r="C268" s="350">
        <v>6580628.5876073577</v>
      </c>
      <c r="D268" s="350">
        <v>6556914.0965087693</v>
      </c>
      <c r="E268" s="350">
        <v>6531268.0370245576</v>
      </c>
      <c r="F268" s="350">
        <v>6500500.0987299057</v>
      </c>
      <c r="G268" s="350">
        <v>6461784.0140221221</v>
      </c>
      <c r="H268" s="348">
        <v>32631094.833892711</v>
      </c>
      <c r="I268" s="369"/>
      <c r="J268" s="350">
        <v>25889418.133689199</v>
      </c>
      <c r="K268" s="350">
        <v>25397506.748477168</v>
      </c>
      <c r="L268" s="350">
        <v>24889032.500122864</v>
      </c>
      <c r="M268" s="350">
        <v>24323650.954253912</v>
      </c>
      <c r="N268" s="350">
        <v>23667360.6285174</v>
      </c>
      <c r="O268" s="348">
        <v>124166968.96506055</v>
      </c>
      <c r="P268" s="369"/>
      <c r="Q268" s="350">
        <f t="shared" si="117"/>
        <v>19308789.546081841</v>
      </c>
      <c r="R268" s="350">
        <f t="shared" si="118"/>
        <v>18840592.651968397</v>
      </c>
      <c r="S268" s="350">
        <f t="shared" si="119"/>
        <v>18357764.463098306</v>
      </c>
      <c r="T268" s="350">
        <f t="shared" si="120"/>
        <v>17823150.855524007</v>
      </c>
      <c r="U268" s="350">
        <f t="shared" si="121"/>
        <v>17205576.614495277</v>
      </c>
      <c r="V268" s="350">
        <f t="shared" si="122"/>
        <v>91535874.131167829</v>
      </c>
      <c r="W268" s="365"/>
      <c r="X268" s="377">
        <f t="shared" si="100"/>
        <v>0</v>
      </c>
      <c r="Y268" s="377">
        <f t="shared" si="101"/>
        <v>0</v>
      </c>
      <c r="Z268" s="377">
        <f t="shared" si="102"/>
        <v>0</v>
      </c>
      <c r="AA268" s="377">
        <f t="shared" si="103"/>
        <v>0</v>
      </c>
      <c r="AB268" s="377">
        <f t="shared" si="104"/>
        <v>0</v>
      </c>
      <c r="AC268" s="377">
        <f t="shared" si="105"/>
        <v>0</v>
      </c>
      <c r="AD268" s="376"/>
      <c r="AE268" s="332">
        <v>253</v>
      </c>
      <c r="AF268" s="350">
        <v>461192.23056679766</v>
      </c>
      <c r="AG268" s="350">
        <v>459530.24054549308</v>
      </c>
      <c r="AH268" s="350">
        <v>457732.87981903518</v>
      </c>
      <c r="AI268" s="350">
        <v>455576.56087425008</v>
      </c>
      <c r="AJ268" s="350">
        <v>452863.2095237695</v>
      </c>
      <c r="AK268" s="348">
        <v>2286895.1213293453</v>
      </c>
      <c r="AL268" s="369"/>
      <c r="AM268" s="350">
        <v>14821747.283507934</v>
      </c>
      <c r="AN268" s="350">
        <v>14693523.941831183</v>
      </c>
      <c r="AO268" s="350">
        <v>14552685.95221569</v>
      </c>
      <c r="AP268" s="350">
        <v>14371181.855102519</v>
      </c>
      <c r="AQ268" s="350">
        <v>14125002.578006763</v>
      </c>
      <c r="AR268" s="348">
        <v>72564141.610664085</v>
      </c>
      <c r="AS268" s="369"/>
      <c r="AT268" s="350">
        <f t="shared" si="123"/>
        <v>14360555.052941136</v>
      </c>
      <c r="AU268" s="350">
        <f t="shared" si="106"/>
        <v>14233993.70128569</v>
      </c>
      <c r="AV268" s="350">
        <f t="shared" si="107"/>
        <v>14094953.072396655</v>
      </c>
      <c r="AW268" s="350">
        <f t="shared" si="108"/>
        <v>13915605.294228269</v>
      </c>
      <c r="AX268" s="350">
        <f t="shared" si="109"/>
        <v>13672139.368482994</v>
      </c>
      <c r="AY268" s="350">
        <f t="shared" si="110"/>
        <v>70277246.489334732</v>
      </c>
      <c r="AZ268" s="365"/>
      <c r="BA268" s="377">
        <f t="shared" si="111"/>
        <v>0</v>
      </c>
      <c r="BB268" s="377">
        <f t="shared" si="112"/>
        <v>0</v>
      </c>
      <c r="BC268" s="377">
        <f t="shared" si="113"/>
        <v>0</v>
      </c>
      <c r="BD268" s="377">
        <f t="shared" si="114"/>
        <v>0</v>
      </c>
      <c r="BE268" s="377">
        <f t="shared" si="115"/>
        <v>0</v>
      </c>
      <c r="BF268" s="377">
        <f t="shared" si="116"/>
        <v>0</v>
      </c>
      <c r="BG268" s="328"/>
    </row>
    <row r="269" spans="2:59">
      <c r="B269" s="332">
        <v>254</v>
      </c>
      <c r="C269" s="350">
        <v>7083781.8209082652</v>
      </c>
      <c r="D269" s="350">
        <v>7058254.1256889002</v>
      </c>
      <c r="E269" s="350">
        <v>7030647.1748431548</v>
      </c>
      <c r="F269" s="350">
        <v>6997526.7276006332</v>
      </c>
      <c r="G269" s="350">
        <v>6955850.4206371587</v>
      </c>
      <c r="H269" s="348">
        <v>35126060.269678116</v>
      </c>
      <c r="I269" s="369"/>
      <c r="J269" s="350">
        <v>24274223.45440378</v>
      </c>
      <c r="K269" s="350">
        <v>23770608.906801719</v>
      </c>
      <c r="L269" s="350">
        <v>23252330.48318537</v>
      </c>
      <c r="M269" s="350">
        <v>22682929.900117811</v>
      </c>
      <c r="N269" s="350">
        <v>22031782.507901099</v>
      </c>
      <c r="O269" s="348">
        <v>116011875.25240979</v>
      </c>
      <c r="P269" s="369"/>
      <c r="Q269" s="350">
        <f t="shared" si="117"/>
        <v>17190441.633495517</v>
      </c>
      <c r="R269" s="350">
        <f t="shared" si="118"/>
        <v>16712354.78111282</v>
      </c>
      <c r="S269" s="350">
        <f t="shared" si="119"/>
        <v>16221683.308342215</v>
      </c>
      <c r="T269" s="350">
        <f t="shared" si="120"/>
        <v>15685403.172517177</v>
      </c>
      <c r="U269" s="350">
        <f t="shared" si="121"/>
        <v>15075932.08726394</v>
      </c>
      <c r="V269" s="350">
        <f t="shared" si="122"/>
        <v>80885814.98273167</v>
      </c>
      <c r="W269" s="365"/>
      <c r="X269" s="377">
        <f t="shared" si="100"/>
        <v>0</v>
      </c>
      <c r="Y269" s="377">
        <f t="shared" si="101"/>
        <v>0</v>
      </c>
      <c r="Z269" s="377">
        <f t="shared" si="102"/>
        <v>0</v>
      </c>
      <c r="AA269" s="377">
        <f t="shared" si="103"/>
        <v>0</v>
      </c>
      <c r="AB269" s="377">
        <f t="shared" si="104"/>
        <v>0</v>
      </c>
      <c r="AC269" s="377">
        <f t="shared" si="105"/>
        <v>0</v>
      </c>
      <c r="AD269" s="376"/>
      <c r="AE269" s="332">
        <v>254</v>
      </c>
      <c r="AF269" s="350">
        <v>599387.05637761462</v>
      </c>
      <c r="AG269" s="350">
        <v>597227.05618555925</v>
      </c>
      <c r="AH269" s="350">
        <v>594891.1218751386</v>
      </c>
      <c r="AI269" s="350">
        <v>592088.66862622439</v>
      </c>
      <c r="AJ269" s="350">
        <v>588562.26993367891</v>
      </c>
      <c r="AK269" s="348">
        <v>2972156.172998216</v>
      </c>
      <c r="AL269" s="369"/>
      <c r="AM269" s="350">
        <v>15091409.550562734</v>
      </c>
      <c r="AN269" s="350">
        <v>14954830.923789073</v>
      </c>
      <c r="AO269" s="350">
        <v>14805531.120374966</v>
      </c>
      <c r="AP269" s="350">
        <v>14615142.824571613</v>
      </c>
      <c r="AQ269" s="350">
        <v>14359398.516293392</v>
      </c>
      <c r="AR269" s="348">
        <v>73826312.935591772</v>
      </c>
      <c r="AS269" s="369"/>
      <c r="AT269" s="350">
        <f t="shared" si="123"/>
        <v>14492022.49418512</v>
      </c>
      <c r="AU269" s="350">
        <f t="shared" si="106"/>
        <v>14357603.867603514</v>
      </c>
      <c r="AV269" s="350">
        <f t="shared" si="107"/>
        <v>14210639.998499827</v>
      </c>
      <c r="AW269" s="350">
        <f t="shared" si="108"/>
        <v>14023054.155945389</v>
      </c>
      <c r="AX269" s="350">
        <f t="shared" si="109"/>
        <v>13770836.246359713</v>
      </c>
      <c r="AY269" s="350">
        <f t="shared" si="110"/>
        <v>70854156.762593552</v>
      </c>
      <c r="AZ269" s="365"/>
      <c r="BA269" s="377">
        <f t="shared" si="111"/>
        <v>0</v>
      </c>
      <c r="BB269" s="377">
        <f t="shared" si="112"/>
        <v>0</v>
      </c>
      <c r="BC269" s="377">
        <f t="shared" si="113"/>
        <v>0</v>
      </c>
      <c r="BD269" s="377">
        <f t="shared" si="114"/>
        <v>0</v>
      </c>
      <c r="BE269" s="377">
        <f t="shared" si="115"/>
        <v>0</v>
      </c>
      <c r="BF269" s="377">
        <f t="shared" si="116"/>
        <v>0</v>
      </c>
      <c r="BG269" s="328"/>
    </row>
    <row r="270" spans="2:59">
      <c r="B270" s="332">
        <v>255</v>
      </c>
      <c r="C270" s="350">
        <v>6481986.94924263</v>
      </c>
      <c r="D270" s="350">
        <v>6458627.9312153161</v>
      </c>
      <c r="E270" s="350">
        <v>6433366.2984300787</v>
      </c>
      <c r="F270" s="350">
        <v>6403059.5622534463</v>
      </c>
      <c r="G270" s="350">
        <v>6364923.8199819196</v>
      </c>
      <c r="H270" s="348">
        <v>32141964.561123386</v>
      </c>
      <c r="I270" s="369"/>
      <c r="J270" s="350">
        <v>23436744.824197233</v>
      </c>
      <c r="K270" s="350">
        <v>22967087.355886042</v>
      </c>
      <c r="L270" s="350">
        <v>22482933.320794381</v>
      </c>
      <c r="M270" s="350">
        <v>21948546.732543223</v>
      </c>
      <c r="N270" s="350">
        <v>21333868.405982643</v>
      </c>
      <c r="O270" s="348">
        <v>112169180.63940352</v>
      </c>
      <c r="P270" s="369"/>
      <c r="Q270" s="350">
        <f t="shared" si="117"/>
        <v>16954757.874954604</v>
      </c>
      <c r="R270" s="350">
        <f t="shared" si="118"/>
        <v>16508459.424670726</v>
      </c>
      <c r="S270" s="350">
        <f t="shared" si="119"/>
        <v>16049567.022364303</v>
      </c>
      <c r="T270" s="350">
        <f t="shared" si="120"/>
        <v>15545487.170289777</v>
      </c>
      <c r="U270" s="350">
        <f t="shared" si="121"/>
        <v>14968944.586000724</v>
      </c>
      <c r="V270" s="350">
        <f t="shared" si="122"/>
        <v>80027216.078280136</v>
      </c>
      <c r="W270" s="365"/>
      <c r="X270" s="377">
        <f t="shared" si="100"/>
        <v>0</v>
      </c>
      <c r="Y270" s="377">
        <f t="shared" si="101"/>
        <v>0</v>
      </c>
      <c r="Z270" s="377">
        <f t="shared" si="102"/>
        <v>0</v>
      </c>
      <c r="AA270" s="377">
        <f t="shared" si="103"/>
        <v>0</v>
      </c>
      <c r="AB270" s="377">
        <f t="shared" si="104"/>
        <v>0</v>
      </c>
      <c r="AC270" s="377">
        <f t="shared" si="105"/>
        <v>0</v>
      </c>
      <c r="AD270" s="376"/>
      <c r="AE270" s="332">
        <v>255</v>
      </c>
      <c r="AF270" s="350">
        <v>464491.36502717622</v>
      </c>
      <c r="AG270" s="350">
        <v>462817.48597524915</v>
      </c>
      <c r="AH270" s="350">
        <v>461007.26784505072</v>
      </c>
      <c r="AI270" s="350">
        <v>458835.52369214897</v>
      </c>
      <c r="AJ270" s="350">
        <v>456102.7624072631</v>
      </c>
      <c r="AK270" s="348">
        <v>2303254.4049468883</v>
      </c>
      <c r="AL270" s="369"/>
      <c r="AM270" s="350">
        <v>15344421.036075462</v>
      </c>
      <c r="AN270" s="350">
        <v>15212277.526986971</v>
      </c>
      <c r="AO270" s="350">
        <v>15067062.244700024</v>
      </c>
      <c r="AP270" s="350">
        <v>14879715.097374855</v>
      </c>
      <c r="AQ270" s="350">
        <v>14625362.542626958</v>
      </c>
      <c r="AR270" s="348">
        <v>75128838.447764277</v>
      </c>
      <c r="AS270" s="369"/>
      <c r="AT270" s="350">
        <f t="shared" si="123"/>
        <v>14879929.671048285</v>
      </c>
      <c r="AU270" s="350">
        <f t="shared" si="106"/>
        <v>14749460.041011723</v>
      </c>
      <c r="AV270" s="350">
        <f t="shared" si="107"/>
        <v>14606054.976854973</v>
      </c>
      <c r="AW270" s="350">
        <f t="shared" si="108"/>
        <v>14420879.573682705</v>
      </c>
      <c r="AX270" s="350">
        <f t="shared" si="109"/>
        <v>14169259.780219695</v>
      </c>
      <c r="AY270" s="350">
        <f t="shared" si="110"/>
        <v>72825584.042817384</v>
      </c>
      <c r="AZ270" s="365"/>
      <c r="BA270" s="377">
        <f t="shared" si="111"/>
        <v>0</v>
      </c>
      <c r="BB270" s="377">
        <f t="shared" si="112"/>
        <v>0</v>
      </c>
      <c r="BC270" s="377">
        <f t="shared" si="113"/>
        <v>0</v>
      </c>
      <c r="BD270" s="377">
        <f t="shared" si="114"/>
        <v>0</v>
      </c>
      <c r="BE270" s="377">
        <f t="shared" si="115"/>
        <v>0</v>
      </c>
      <c r="BF270" s="377">
        <f t="shared" si="116"/>
        <v>0</v>
      </c>
      <c r="BG270" s="328"/>
    </row>
    <row r="271" spans="2:59">
      <c r="B271" s="332">
        <v>256</v>
      </c>
      <c r="C271" s="350">
        <v>5587581.0855284557</v>
      </c>
      <c r="D271" s="350">
        <v>5567445.2215830348</v>
      </c>
      <c r="E271" s="350">
        <v>5545669.2719173478</v>
      </c>
      <c r="F271" s="350">
        <v>5519544.358808036</v>
      </c>
      <c r="G271" s="350">
        <v>5486670.7115965327</v>
      </c>
      <c r="H271" s="348">
        <v>27706910.649433408</v>
      </c>
      <c r="I271" s="369"/>
      <c r="J271" s="350">
        <v>22235746.087537088</v>
      </c>
      <c r="K271" s="350">
        <v>21816241.792771045</v>
      </c>
      <c r="L271" s="350">
        <v>21382451.121388633</v>
      </c>
      <c r="M271" s="350">
        <v>20899626.86750586</v>
      </c>
      <c r="N271" s="350">
        <v>20338477.621261582</v>
      </c>
      <c r="O271" s="348">
        <v>106672543.49046421</v>
      </c>
      <c r="P271" s="369"/>
      <c r="Q271" s="350">
        <f t="shared" si="117"/>
        <v>16648165.002008632</v>
      </c>
      <c r="R271" s="350">
        <f t="shared" si="118"/>
        <v>16248796.57118801</v>
      </c>
      <c r="S271" s="350">
        <f t="shared" si="119"/>
        <v>15836781.849471286</v>
      </c>
      <c r="T271" s="350">
        <f t="shared" si="120"/>
        <v>15380082.508697823</v>
      </c>
      <c r="U271" s="350">
        <f t="shared" si="121"/>
        <v>14851806.909665048</v>
      </c>
      <c r="V271" s="350">
        <f t="shared" si="122"/>
        <v>78965632.841030806</v>
      </c>
      <c r="W271" s="365"/>
      <c r="X271" s="377">
        <f t="shared" si="100"/>
        <v>0</v>
      </c>
      <c r="Y271" s="377">
        <f t="shared" si="101"/>
        <v>0</v>
      </c>
      <c r="Z271" s="377">
        <f t="shared" si="102"/>
        <v>0</v>
      </c>
      <c r="AA271" s="377">
        <f t="shared" si="103"/>
        <v>0</v>
      </c>
      <c r="AB271" s="377">
        <f t="shared" si="104"/>
        <v>0</v>
      </c>
      <c r="AC271" s="377">
        <f t="shared" si="105"/>
        <v>0</v>
      </c>
      <c r="AD271" s="376"/>
      <c r="AE271" s="332">
        <v>256</v>
      </c>
      <c r="AF271" s="350">
        <v>335629.47896414308</v>
      </c>
      <c r="AG271" s="350">
        <v>334419.97713838925</v>
      </c>
      <c r="AH271" s="350">
        <v>333111.96021149878</v>
      </c>
      <c r="AI271" s="350">
        <v>331542.71390604984</v>
      </c>
      <c r="AJ271" s="350">
        <v>329568.09109228465</v>
      </c>
      <c r="AK271" s="348">
        <v>1664272.2213123655</v>
      </c>
      <c r="AL271" s="369"/>
      <c r="AM271" s="350">
        <v>8538000.7187661845</v>
      </c>
      <c r="AN271" s="350">
        <v>8460892.2720199507</v>
      </c>
      <c r="AO271" s="350">
        <v>8376583.497014367</v>
      </c>
      <c r="AP271" s="350">
        <v>8269020.3103099065</v>
      </c>
      <c r="AQ271" s="350">
        <v>8124468.529615582</v>
      </c>
      <c r="AR271" s="348">
        <v>41768965.327725992</v>
      </c>
      <c r="AS271" s="369"/>
      <c r="AT271" s="350">
        <f t="shared" si="123"/>
        <v>8202371.2398020411</v>
      </c>
      <c r="AU271" s="350">
        <f t="shared" si="106"/>
        <v>8126472.2948815618</v>
      </c>
      <c r="AV271" s="350">
        <f t="shared" si="107"/>
        <v>8043471.5368028684</v>
      </c>
      <c r="AW271" s="350">
        <f t="shared" si="108"/>
        <v>7937477.5964038568</v>
      </c>
      <c r="AX271" s="350">
        <f t="shared" si="109"/>
        <v>7794900.4385232972</v>
      </c>
      <c r="AY271" s="350">
        <f t="shared" si="110"/>
        <v>40104693.106413625</v>
      </c>
      <c r="AZ271" s="365"/>
      <c r="BA271" s="377">
        <f t="shared" si="111"/>
        <v>0</v>
      </c>
      <c r="BB271" s="377">
        <f t="shared" si="112"/>
        <v>0</v>
      </c>
      <c r="BC271" s="377">
        <f t="shared" si="113"/>
        <v>0</v>
      </c>
      <c r="BD271" s="377">
        <f t="shared" si="114"/>
        <v>0</v>
      </c>
      <c r="BE271" s="377">
        <f t="shared" si="115"/>
        <v>0</v>
      </c>
      <c r="BF271" s="377">
        <f t="shared" si="116"/>
        <v>0</v>
      </c>
      <c r="BG271" s="328"/>
    </row>
    <row r="272" spans="2:59">
      <c r="B272" s="332">
        <v>257</v>
      </c>
      <c r="C272" s="350">
        <v>5041265.7837648112</v>
      </c>
      <c r="D272" s="350">
        <v>5023098.666298274</v>
      </c>
      <c r="E272" s="350">
        <v>5003451.8194287177</v>
      </c>
      <c r="F272" s="350">
        <v>4979881.2208913798</v>
      </c>
      <c r="G272" s="350">
        <v>4950221.7331205243</v>
      </c>
      <c r="H272" s="348">
        <v>24997919.223503705</v>
      </c>
      <c r="I272" s="369"/>
      <c r="J272" s="350">
        <v>16150926.338566098</v>
      </c>
      <c r="K272" s="350">
        <v>15800624.570086911</v>
      </c>
      <c r="L272" s="350">
        <v>15440876.948398359</v>
      </c>
      <c r="M272" s="350">
        <v>15047917.410456885</v>
      </c>
      <c r="N272" s="350">
        <v>14601820.535150003</v>
      </c>
      <c r="O272" s="348">
        <v>77042165.80265826</v>
      </c>
      <c r="P272" s="369"/>
      <c r="Q272" s="350">
        <f t="shared" si="117"/>
        <v>11109660.554801287</v>
      </c>
      <c r="R272" s="350">
        <f t="shared" si="118"/>
        <v>10777525.903788637</v>
      </c>
      <c r="S272" s="350">
        <f t="shared" si="119"/>
        <v>10437425.128969641</v>
      </c>
      <c r="T272" s="350">
        <f t="shared" si="120"/>
        <v>10068036.189565506</v>
      </c>
      <c r="U272" s="350">
        <f t="shared" si="121"/>
        <v>9651598.8020294793</v>
      </c>
      <c r="V272" s="350">
        <f t="shared" si="122"/>
        <v>52044246.579154551</v>
      </c>
      <c r="W272" s="365"/>
      <c r="X272" s="377">
        <f t="shared" ref="X272:X335" si="124">IF(Q272&lt;Q$8,1,0)</f>
        <v>0</v>
      </c>
      <c r="Y272" s="377">
        <f t="shared" ref="Y272:Y335" si="125">IF(R272&lt;R$8,1,0)</f>
        <v>0</v>
      </c>
      <c r="Z272" s="377">
        <f t="shared" ref="Z272:Z335" si="126">IF(S272&lt;S$8,1,0)</f>
        <v>0</v>
      </c>
      <c r="AA272" s="377">
        <f t="shared" ref="AA272:AA335" si="127">IF(T272&lt;T$8,1,0)</f>
        <v>0</v>
      </c>
      <c r="AB272" s="377">
        <f t="shared" ref="AB272:AB335" si="128">IF(U272&lt;U$8,1,0)</f>
        <v>0</v>
      </c>
      <c r="AC272" s="377">
        <f t="shared" ref="AC272:AC335" si="129">IF(V272&lt;V$8,1,0)</f>
        <v>0</v>
      </c>
      <c r="AD272" s="376"/>
      <c r="AE272" s="332">
        <v>257</v>
      </c>
      <c r="AF272" s="350">
        <v>573258.75319557788</v>
      </c>
      <c r="AG272" s="350">
        <v>571192.91109267517</v>
      </c>
      <c r="AH272" s="350">
        <v>568958.8041394297</v>
      </c>
      <c r="AI272" s="350">
        <v>566278.51460319816</v>
      </c>
      <c r="AJ272" s="350">
        <v>562905.83763887361</v>
      </c>
      <c r="AK272" s="348">
        <v>2842594.8206697544</v>
      </c>
      <c r="AL272" s="369"/>
      <c r="AM272" s="350">
        <v>16257755.906256327</v>
      </c>
      <c r="AN272" s="350">
        <v>16113983.254416578</v>
      </c>
      <c r="AO272" s="350">
        <v>15956437.621796388</v>
      </c>
      <c r="AP272" s="350">
        <v>15754450.746767199</v>
      </c>
      <c r="AQ272" s="350">
        <v>15481780.025228035</v>
      </c>
      <c r="AR272" s="348">
        <v>79564407.554464519</v>
      </c>
      <c r="AS272" s="369"/>
      <c r="AT272" s="350">
        <f t="shared" si="123"/>
        <v>15684497.153060749</v>
      </c>
      <c r="AU272" s="350">
        <f t="shared" ref="AU272:AU335" si="130">AN272-AG272</f>
        <v>15542790.343323903</v>
      </c>
      <c r="AV272" s="350">
        <f t="shared" ref="AV272:AV335" si="131">AO272-AH272</f>
        <v>15387478.817656958</v>
      </c>
      <c r="AW272" s="350">
        <f t="shared" ref="AW272:AW335" si="132">AP272-AI272</f>
        <v>15188172.232164001</v>
      </c>
      <c r="AX272" s="350">
        <f t="shared" ref="AX272:AX335" si="133">AQ272-AJ272</f>
        <v>14918874.187589161</v>
      </c>
      <c r="AY272" s="350">
        <f t="shared" ref="AY272:AY335" si="134">AR272-AK272</f>
        <v>76721812.733794764</v>
      </c>
      <c r="AZ272" s="365"/>
      <c r="BA272" s="377">
        <f t="shared" ref="BA272:BA335" si="135">IF(AT272&lt;AT$8,1,0)</f>
        <v>0</v>
      </c>
      <c r="BB272" s="377">
        <f t="shared" ref="BB272:BB335" si="136">IF(AU272&lt;AU$8,1,0)</f>
        <v>0</v>
      </c>
      <c r="BC272" s="377">
        <f t="shared" ref="BC272:BC335" si="137">IF(AV272&lt;AV$8,1,0)</f>
        <v>0</v>
      </c>
      <c r="BD272" s="377">
        <f t="shared" ref="BD272:BD335" si="138">IF(AW272&lt;AW$8,1,0)</f>
        <v>0</v>
      </c>
      <c r="BE272" s="377">
        <f t="shared" ref="BE272:BE335" si="139">IF(AX272&lt;AX$8,1,0)</f>
        <v>0</v>
      </c>
      <c r="BF272" s="377">
        <f t="shared" ref="BF272:BF335" si="140">IF(AY272&lt;AY$8,1,0)</f>
        <v>0</v>
      </c>
      <c r="BG272" s="328"/>
    </row>
    <row r="273" spans="2:59">
      <c r="B273" s="332">
        <v>258</v>
      </c>
      <c r="C273" s="350">
        <v>5579659.2265331615</v>
      </c>
      <c r="D273" s="350">
        <v>5559551.9104463737</v>
      </c>
      <c r="E273" s="350">
        <v>5537806.8338901959</v>
      </c>
      <c r="F273" s="350">
        <v>5511718.9596846141</v>
      </c>
      <c r="G273" s="350">
        <v>5478891.9194742236</v>
      </c>
      <c r="H273" s="348">
        <v>27667628.850028567</v>
      </c>
      <c r="I273" s="369"/>
      <c r="J273" s="350">
        <v>19788960.832382564</v>
      </c>
      <c r="K273" s="350">
        <v>19387458.953413714</v>
      </c>
      <c r="L273" s="350">
        <v>18973817.758620262</v>
      </c>
      <c r="M273" s="350">
        <v>18518023.009919446</v>
      </c>
      <c r="N273" s="350">
        <v>17994840.464749739</v>
      </c>
      <c r="O273" s="348">
        <v>94663101.01908572</v>
      </c>
      <c r="P273" s="369"/>
      <c r="Q273" s="350">
        <f t="shared" ref="Q273:Q336" si="141">J273-C273</f>
        <v>14209301.605849402</v>
      </c>
      <c r="R273" s="350">
        <f t="shared" ref="R273:R336" si="142">K273-D273</f>
        <v>13827907.04296734</v>
      </c>
      <c r="S273" s="350">
        <f t="shared" ref="S273:S336" si="143">L273-E273</f>
        <v>13436010.924730066</v>
      </c>
      <c r="T273" s="350">
        <f t="shared" ref="T273:T336" si="144">M273-F273</f>
        <v>13006304.050234832</v>
      </c>
      <c r="U273" s="350">
        <f t="shared" ref="U273:U336" si="145">N273-G273</f>
        <v>12515948.545275515</v>
      </c>
      <c r="V273" s="350">
        <f t="shared" ref="V273:V336" si="146">O273-H273</f>
        <v>66995472.169057153</v>
      </c>
      <c r="W273" s="365"/>
      <c r="X273" s="377">
        <f t="shared" si="124"/>
        <v>0</v>
      </c>
      <c r="Y273" s="377">
        <f t="shared" si="125"/>
        <v>0</v>
      </c>
      <c r="Z273" s="377">
        <f t="shared" si="126"/>
        <v>0</v>
      </c>
      <c r="AA273" s="377">
        <f t="shared" si="127"/>
        <v>0</v>
      </c>
      <c r="AB273" s="377">
        <f t="shared" si="128"/>
        <v>0</v>
      </c>
      <c r="AC273" s="377">
        <f t="shared" si="129"/>
        <v>0</v>
      </c>
      <c r="AD273" s="376"/>
      <c r="AE273" s="332">
        <v>258</v>
      </c>
      <c r="AF273" s="350">
        <v>403939.96381555038</v>
      </c>
      <c r="AG273" s="350">
        <v>402484.29274268233</v>
      </c>
      <c r="AH273" s="350">
        <v>400910.05584385886</v>
      </c>
      <c r="AI273" s="350">
        <v>399021.42169349431</v>
      </c>
      <c r="AJ273" s="350">
        <v>396644.90497510775</v>
      </c>
      <c r="AK273" s="348">
        <v>2003000.6390706934</v>
      </c>
      <c r="AL273" s="369"/>
      <c r="AM273" s="350">
        <v>10230920.935903851</v>
      </c>
      <c r="AN273" s="350">
        <v>10138441.642804464</v>
      </c>
      <c r="AO273" s="350">
        <v>10037336.004796552</v>
      </c>
      <c r="AP273" s="350">
        <v>9908369.3642935827</v>
      </c>
      <c r="AQ273" s="350">
        <v>9735086.7373232152</v>
      </c>
      <c r="AR273" s="348">
        <v>50050154.685121663</v>
      </c>
      <c r="AS273" s="369"/>
      <c r="AT273" s="350">
        <f t="shared" ref="AT273:AT336" si="147">AM273-AF273</f>
        <v>9826980.9720882997</v>
      </c>
      <c r="AU273" s="350">
        <f t="shared" si="130"/>
        <v>9735957.3500617817</v>
      </c>
      <c r="AV273" s="350">
        <f t="shared" si="131"/>
        <v>9636425.9489526935</v>
      </c>
      <c r="AW273" s="350">
        <f t="shared" si="132"/>
        <v>9509347.9426000882</v>
      </c>
      <c r="AX273" s="350">
        <f t="shared" si="133"/>
        <v>9338441.8323481083</v>
      </c>
      <c r="AY273" s="350">
        <f t="shared" si="134"/>
        <v>48047154.046050966</v>
      </c>
      <c r="AZ273" s="365"/>
      <c r="BA273" s="377">
        <f t="shared" si="135"/>
        <v>0</v>
      </c>
      <c r="BB273" s="377">
        <f t="shared" si="136"/>
        <v>0</v>
      </c>
      <c r="BC273" s="377">
        <f t="shared" si="137"/>
        <v>0</v>
      </c>
      <c r="BD273" s="377">
        <f t="shared" si="138"/>
        <v>0</v>
      </c>
      <c r="BE273" s="377">
        <f t="shared" si="139"/>
        <v>0</v>
      </c>
      <c r="BF273" s="377">
        <f t="shared" si="140"/>
        <v>0</v>
      </c>
      <c r="BG273" s="328"/>
    </row>
    <row r="274" spans="2:59">
      <c r="B274" s="332">
        <v>259</v>
      </c>
      <c r="C274" s="350">
        <v>4738814.1550196419</v>
      </c>
      <c r="D274" s="350">
        <v>4721736.9769657524</v>
      </c>
      <c r="E274" s="350">
        <v>4703268.8461350407</v>
      </c>
      <c r="F274" s="350">
        <v>4681112.3698090492</v>
      </c>
      <c r="G274" s="350">
        <v>4653232.3082316965</v>
      </c>
      <c r="H274" s="348">
        <v>23498164.656161182</v>
      </c>
      <c r="I274" s="369"/>
      <c r="J274" s="350">
        <v>16317396.772788957</v>
      </c>
      <c r="K274" s="350">
        <v>15979927.83340526</v>
      </c>
      <c r="L274" s="350">
        <v>15632579.904721934</v>
      </c>
      <c r="M274" s="350">
        <v>15250810.896902233</v>
      </c>
      <c r="N274" s="350">
        <v>14814003.009109553</v>
      </c>
      <c r="O274" s="348">
        <v>77994718.416927934</v>
      </c>
      <c r="P274" s="369"/>
      <c r="Q274" s="350">
        <f t="shared" si="141"/>
        <v>11578582.617769316</v>
      </c>
      <c r="R274" s="350">
        <f t="shared" si="142"/>
        <v>11258190.856439508</v>
      </c>
      <c r="S274" s="350">
        <f t="shared" si="143"/>
        <v>10929311.058586894</v>
      </c>
      <c r="T274" s="350">
        <f t="shared" si="144"/>
        <v>10569698.527093183</v>
      </c>
      <c r="U274" s="350">
        <f t="shared" si="145"/>
        <v>10160770.700877856</v>
      </c>
      <c r="V274" s="350">
        <f t="shared" si="146"/>
        <v>54496553.760766752</v>
      </c>
      <c r="W274" s="365"/>
      <c r="X274" s="377">
        <f t="shared" si="124"/>
        <v>0</v>
      </c>
      <c r="Y274" s="377">
        <f t="shared" si="125"/>
        <v>0</v>
      </c>
      <c r="Z274" s="377">
        <f t="shared" si="126"/>
        <v>0</v>
      </c>
      <c r="AA274" s="377">
        <f t="shared" si="127"/>
        <v>0</v>
      </c>
      <c r="AB274" s="377">
        <f t="shared" si="128"/>
        <v>0</v>
      </c>
      <c r="AC274" s="377">
        <f t="shared" si="129"/>
        <v>0</v>
      </c>
      <c r="AD274" s="376"/>
      <c r="AE274" s="332">
        <v>259</v>
      </c>
      <c r="AF274" s="350">
        <v>309857.05219738558</v>
      </c>
      <c r="AG274" s="350">
        <v>308740.42599544377</v>
      </c>
      <c r="AH274" s="350">
        <v>307532.84950233763</v>
      </c>
      <c r="AI274" s="350">
        <v>306084.10299807123</v>
      </c>
      <c r="AJ274" s="350">
        <v>304261.10817007418</v>
      </c>
      <c r="AK274" s="348">
        <v>1536475.5388633122</v>
      </c>
      <c r="AL274" s="369"/>
      <c r="AM274" s="350">
        <v>9851251.0889119897</v>
      </c>
      <c r="AN274" s="350">
        <v>9765873.3151145261</v>
      </c>
      <c r="AO274" s="350">
        <v>9672114.3867891133</v>
      </c>
      <c r="AP274" s="350">
        <v>9551334.9296741225</v>
      </c>
      <c r="AQ274" s="350">
        <v>9387581.9222016335</v>
      </c>
      <c r="AR274" s="348">
        <v>48228155.642691389</v>
      </c>
      <c r="AS274" s="369"/>
      <c r="AT274" s="350">
        <f t="shared" si="147"/>
        <v>9541394.0367146041</v>
      </c>
      <c r="AU274" s="350">
        <f t="shared" si="130"/>
        <v>9457132.8891190831</v>
      </c>
      <c r="AV274" s="350">
        <f t="shared" si="131"/>
        <v>9364581.5372867752</v>
      </c>
      <c r="AW274" s="350">
        <f t="shared" si="132"/>
        <v>9245250.8266760521</v>
      </c>
      <c r="AX274" s="350">
        <f t="shared" si="133"/>
        <v>9083320.81403156</v>
      </c>
      <c r="AY274" s="350">
        <f t="shared" si="134"/>
        <v>46691680.10382808</v>
      </c>
      <c r="AZ274" s="365"/>
      <c r="BA274" s="377">
        <f t="shared" si="135"/>
        <v>0</v>
      </c>
      <c r="BB274" s="377">
        <f t="shared" si="136"/>
        <v>0</v>
      </c>
      <c r="BC274" s="377">
        <f t="shared" si="137"/>
        <v>0</v>
      </c>
      <c r="BD274" s="377">
        <f t="shared" si="138"/>
        <v>0</v>
      </c>
      <c r="BE274" s="377">
        <f t="shared" si="139"/>
        <v>0</v>
      </c>
      <c r="BF274" s="377">
        <f t="shared" si="140"/>
        <v>0</v>
      </c>
      <c r="BG274" s="328"/>
    </row>
    <row r="275" spans="2:59">
      <c r="B275" s="332">
        <v>260</v>
      </c>
      <c r="C275" s="350">
        <v>7845297.0452497238</v>
      </c>
      <c r="D275" s="350">
        <v>7817025.0915193893</v>
      </c>
      <c r="E275" s="350">
        <v>7786450.3596354648</v>
      </c>
      <c r="F275" s="350">
        <v>7749769.4237373304</v>
      </c>
      <c r="G275" s="350">
        <v>7703612.8627161523</v>
      </c>
      <c r="H275" s="348">
        <v>38902154.782858059</v>
      </c>
      <c r="I275" s="369"/>
      <c r="J275" s="350">
        <v>24711263.428434644</v>
      </c>
      <c r="K275" s="350">
        <v>24169167.47217574</v>
      </c>
      <c r="L275" s="350">
        <v>23612744.266448945</v>
      </c>
      <c r="M275" s="350">
        <v>23005829.097788665</v>
      </c>
      <c r="N275" s="350">
        <v>22318117.10033394</v>
      </c>
      <c r="O275" s="348">
        <v>117817121.36518194</v>
      </c>
      <c r="P275" s="369"/>
      <c r="Q275" s="350">
        <f t="shared" si="141"/>
        <v>16865966.383184921</v>
      </c>
      <c r="R275" s="350">
        <f t="shared" si="142"/>
        <v>16352142.38065635</v>
      </c>
      <c r="S275" s="350">
        <f t="shared" si="143"/>
        <v>15826293.90681348</v>
      </c>
      <c r="T275" s="350">
        <f t="shared" si="144"/>
        <v>15256059.674051335</v>
      </c>
      <c r="U275" s="350">
        <f t="shared" si="145"/>
        <v>14614504.237617787</v>
      </c>
      <c r="V275" s="350">
        <f t="shared" si="146"/>
        <v>78914966.582323879</v>
      </c>
      <c r="W275" s="365"/>
      <c r="X275" s="377">
        <f t="shared" si="124"/>
        <v>0</v>
      </c>
      <c r="Y275" s="377">
        <f t="shared" si="125"/>
        <v>0</v>
      </c>
      <c r="Z275" s="377">
        <f t="shared" si="126"/>
        <v>0</v>
      </c>
      <c r="AA275" s="377">
        <f t="shared" si="127"/>
        <v>0</v>
      </c>
      <c r="AB275" s="377">
        <f t="shared" si="128"/>
        <v>0</v>
      </c>
      <c r="AC275" s="377">
        <f t="shared" si="129"/>
        <v>0</v>
      </c>
      <c r="AD275" s="376"/>
      <c r="AE275" s="332">
        <v>260</v>
      </c>
      <c r="AF275" s="350">
        <v>419029.3281704954</v>
      </c>
      <c r="AG275" s="350">
        <v>417519.2798307882</v>
      </c>
      <c r="AH275" s="350">
        <v>415886.23658380605</v>
      </c>
      <c r="AI275" s="350">
        <v>413927.05163039919</v>
      </c>
      <c r="AJ275" s="350">
        <v>411461.75902977359</v>
      </c>
      <c r="AK275" s="348">
        <v>2077823.6552452624</v>
      </c>
      <c r="AL275" s="369"/>
      <c r="AM275" s="350">
        <v>13214535.382939411</v>
      </c>
      <c r="AN275" s="350">
        <v>13099852.005067291</v>
      </c>
      <c r="AO275" s="350">
        <v>12973929.296330132</v>
      </c>
      <c r="AP275" s="350">
        <v>12811769.345160259</v>
      </c>
      <c r="AQ275" s="350">
        <v>12591977.310989019</v>
      </c>
      <c r="AR275" s="348">
        <v>64692063.340486109</v>
      </c>
      <c r="AS275" s="369"/>
      <c r="AT275" s="350">
        <f t="shared" si="147"/>
        <v>12795506.054768916</v>
      </c>
      <c r="AU275" s="350">
        <f t="shared" si="130"/>
        <v>12682332.725236503</v>
      </c>
      <c r="AV275" s="350">
        <f t="shared" si="131"/>
        <v>12558043.059746325</v>
      </c>
      <c r="AW275" s="350">
        <f t="shared" si="132"/>
        <v>12397842.293529861</v>
      </c>
      <c r="AX275" s="350">
        <f t="shared" si="133"/>
        <v>12180515.551959245</v>
      </c>
      <c r="AY275" s="350">
        <f t="shared" si="134"/>
        <v>62614239.68524085</v>
      </c>
      <c r="AZ275" s="365"/>
      <c r="BA275" s="377">
        <f t="shared" si="135"/>
        <v>0</v>
      </c>
      <c r="BB275" s="377">
        <f t="shared" si="136"/>
        <v>0</v>
      </c>
      <c r="BC275" s="377">
        <f t="shared" si="137"/>
        <v>0</v>
      </c>
      <c r="BD275" s="377">
        <f t="shared" si="138"/>
        <v>0</v>
      </c>
      <c r="BE275" s="377">
        <f t="shared" si="139"/>
        <v>0</v>
      </c>
      <c r="BF275" s="377">
        <f t="shared" si="140"/>
        <v>0</v>
      </c>
      <c r="BG275" s="328"/>
    </row>
    <row r="276" spans="2:59">
      <c r="B276" s="332">
        <v>261</v>
      </c>
      <c r="C276" s="350">
        <v>5483525.8972628927</v>
      </c>
      <c r="D276" s="350">
        <v>5463765.0150996884</v>
      </c>
      <c r="E276" s="350">
        <v>5442394.5898474175</v>
      </c>
      <c r="F276" s="350">
        <v>5416756.1900808914</v>
      </c>
      <c r="G276" s="350">
        <v>5384494.7350679832</v>
      </c>
      <c r="H276" s="348">
        <v>27190936.427358873</v>
      </c>
      <c r="I276" s="369"/>
      <c r="J276" s="350">
        <v>19938700.821029335</v>
      </c>
      <c r="K276" s="350">
        <v>19540579.944073841</v>
      </c>
      <c r="L276" s="350">
        <v>19130096.816575252</v>
      </c>
      <c r="M276" s="350">
        <v>18676802.772819478</v>
      </c>
      <c r="N276" s="350">
        <v>18155082.512348443</v>
      </c>
      <c r="O276" s="348">
        <v>95441262.866846353</v>
      </c>
      <c r="P276" s="369"/>
      <c r="Q276" s="350">
        <f t="shared" si="141"/>
        <v>14455174.923766442</v>
      </c>
      <c r="R276" s="350">
        <f t="shared" si="142"/>
        <v>14076814.928974152</v>
      </c>
      <c r="S276" s="350">
        <f t="shared" si="143"/>
        <v>13687702.226727834</v>
      </c>
      <c r="T276" s="350">
        <f t="shared" si="144"/>
        <v>13260046.582738586</v>
      </c>
      <c r="U276" s="350">
        <f t="shared" si="145"/>
        <v>12770587.777280461</v>
      </c>
      <c r="V276" s="350">
        <f t="shared" si="146"/>
        <v>68250326.439487487</v>
      </c>
      <c r="W276" s="365"/>
      <c r="X276" s="377">
        <f t="shared" si="124"/>
        <v>0</v>
      </c>
      <c r="Y276" s="377">
        <f t="shared" si="125"/>
        <v>0</v>
      </c>
      <c r="Z276" s="377">
        <f t="shared" si="126"/>
        <v>0</v>
      </c>
      <c r="AA276" s="377">
        <f t="shared" si="127"/>
        <v>0</v>
      </c>
      <c r="AB276" s="377">
        <f t="shared" si="128"/>
        <v>0</v>
      </c>
      <c r="AC276" s="377">
        <f t="shared" si="129"/>
        <v>0</v>
      </c>
      <c r="AD276" s="376"/>
      <c r="AE276" s="332">
        <v>261</v>
      </c>
      <c r="AF276" s="350">
        <v>439760.49308681127</v>
      </c>
      <c r="AG276" s="350">
        <v>438175.73622658406</v>
      </c>
      <c r="AH276" s="350">
        <v>436461.8993773582</v>
      </c>
      <c r="AI276" s="350">
        <v>434405.78520291584</v>
      </c>
      <c r="AJ276" s="350">
        <v>431818.5240811517</v>
      </c>
      <c r="AK276" s="348">
        <v>2180622.4379748208</v>
      </c>
      <c r="AL276" s="369"/>
      <c r="AM276" s="350">
        <v>16081529.232954461</v>
      </c>
      <c r="AN276" s="350">
        <v>15945220.538567886</v>
      </c>
      <c r="AO276" s="350">
        <v>15795167.565103529</v>
      </c>
      <c r="AP276" s="350">
        <v>15600843.753102105</v>
      </c>
      <c r="AQ276" s="350">
        <v>15336116.052620679</v>
      </c>
      <c r="AR276" s="348">
        <v>78758877.142348662</v>
      </c>
      <c r="AS276" s="369"/>
      <c r="AT276" s="350">
        <f t="shared" si="147"/>
        <v>15641768.73986765</v>
      </c>
      <c r="AU276" s="350">
        <f t="shared" si="130"/>
        <v>15507044.802341301</v>
      </c>
      <c r="AV276" s="350">
        <f t="shared" si="131"/>
        <v>15358705.66572617</v>
      </c>
      <c r="AW276" s="350">
        <f t="shared" si="132"/>
        <v>15166437.967899188</v>
      </c>
      <c r="AX276" s="350">
        <f t="shared" si="133"/>
        <v>14904297.528539527</v>
      </c>
      <c r="AY276" s="350">
        <f t="shared" si="134"/>
        <v>76578254.704373837</v>
      </c>
      <c r="AZ276" s="365"/>
      <c r="BA276" s="377">
        <f t="shared" si="135"/>
        <v>0</v>
      </c>
      <c r="BB276" s="377">
        <f t="shared" si="136"/>
        <v>0</v>
      </c>
      <c r="BC276" s="377">
        <f t="shared" si="137"/>
        <v>0</v>
      </c>
      <c r="BD276" s="377">
        <f t="shared" si="138"/>
        <v>0</v>
      </c>
      <c r="BE276" s="377">
        <f t="shared" si="139"/>
        <v>0</v>
      </c>
      <c r="BF276" s="377">
        <f t="shared" si="140"/>
        <v>0</v>
      </c>
      <c r="BG276" s="328"/>
    </row>
    <row r="277" spans="2:59">
      <c r="B277" s="332">
        <v>262</v>
      </c>
      <c r="C277" s="350">
        <v>4310677.554157827</v>
      </c>
      <c r="D277" s="350">
        <v>4295143.2441559723</v>
      </c>
      <c r="E277" s="350">
        <v>4278343.6494820872</v>
      </c>
      <c r="F277" s="350">
        <v>4258188.939452678</v>
      </c>
      <c r="G277" s="350">
        <v>4232827.7516705552</v>
      </c>
      <c r="H277" s="348">
        <v>21375181.138919119</v>
      </c>
      <c r="I277" s="369"/>
      <c r="J277" s="350">
        <v>13833434.490299106</v>
      </c>
      <c r="K277" s="350">
        <v>13533732.331961863</v>
      </c>
      <c r="L277" s="350">
        <v>13225932.864370408</v>
      </c>
      <c r="M277" s="350">
        <v>12889669.393767811</v>
      </c>
      <c r="N277" s="350">
        <v>12507865.673105795</v>
      </c>
      <c r="O277" s="348">
        <v>65990634.753504977</v>
      </c>
      <c r="P277" s="369"/>
      <c r="Q277" s="350">
        <f t="shared" si="141"/>
        <v>9522756.9361412786</v>
      </c>
      <c r="R277" s="350">
        <f t="shared" si="142"/>
        <v>9238589.0878058895</v>
      </c>
      <c r="S277" s="350">
        <f t="shared" si="143"/>
        <v>8947589.2148883194</v>
      </c>
      <c r="T277" s="350">
        <f t="shared" si="144"/>
        <v>8631480.4543151334</v>
      </c>
      <c r="U277" s="350">
        <f t="shared" si="145"/>
        <v>8275037.9214352397</v>
      </c>
      <c r="V277" s="350">
        <f t="shared" si="146"/>
        <v>44615453.614585862</v>
      </c>
      <c r="W277" s="365"/>
      <c r="X277" s="377">
        <f t="shared" si="124"/>
        <v>0</v>
      </c>
      <c r="Y277" s="377">
        <f t="shared" si="125"/>
        <v>0</v>
      </c>
      <c r="Z277" s="377">
        <f t="shared" si="126"/>
        <v>0</v>
      </c>
      <c r="AA277" s="377">
        <f t="shared" si="127"/>
        <v>0</v>
      </c>
      <c r="AB277" s="377">
        <f t="shared" si="128"/>
        <v>0</v>
      </c>
      <c r="AC277" s="377">
        <f t="shared" si="129"/>
        <v>0</v>
      </c>
      <c r="AD277" s="376"/>
      <c r="AE277" s="332">
        <v>262</v>
      </c>
      <c r="AF277" s="350">
        <v>419536.93999243877</v>
      </c>
      <c r="AG277" s="350">
        <v>418025.06238127616</v>
      </c>
      <c r="AH277" s="350">
        <v>416390.04086689802</v>
      </c>
      <c r="AI277" s="350">
        <v>414428.48255827033</v>
      </c>
      <c r="AJ277" s="350">
        <v>411960.20350398967</v>
      </c>
      <c r="AK277" s="348">
        <v>2080340.7293028729</v>
      </c>
      <c r="AL277" s="369"/>
      <c r="AM277" s="350">
        <v>11088624.837144945</v>
      </c>
      <c r="AN277" s="350">
        <v>10989240.117995413</v>
      </c>
      <c r="AO277" s="350">
        <v>10880488.562285654</v>
      </c>
      <c r="AP277" s="350">
        <v>10741495.612825984</v>
      </c>
      <c r="AQ277" s="350">
        <v>10554401.689506778</v>
      </c>
      <c r="AR277" s="348">
        <v>54254250.819758773</v>
      </c>
      <c r="AS277" s="369"/>
      <c r="AT277" s="350">
        <f t="shared" si="147"/>
        <v>10669087.897152506</v>
      </c>
      <c r="AU277" s="350">
        <f t="shared" si="130"/>
        <v>10571215.055614136</v>
      </c>
      <c r="AV277" s="350">
        <f t="shared" si="131"/>
        <v>10464098.521418756</v>
      </c>
      <c r="AW277" s="350">
        <f t="shared" si="132"/>
        <v>10327067.130267713</v>
      </c>
      <c r="AX277" s="350">
        <f t="shared" si="133"/>
        <v>10142441.486002788</v>
      </c>
      <c r="AY277" s="350">
        <f t="shared" si="134"/>
        <v>52173910.090455897</v>
      </c>
      <c r="AZ277" s="365"/>
      <c r="BA277" s="377">
        <f t="shared" si="135"/>
        <v>0</v>
      </c>
      <c r="BB277" s="377">
        <f t="shared" si="136"/>
        <v>0</v>
      </c>
      <c r="BC277" s="377">
        <f t="shared" si="137"/>
        <v>0</v>
      </c>
      <c r="BD277" s="377">
        <f t="shared" si="138"/>
        <v>0</v>
      </c>
      <c r="BE277" s="377">
        <f t="shared" si="139"/>
        <v>0</v>
      </c>
      <c r="BF277" s="377">
        <f t="shared" si="140"/>
        <v>0</v>
      </c>
      <c r="BG277" s="328"/>
    </row>
    <row r="278" spans="2:59">
      <c r="B278" s="332">
        <v>263</v>
      </c>
      <c r="C278" s="350">
        <v>4553798.6227569971</v>
      </c>
      <c r="D278" s="350">
        <v>4537388.181798893</v>
      </c>
      <c r="E278" s="350">
        <v>4519641.0944494745</v>
      </c>
      <c r="F278" s="350">
        <v>4498349.664130019</v>
      </c>
      <c r="G278" s="350">
        <v>4471558.1120960899</v>
      </c>
      <c r="H278" s="348">
        <v>22580735.675231475</v>
      </c>
      <c r="I278" s="369"/>
      <c r="J278" s="350">
        <v>13496318.137732128</v>
      </c>
      <c r="K278" s="350">
        <v>13187765.777011195</v>
      </c>
      <c r="L278" s="350">
        <v>12871643.298170175</v>
      </c>
      <c r="M278" s="350">
        <v>12528602.049870297</v>
      </c>
      <c r="N278" s="350">
        <v>12142460.355458245</v>
      </c>
      <c r="O278" s="348">
        <v>64226789.61824204</v>
      </c>
      <c r="P278" s="369"/>
      <c r="Q278" s="350">
        <f t="shared" si="141"/>
        <v>8942519.5149751306</v>
      </c>
      <c r="R278" s="350">
        <f t="shared" si="142"/>
        <v>8650377.5952123031</v>
      </c>
      <c r="S278" s="350">
        <f t="shared" si="143"/>
        <v>8352002.2037207009</v>
      </c>
      <c r="T278" s="350">
        <f t="shared" si="144"/>
        <v>8030252.3857402783</v>
      </c>
      <c r="U278" s="350">
        <f t="shared" si="145"/>
        <v>7670902.2433621548</v>
      </c>
      <c r="V278" s="350">
        <f t="shared" si="146"/>
        <v>41646053.943010569</v>
      </c>
      <c r="W278" s="365"/>
      <c r="X278" s="377">
        <f t="shared" si="124"/>
        <v>0</v>
      </c>
      <c r="Y278" s="377">
        <f t="shared" si="125"/>
        <v>0</v>
      </c>
      <c r="Z278" s="377">
        <f t="shared" si="126"/>
        <v>0</v>
      </c>
      <c r="AA278" s="377">
        <f t="shared" si="127"/>
        <v>0</v>
      </c>
      <c r="AB278" s="377">
        <f t="shared" si="128"/>
        <v>0</v>
      </c>
      <c r="AC278" s="377">
        <f t="shared" si="129"/>
        <v>0</v>
      </c>
      <c r="AD278" s="376"/>
      <c r="AE278" s="332">
        <v>263</v>
      </c>
      <c r="AF278" s="350">
        <v>394131.28662621591</v>
      </c>
      <c r="AG278" s="350">
        <v>392710.96290425799</v>
      </c>
      <c r="AH278" s="350">
        <v>391174.95243248629</v>
      </c>
      <c r="AI278" s="350">
        <v>389332.17906433973</v>
      </c>
      <c r="AJ278" s="350">
        <v>387013.37014268991</v>
      </c>
      <c r="AK278" s="348">
        <v>1954362.7511699898</v>
      </c>
      <c r="AL278" s="369"/>
      <c r="AM278" s="350">
        <v>9650406.351675475</v>
      </c>
      <c r="AN278" s="350">
        <v>9562566.1247020978</v>
      </c>
      <c r="AO278" s="350">
        <v>9466601.4437521305</v>
      </c>
      <c r="AP278" s="350">
        <v>9344388.6950742938</v>
      </c>
      <c r="AQ278" s="350">
        <v>9180424.5865403619</v>
      </c>
      <c r="AR278" s="348">
        <v>47204387.201744355</v>
      </c>
      <c r="AS278" s="369"/>
      <c r="AT278" s="350">
        <f t="shared" si="147"/>
        <v>9256275.065049259</v>
      </c>
      <c r="AU278" s="350">
        <f t="shared" si="130"/>
        <v>9169855.1617978401</v>
      </c>
      <c r="AV278" s="350">
        <f t="shared" si="131"/>
        <v>9075426.4913196433</v>
      </c>
      <c r="AW278" s="350">
        <f t="shared" si="132"/>
        <v>8955056.5160099547</v>
      </c>
      <c r="AX278" s="350">
        <f t="shared" si="133"/>
        <v>8793411.2163976729</v>
      </c>
      <c r="AY278" s="350">
        <f t="shared" si="134"/>
        <v>45250024.450574368</v>
      </c>
      <c r="AZ278" s="365"/>
      <c r="BA278" s="377">
        <f t="shared" si="135"/>
        <v>0</v>
      </c>
      <c r="BB278" s="377">
        <f t="shared" si="136"/>
        <v>0</v>
      </c>
      <c r="BC278" s="377">
        <f t="shared" si="137"/>
        <v>0</v>
      </c>
      <c r="BD278" s="377">
        <f t="shared" si="138"/>
        <v>0</v>
      </c>
      <c r="BE278" s="377">
        <f t="shared" si="139"/>
        <v>0</v>
      </c>
      <c r="BF278" s="377">
        <f t="shared" si="140"/>
        <v>0</v>
      </c>
      <c r="BG278" s="328"/>
    </row>
    <row r="279" spans="2:59">
      <c r="B279" s="332">
        <v>264</v>
      </c>
      <c r="C279" s="350">
        <v>6706998.8700610399</v>
      </c>
      <c r="D279" s="350">
        <v>6682828.9806827148</v>
      </c>
      <c r="E279" s="350">
        <v>6656690.43028556</v>
      </c>
      <c r="F279" s="350">
        <v>6625331.6437153928</v>
      </c>
      <c r="G279" s="350">
        <v>6585872.0794911934</v>
      </c>
      <c r="H279" s="348">
        <v>33257722.004235901</v>
      </c>
      <c r="I279" s="369"/>
      <c r="J279" s="350">
        <v>21610455.866746001</v>
      </c>
      <c r="K279" s="350">
        <v>21143521.402091701</v>
      </c>
      <c r="L279" s="350">
        <v>20663911.725870155</v>
      </c>
      <c r="M279" s="350">
        <v>20139769.581822976</v>
      </c>
      <c r="N279" s="350">
        <v>19544381.386328943</v>
      </c>
      <c r="O279" s="348">
        <v>103102039.96285978</v>
      </c>
      <c r="P279" s="369"/>
      <c r="Q279" s="350">
        <f t="shared" si="141"/>
        <v>14903456.996684961</v>
      </c>
      <c r="R279" s="350">
        <f t="shared" si="142"/>
        <v>14460692.421408985</v>
      </c>
      <c r="S279" s="350">
        <f t="shared" si="143"/>
        <v>14007221.295584595</v>
      </c>
      <c r="T279" s="350">
        <f t="shared" si="144"/>
        <v>13514437.938107584</v>
      </c>
      <c r="U279" s="350">
        <f t="shared" si="145"/>
        <v>12958509.306837749</v>
      </c>
      <c r="V279" s="350">
        <f t="shared" si="146"/>
        <v>69844317.958623886</v>
      </c>
      <c r="W279" s="365"/>
      <c r="X279" s="377">
        <f t="shared" si="124"/>
        <v>0</v>
      </c>
      <c r="Y279" s="377">
        <f t="shared" si="125"/>
        <v>0</v>
      </c>
      <c r="Z279" s="377">
        <f t="shared" si="126"/>
        <v>0</v>
      </c>
      <c r="AA279" s="377">
        <f t="shared" si="127"/>
        <v>0</v>
      </c>
      <c r="AB279" s="377">
        <f t="shared" si="128"/>
        <v>0</v>
      </c>
      <c r="AC279" s="377">
        <f t="shared" si="129"/>
        <v>0</v>
      </c>
      <c r="AD279" s="376"/>
      <c r="AE279" s="332">
        <v>264</v>
      </c>
      <c r="AF279" s="350">
        <v>414430.70326556102</v>
      </c>
      <c r="AG279" s="350">
        <v>412937.22690646647</v>
      </c>
      <c r="AH279" s="350">
        <v>411322.10544405063</v>
      </c>
      <c r="AI279" s="350">
        <v>409384.42150767159</v>
      </c>
      <c r="AJ279" s="350">
        <v>406946.18418740219</v>
      </c>
      <c r="AK279" s="348">
        <v>2055020.6413111521</v>
      </c>
      <c r="AL279" s="369"/>
      <c r="AM279" s="350">
        <v>10936155.749729346</v>
      </c>
      <c r="AN279" s="350">
        <v>10838106.841297474</v>
      </c>
      <c r="AO279" s="350">
        <v>10730820.518308807</v>
      </c>
      <c r="AP279" s="350">
        <v>10593710.24225661</v>
      </c>
      <c r="AQ279" s="350">
        <v>10409162.913292458</v>
      </c>
      <c r="AR279" s="348">
        <v>53507956.264884695</v>
      </c>
      <c r="AS279" s="369"/>
      <c r="AT279" s="350">
        <f t="shared" si="147"/>
        <v>10521725.046463786</v>
      </c>
      <c r="AU279" s="350">
        <f t="shared" si="130"/>
        <v>10425169.614391007</v>
      </c>
      <c r="AV279" s="350">
        <f t="shared" si="131"/>
        <v>10319498.412864756</v>
      </c>
      <c r="AW279" s="350">
        <f t="shared" si="132"/>
        <v>10184325.820748938</v>
      </c>
      <c r="AX279" s="350">
        <f t="shared" si="133"/>
        <v>10002216.729105055</v>
      </c>
      <c r="AY279" s="350">
        <f t="shared" si="134"/>
        <v>51452935.623573542</v>
      </c>
      <c r="AZ279" s="365"/>
      <c r="BA279" s="377">
        <f t="shared" si="135"/>
        <v>0</v>
      </c>
      <c r="BB279" s="377">
        <f t="shared" si="136"/>
        <v>0</v>
      </c>
      <c r="BC279" s="377">
        <f t="shared" si="137"/>
        <v>0</v>
      </c>
      <c r="BD279" s="377">
        <f t="shared" si="138"/>
        <v>0</v>
      </c>
      <c r="BE279" s="377">
        <f t="shared" si="139"/>
        <v>0</v>
      </c>
      <c r="BF279" s="377">
        <f t="shared" si="140"/>
        <v>0</v>
      </c>
      <c r="BG279" s="328"/>
    </row>
    <row r="280" spans="2:59">
      <c r="B280" s="332">
        <v>265</v>
      </c>
      <c r="C280" s="350">
        <v>4408440.7681624349</v>
      </c>
      <c r="D280" s="350">
        <v>4392554.1506511355</v>
      </c>
      <c r="E280" s="350">
        <v>4375373.5526781958</v>
      </c>
      <c r="F280" s="350">
        <v>4354761.7476318087</v>
      </c>
      <c r="G280" s="350">
        <v>4328825.3854838451</v>
      </c>
      <c r="H280" s="348">
        <v>21859955.604607422</v>
      </c>
      <c r="I280" s="369"/>
      <c r="J280" s="350">
        <v>14093741.537526242</v>
      </c>
      <c r="K280" s="350">
        <v>13787627.398490887</v>
      </c>
      <c r="L280" s="350">
        <v>13473279.3539137</v>
      </c>
      <c r="M280" s="350">
        <v>13129972.411333952</v>
      </c>
      <c r="N280" s="350">
        <v>12740331.872409243</v>
      </c>
      <c r="O280" s="348">
        <v>67224952.573674023</v>
      </c>
      <c r="P280" s="369"/>
      <c r="Q280" s="350">
        <f t="shared" si="141"/>
        <v>9685300.7693638075</v>
      </c>
      <c r="R280" s="350">
        <f t="shared" si="142"/>
        <v>9395073.2478397526</v>
      </c>
      <c r="S280" s="350">
        <f t="shared" si="143"/>
        <v>9097905.8012355044</v>
      </c>
      <c r="T280" s="350">
        <f t="shared" si="144"/>
        <v>8775210.6637021434</v>
      </c>
      <c r="U280" s="350">
        <f t="shared" si="145"/>
        <v>8411506.4869253971</v>
      </c>
      <c r="V280" s="350">
        <f t="shared" si="146"/>
        <v>45364996.969066605</v>
      </c>
      <c r="W280" s="365"/>
      <c r="X280" s="377">
        <f t="shared" si="124"/>
        <v>0</v>
      </c>
      <c r="Y280" s="377">
        <f t="shared" si="125"/>
        <v>0</v>
      </c>
      <c r="Z280" s="377">
        <f t="shared" si="126"/>
        <v>0</v>
      </c>
      <c r="AA280" s="377">
        <f t="shared" si="127"/>
        <v>0</v>
      </c>
      <c r="AB280" s="377">
        <f t="shared" si="128"/>
        <v>0</v>
      </c>
      <c r="AC280" s="377">
        <f t="shared" si="129"/>
        <v>0</v>
      </c>
      <c r="AD280" s="376"/>
      <c r="AE280" s="332">
        <v>265</v>
      </c>
      <c r="AF280" s="350">
        <v>429834.72326714778</v>
      </c>
      <c r="AG280" s="350">
        <v>428285.73572240479</v>
      </c>
      <c r="AH280" s="350">
        <v>426610.58163423021</v>
      </c>
      <c r="AI280" s="350">
        <v>424600.8757123237</v>
      </c>
      <c r="AJ280" s="350">
        <v>422072.01128321781</v>
      </c>
      <c r="AK280" s="348">
        <v>2131403.9276193241</v>
      </c>
      <c r="AL280" s="369"/>
      <c r="AM280" s="350">
        <v>12485081.917396916</v>
      </c>
      <c r="AN280" s="350">
        <v>12375154.645247268</v>
      </c>
      <c r="AO280" s="350">
        <v>12254640.614379013</v>
      </c>
      <c r="AP280" s="350">
        <v>12099972.670218976</v>
      </c>
      <c r="AQ280" s="350">
        <v>11890983.617671547</v>
      </c>
      <c r="AR280" s="348">
        <v>61105833.464913718</v>
      </c>
      <c r="AS280" s="369"/>
      <c r="AT280" s="350">
        <f t="shared" si="147"/>
        <v>12055247.194129769</v>
      </c>
      <c r="AU280" s="350">
        <f t="shared" si="130"/>
        <v>11946868.909524864</v>
      </c>
      <c r="AV280" s="350">
        <f t="shared" si="131"/>
        <v>11828030.032744782</v>
      </c>
      <c r="AW280" s="350">
        <f t="shared" si="132"/>
        <v>11675371.794506652</v>
      </c>
      <c r="AX280" s="350">
        <f t="shared" si="133"/>
        <v>11468911.60638833</v>
      </c>
      <c r="AY280" s="350">
        <f t="shared" si="134"/>
        <v>58974429.537294395</v>
      </c>
      <c r="AZ280" s="365"/>
      <c r="BA280" s="377">
        <f t="shared" si="135"/>
        <v>0</v>
      </c>
      <c r="BB280" s="377">
        <f t="shared" si="136"/>
        <v>0</v>
      </c>
      <c r="BC280" s="377">
        <f t="shared" si="137"/>
        <v>0</v>
      </c>
      <c r="BD280" s="377">
        <f t="shared" si="138"/>
        <v>0</v>
      </c>
      <c r="BE280" s="377">
        <f t="shared" si="139"/>
        <v>0</v>
      </c>
      <c r="BF280" s="377">
        <f t="shared" si="140"/>
        <v>0</v>
      </c>
      <c r="BG280" s="328"/>
    </row>
    <row r="281" spans="2:59">
      <c r="B281" s="332">
        <v>266</v>
      </c>
      <c r="C281" s="350">
        <v>5082176.6749896398</v>
      </c>
      <c r="D281" s="350">
        <v>5063862.1276913071</v>
      </c>
      <c r="E281" s="350">
        <v>5044055.8426866326</v>
      </c>
      <c r="F281" s="350">
        <v>5020293.9639759772</v>
      </c>
      <c r="G281" s="350">
        <v>4990393.7834644429</v>
      </c>
      <c r="H281" s="348">
        <v>25200782.392808001</v>
      </c>
      <c r="I281" s="369"/>
      <c r="J281" s="350">
        <v>20374253.714304563</v>
      </c>
      <c r="K281" s="350">
        <v>19991614.775578655</v>
      </c>
      <c r="L281" s="350">
        <v>19595849.807177529</v>
      </c>
      <c r="M281" s="350">
        <v>19155064.11639126</v>
      </c>
      <c r="N281" s="350">
        <v>18642366.746574532</v>
      </c>
      <c r="O281" s="348">
        <v>97759149.160026535</v>
      </c>
      <c r="P281" s="369"/>
      <c r="Q281" s="350">
        <f t="shared" si="141"/>
        <v>15292077.039314922</v>
      </c>
      <c r="R281" s="350">
        <f t="shared" si="142"/>
        <v>14927752.647887349</v>
      </c>
      <c r="S281" s="350">
        <f t="shared" si="143"/>
        <v>14551793.964490896</v>
      </c>
      <c r="T281" s="350">
        <f t="shared" si="144"/>
        <v>14134770.152415283</v>
      </c>
      <c r="U281" s="350">
        <f t="shared" si="145"/>
        <v>13651972.963110089</v>
      </c>
      <c r="V281" s="350">
        <f t="shared" si="146"/>
        <v>72558366.76721853</v>
      </c>
      <c r="W281" s="365"/>
      <c r="X281" s="377">
        <f t="shared" si="124"/>
        <v>0</v>
      </c>
      <c r="Y281" s="377">
        <f t="shared" si="125"/>
        <v>0</v>
      </c>
      <c r="Z281" s="377">
        <f t="shared" si="126"/>
        <v>0</v>
      </c>
      <c r="AA281" s="377">
        <f t="shared" si="127"/>
        <v>0</v>
      </c>
      <c r="AB281" s="377">
        <f t="shared" si="128"/>
        <v>0</v>
      </c>
      <c r="AC281" s="377">
        <f t="shared" si="129"/>
        <v>0</v>
      </c>
      <c r="AD281" s="376"/>
      <c r="AE281" s="332">
        <v>266</v>
      </c>
      <c r="AF281" s="350">
        <v>422175.74371974671</v>
      </c>
      <c r="AG281" s="350">
        <v>420654.35669976869</v>
      </c>
      <c r="AH281" s="350">
        <v>419009.0512259698</v>
      </c>
      <c r="AI281" s="350">
        <v>417035.15510657337</v>
      </c>
      <c r="AJ281" s="350">
        <v>414551.35106903716</v>
      </c>
      <c r="AK281" s="348">
        <v>2093425.6578210958</v>
      </c>
      <c r="AL281" s="369"/>
      <c r="AM281" s="350">
        <v>9173591.9382442627</v>
      </c>
      <c r="AN281" s="350">
        <v>9087887.1265071873</v>
      </c>
      <c r="AO281" s="350">
        <v>8994504.2990748342</v>
      </c>
      <c r="AP281" s="350">
        <v>8876286.5098828096</v>
      </c>
      <c r="AQ281" s="350">
        <v>8718561.7602256928</v>
      </c>
      <c r="AR281" s="348">
        <v>44850831.633934781</v>
      </c>
      <c r="AS281" s="369"/>
      <c r="AT281" s="350">
        <f t="shared" si="147"/>
        <v>8751416.1945245154</v>
      </c>
      <c r="AU281" s="350">
        <f t="shared" si="130"/>
        <v>8667232.7698074188</v>
      </c>
      <c r="AV281" s="350">
        <f t="shared" si="131"/>
        <v>8575495.2478488646</v>
      </c>
      <c r="AW281" s="350">
        <f t="shared" si="132"/>
        <v>8459251.3547762372</v>
      </c>
      <c r="AX281" s="350">
        <f t="shared" si="133"/>
        <v>8304010.4091566559</v>
      </c>
      <c r="AY281" s="350">
        <f t="shared" si="134"/>
        <v>42757405.976113684</v>
      </c>
      <c r="AZ281" s="365"/>
      <c r="BA281" s="377">
        <f t="shared" si="135"/>
        <v>0</v>
      </c>
      <c r="BB281" s="377">
        <f t="shared" si="136"/>
        <v>0</v>
      </c>
      <c r="BC281" s="377">
        <f t="shared" si="137"/>
        <v>0</v>
      </c>
      <c r="BD281" s="377">
        <f t="shared" si="138"/>
        <v>0</v>
      </c>
      <c r="BE281" s="377">
        <f t="shared" si="139"/>
        <v>0</v>
      </c>
      <c r="BF281" s="377">
        <f t="shared" si="140"/>
        <v>0</v>
      </c>
      <c r="BG281" s="328"/>
    </row>
    <row r="282" spans="2:59">
      <c r="B282" s="332">
        <v>267</v>
      </c>
      <c r="C282" s="350">
        <v>3471078.4669864685</v>
      </c>
      <c r="D282" s="350">
        <v>3458569.8048864878</v>
      </c>
      <c r="E282" s="350">
        <v>3445042.3000814999</v>
      </c>
      <c r="F282" s="350">
        <v>3428813.1622922542</v>
      </c>
      <c r="G282" s="350">
        <v>3408391.6225918843</v>
      </c>
      <c r="H282" s="348">
        <v>17211895.356838591</v>
      </c>
      <c r="I282" s="369"/>
      <c r="J282" s="350">
        <v>11694780.408847883</v>
      </c>
      <c r="K282" s="350">
        <v>11449446.614303149</v>
      </c>
      <c r="L282" s="350">
        <v>11197103.296742944</v>
      </c>
      <c r="M282" s="350">
        <v>10920272.981087849</v>
      </c>
      <c r="N282" s="350">
        <v>10604281.462924041</v>
      </c>
      <c r="O282" s="348">
        <v>55865884.763905868</v>
      </c>
      <c r="P282" s="369"/>
      <c r="Q282" s="350">
        <f t="shared" si="141"/>
        <v>8223701.9418614153</v>
      </c>
      <c r="R282" s="350">
        <f t="shared" si="142"/>
        <v>7990876.809416661</v>
      </c>
      <c r="S282" s="350">
        <f t="shared" si="143"/>
        <v>7752060.9966614442</v>
      </c>
      <c r="T282" s="350">
        <f t="shared" si="144"/>
        <v>7491459.8187955944</v>
      </c>
      <c r="U282" s="350">
        <f t="shared" si="145"/>
        <v>7195889.840332156</v>
      </c>
      <c r="V282" s="350">
        <f t="shared" si="146"/>
        <v>38653989.407067277</v>
      </c>
      <c r="W282" s="365"/>
      <c r="X282" s="377">
        <f t="shared" si="124"/>
        <v>0</v>
      </c>
      <c r="Y282" s="377">
        <f t="shared" si="125"/>
        <v>0</v>
      </c>
      <c r="Z282" s="377">
        <f t="shared" si="126"/>
        <v>0</v>
      </c>
      <c r="AA282" s="377">
        <f t="shared" si="127"/>
        <v>0</v>
      </c>
      <c r="AB282" s="377">
        <f t="shared" si="128"/>
        <v>0</v>
      </c>
      <c r="AC282" s="377">
        <f t="shared" si="129"/>
        <v>0</v>
      </c>
      <c r="AD282" s="376"/>
      <c r="AE282" s="332">
        <v>267</v>
      </c>
      <c r="AF282" s="350">
        <v>349367.64823341387</v>
      </c>
      <c r="AG282" s="350">
        <v>348108.6384178822</v>
      </c>
      <c r="AH282" s="350">
        <v>346747.08102725138</v>
      </c>
      <c r="AI282" s="350">
        <v>345113.60147436557</v>
      </c>
      <c r="AJ282" s="350">
        <v>343058.15232036874</v>
      </c>
      <c r="AK282" s="348">
        <v>1732395.1214732816</v>
      </c>
      <c r="AL282" s="369"/>
      <c r="AM282" s="350">
        <v>11813112.294986749</v>
      </c>
      <c r="AN282" s="350">
        <v>11711761.528179834</v>
      </c>
      <c r="AO282" s="350">
        <v>11600339.483341472</v>
      </c>
      <c r="AP282" s="350">
        <v>11456461.523293134</v>
      </c>
      <c r="AQ282" s="350">
        <v>11260967.106019519</v>
      </c>
      <c r="AR282" s="348">
        <v>57842641.935820706</v>
      </c>
      <c r="AS282" s="369"/>
      <c r="AT282" s="350">
        <f t="shared" si="147"/>
        <v>11463744.646753335</v>
      </c>
      <c r="AU282" s="350">
        <f t="shared" si="130"/>
        <v>11363652.889761951</v>
      </c>
      <c r="AV282" s="350">
        <f t="shared" si="131"/>
        <v>11253592.402314221</v>
      </c>
      <c r="AW282" s="350">
        <f t="shared" si="132"/>
        <v>11111347.921818769</v>
      </c>
      <c r="AX282" s="350">
        <f t="shared" si="133"/>
        <v>10917908.953699151</v>
      </c>
      <c r="AY282" s="350">
        <f t="shared" si="134"/>
        <v>56110246.814347424</v>
      </c>
      <c r="AZ282" s="365"/>
      <c r="BA282" s="377">
        <f t="shared" si="135"/>
        <v>0</v>
      </c>
      <c r="BB282" s="377">
        <f t="shared" si="136"/>
        <v>0</v>
      </c>
      <c r="BC282" s="377">
        <f t="shared" si="137"/>
        <v>0</v>
      </c>
      <c r="BD282" s="377">
        <f t="shared" si="138"/>
        <v>0</v>
      </c>
      <c r="BE282" s="377">
        <f t="shared" si="139"/>
        <v>0</v>
      </c>
      <c r="BF282" s="377">
        <f t="shared" si="140"/>
        <v>0</v>
      </c>
      <c r="BG282" s="328"/>
    </row>
    <row r="283" spans="2:59">
      <c r="B283" s="332">
        <v>268</v>
      </c>
      <c r="C283" s="350">
        <v>5632804.9248422682</v>
      </c>
      <c r="D283" s="350">
        <v>5612506.0885727638</v>
      </c>
      <c r="E283" s="350">
        <v>5590553.8923285455</v>
      </c>
      <c r="F283" s="350">
        <v>5564217.5337199271</v>
      </c>
      <c r="G283" s="350">
        <v>5531077.8192216344</v>
      </c>
      <c r="H283" s="348">
        <v>27931160.258685138</v>
      </c>
      <c r="I283" s="369"/>
      <c r="J283" s="350">
        <v>19773955.132190321</v>
      </c>
      <c r="K283" s="350">
        <v>19370095.640024371</v>
      </c>
      <c r="L283" s="350">
        <v>18954160.396634527</v>
      </c>
      <c r="M283" s="350">
        <v>18496243.898744494</v>
      </c>
      <c r="N283" s="350">
        <v>17971209.88087726</v>
      </c>
      <c r="O283" s="348">
        <v>94565664.94847098</v>
      </c>
      <c r="P283" s="369"/>
      <c r="Q283" s="350">
        <f t="shared" si="141"/>
        <v>14141150.207348052</v>
      </c>
      <c r="R283" s="350">
        <f t="shared" si="142"/>
        <v>13757589.551451609</v>
      </c>
      <c r="S283" s="350">
        <f t="shared" si="143"/>
        <v>13363606.504305981</v>
      </c>
      <c r="T283" s="350">
        <f t="shared" si="144"/>
        <v>12932026.365024567</v>
      </c>
      <c r="U283" s="350">
        <f t="shared" si="145"/>
        <v>12440132.061655626</v>
      </c>
      <c r="V283" s="350">
        <f t="shared" si="146"/>
        <v>66634504.689785838</v>
      </c>
      <c r="W283" s="365"/>
      <c r="X283" s="377">
        <f t="shared" si="124"/>
        <v>0</v>
      </c>
      <c r="Y283" s="377">
        <f t="shared" si="125"/>
        <v>0</v>
      </c>
      <c r="Z283" s="377">
        <f t="shared" si="126"/>
        <v>0</v>
      </c>
      <c r="AA283" s="377">
        <f t="shared" si="127"/>
        <v>0</v>
      </c>
      <c r="AB283" s="377">
        <f t="shared" si="128"/>
        <v>0</v>
      </c>
      <c r="AC283" s="377">
        <f t="shared" si="129"/>
        <v>0</v>
      </c>
      <c r="AD283" s="376"/>
      <c r="AE283" s="332">
        <v>268</v>
      </c>
      <c r="AF283" s="350">
        <v>438646.54914932785</v>
      </c>
      <c r="AG283" s="350">
        <v>437065.80658853083</v>
      </c>
      <c r="AH283" s="350">
        <v>435356.31100733165</v>
      </c>
      <c r="AI283" s="350">
        <v>433305.40511320409</v>
      </c>
      <c r="AJ283" s="350">
        <v>430724.69770394155</v>
      </c>
      <c r="AK283" s="348">
        <v>2175098.7695623362</v>
      </c>
      <c r="AL283" s="369"/>
      <c r="AM283" s="350">
        <v>15665842.542072045</v>
      </c>
      <c r="AN283" s="350">
        <v>15532581.535660386</v>
      </c>
      <c r="AO283" s="350">
        <v>15385941.236098997</v>
      </c>
      <c r="AP283" s="350">
        <v>15196199.519862527</v>
      </c>
      <c r="AQ283" s="350">
        <v>14937912.931716327</v>
      </c>
      <c r="AR283" s="348">
        <v>76718477.765410274</v>
      </c>
      <c r="AS283" s="369"/>
      <c r="AT283" s="350">
        <f t="shared" si="147"/>
        <v>15227195.992922718</v>
      </c>
      <c r="AU283" s="350">
        <f t="shared" si="130"/>
        <v>15095515.729071856</v>
      </c>
      <c r="AV283" s="350">
        <f t="shared" si="131"/>
        <v>14950584.925091665</v>
      </c>
      <c r="AW283" s="350">
        <f t="shared" si="132"/>
        <v>14762894.114749324</v>
      </c>
      <c r="AX283" s="350">
        <f t="shared" si="133"/>
        <v>14507188.234012386</v>
      </c>
      <c r="AY283" s="350">
        <f t="shared" si="134"/>
        <v>74543378.99584794</v>
      </c>
      <c r="AZ283" s="365"/>
      <c r="BA283" s="377">
        <f t="shared" si="135"/>
        <v>0</v>
      </c>
      <c r="BB283" s="377">
        <f t="shared" si="136"/>
        <v>0</v>
      </c>
      <c r="BC283" s="377">
        <f t="shared" si="137"/>
        <v>0</v>
      </c>
      <c r="BD283" s="377">
        <f t="shared" si="138"/>
        <v>0</v>
      </c>
      <c r="BE283" s="377">
        <f t="shared" si="139"/>
        <v>0</v>
      </c>
      <c r="BF283" s="377">
        <f t="shared" si="140"/>
        <v>0</v>
      </c>
      <c r="BG283" s="328"/>
    </row>
    <row r="284" spans="2:59">
      <c r="B284" s="332">
        <v>269</v>
      </c>
      <c r="C284" s="350">
        <v>6114080.3299710164</v>
      </c>
      <c r="D284" s="350">
        <v>6092047.1303106984</v>
      </c>
      <c r="E284" s="350">
        <v>6068219.3050891124</v>
      </c>
      <c r="F284" s="350">
        <v>6039632.7280141879</v>
      </c>
      <c r="G284" s="350">
        <v>6003661.5059927627</v>
      </c>
      <c r="H284" s="348">
        <v>30317640.99937778</v>
      </c>
      <c r="I284" s="369"/>
      <c r="J284" s="350">
        <v>18257448.191989541</v>
      </c>
      <c r="K284" s="350">
        <v>17842189.309705026</v>
      </c>
      <c r="L284" s="350">
        <v>17416646.034465153</v>
      </c>
      <c r="M284" s="350">
        <v>16954574.85478691</v>
      </c>
      <c r="N284" s="350">
        <v>16434022.195788009</v>
      </c>
      <c r="O284" s="348">
        <v>86904880.586734638</v>
      </c>
      <c r="P284" s="369"/>
      <c r="Q284" s="350">
        <f t="shared" si="141"/>
        <v>12143367.862018526</v>
      </c>
      <c r="R284" s="350">
        <f t="shared" si="142"/>
        <v>11750142.179394327</v>
      </c>
      <c r="S284" s="350">
        <f t="shared" si="143"/>
        <v>11348426.72937604</v>
      </c>
      <c r="T284" s="350">
        <f t="shared" si="144"/>
        <v>10914942.126772722</v>
      </c>
      <c r="U284" s="350">
        <f t="shared" si="145"/>
        <v>10430360.689795246</v>
      </c>
      <c r="V284" s="350">
        <f t="shared" si="146"/>
        <v>56587239.587356858</v>
      </c>
      <c r="W284" s="365"/>
      <c r="X284" s="377">
        <f t="shared" si="124"/>
        <v>0</v>
      </c>
      <c r="Y284" s="377">
        <f t="shared" si="125"/>
        <v>0</v>
      </c>
      <c r="Z284" s="377">
        <f t="shared" si="126"/>
        <v>0</v>
      </c>
      <c r="AA284" s="377">
        <f t="shared" si="127"/>
        <v>0</v>
      </c>
      <c r="AB284" s="377">
        <f t="shared" si="128"/>
        <v>0</v>
      </c>
      <c r="AC284" s="377">
        <f t="shared" si="129"/>
        <v>0</v>
      </c>
      <c r="AD284" s="376"/>
      <c r="AE284" s="332">
        <v>269</v>
      </c>
      <c r="AF284" s="350">
        <v>634282.02495846373</v>
      </c>
      <c r="AG284" s="350">
        <v>631996.27440521133</v>
      </c>
      <c r="AH284" s="350">
        <v>629524.34724425816</v>
      </c>
      <c r="AI284" s="350">
        <v>626558.74145971658</v>
      </c>
      <c r="AJ284" s="350">
        <v>622827.04375333607</v>
      </c>
      <c r="AK284" s="348">
        <v>3145188.4318209859</v>
      </c>
      <c r="AL284" s="369"/>
      <c r="AM284" s="350">
        <v>16619374.506348364</v>
      </c>
      <c r="AN284" s="350">
        <v>16470164.282676658</v>
      </c>
      <c r="AO284" s="350">
        <v>16306920.462036364</v>
      </c>
      <c r="AP284" s="350">
        <v>16098364.966856286</v>
      </c>
      <c r="AQ284" s="350">
        <v>15817737.815006629</v>
      </c>
      <c r="AR284" s="348">
        <v>81312562.032924294</v>
      </c>
      <c r="AS284" s="369"/>
      <c r="AT284" s="350">
        <f t="shared" si="147"/>
        <v>15985092.481389901</v>
      </c>
      <c r="AU284" s="350">
        <f t="shared" si="130"/>
        <v>15838168.008271446</v>
      </c>
      <c r="AV284" s="350">
        <f t="shared" si="131"/>
        <v>15677396.114792105</v>
      </c>
      <c r="AW284" s="350">
        <f t="shared" si="132"/>
        <v>15471806.22539657</v>
      </c>
      <c r="AX284" s="350">
        <f t="shared" si="133"/>
        <v>15194910.771253293</v>
      </c>
      <c r="AY284" s="350">
        <f t="shared" si="134"/>
        <v>78167373.601103306</v>
      </c>
      <c r="AZ284" s="365"/>
      <c r="BA284" s="377">
        <f t="shared" si="135"/>
        <v>0</v>
      </c>
      <c r="BB284" s="377">
        <f t="shared" si="136"/>
        <v>0</v>
      </c>
      <c r="BC284" s="377">
        <f t="shared" si="137"/>
        <v>0</v>
      </c>
      <c r="BD284" s="377">
        <f t="shared" si="138"/>
        <v>0</v>
      </c>
      <c r="BE284" s="377">
        <f t="shared" si="139"/>
        <v>0</v>
      </c>
      <c r="BF284" s="377">
        <f t="shared" si="140"/>
        <v>0</v>
      </c>
      <c r="BG284" s="328"/>
    </row>
    <row r="285" spans="2:59">
      <c r="B285" s="332">
        <v>270</v>
      </c>
      <c r="C285" s="350">
        <v>3701333.2134554479</v>
      </c>
      <c r="D285" s="350">
        <v>3687994.786529379</v>
      </c>
      <c r="E285" s="350">
        <v>3673569.9317454561</v>
      </c>
      <c r="F285" s="350">
        <v>3656264.2305645691</v>
      </c>
      <c r="G285" s="350">
        <v>3634488.0235782419</v>
      </c>
      <c r="H285" s="348">
        <v>18353650.185873095</v>
      </c>
      <c r="I285" s="369"/>
      <c r="J285" s="350">
        <v>11309375.646701779</v>
      </c>
      <c r="K285" s="350">
        <v>11056136.6318697</v>
      </c>
      <c r="L285" s="350">
        <v>10796445.616742851</v>
      </c>
      <c r="M285" s="350">
        <v>10513917.530789275</v>
      </c>
      <c r="N285" s="350">
        <v>10194835.345007282</v>
      </c>
      <c r="O285" s="348">
        <v>53870710.771110892</v>
      </c>
      <c r="P285" s="369"/>
      <c r="Q285" s="350">
        <f t="shared" si="141"/>
        <v>7608042.4332463313</v>
      </c>
      <c r="R285" s="350">
        <f t="shared" si="142"/>
        <v>7368141.8453403208</v>
      </c>
      <c r="S285" s="350">
        <f t="shared" si="143"/>
        <v>7122875.6849973947</v>
      </c>
      <c r="T285" s="350">
        <f t="shared" si="144"/>
        <v>6857653.3002247056</v>
      </c>
      <c r="U285" s="350">
        <f t="shared" si="145"/>
        <v>6560347.3214290403</v>
      </c>
      <c r="V285" s="350">
        <f t="shared" si="146"/>
        <v>35517060.585237801</v>
      </c>
      <c r="W285" s="365"/>
      <c r="X285" s="377">
        <f t="shared" si="124"/>
        <v>0</v>
      </c>
      <c r="Y285" s="377">
        <f t="shared" si="125"/>
        <v>0</v>
      </c>
      <c r="Z285" s="377">
        <f t="shared" si="126"/>
        <v>0</v>
      </c>
      <c r="AA285" s="377">
        <f t="shared" si="127"/>
        <v>0</v>
      </c>
      <c r="AB285" s="377">
        <f t="shared" si="128"/>
        <v>0</v>
      </c>
      <c r="AC285" s="377">
        <f t="shared" si="129"/>
        <v>0</v>
      </c>
      <c r="AD285" s="376"/>
      <c r="AE285" s="332">
        <v>270</v>
      </c>
      <c r="AF285" s="350">
        <v>508162.62636676966</v>
      </c>
      <c r="AG285" s="350">
        <v>506331.36998765968</v>
      </c>
      <c r="AH285" s="350">
        <v>504350.95599377487</v>
      </c>
      <c r="AI285" s="350">
        <v>501975.02546927397</v>
      </c>
      <c r="AJ285" s="350">
        <v>498985.3312438929</v>
      </c>
      <c r="AK285" s="348">
        <v>2519805.3090613708</v>
      </c>
      <c r="AL285" s="369"/>
      <c r="AM285" s="350">
        <v>15804311.902353294</v>
      </c>
      <c r="AN285" s="350">
        <v>15666827.606887868</v>
      </c>
      <c r="AO285" s="350">
        <v>15515907.946856765</v>
      </c>
      <c r="AP285" s="350">
        <v>15321666.442685127</v>
      </c>
      <c r="AQ285" s="350">
        <v>15058524.941674899</v>
      </c>
      <c r="AR285" s="348">
        <v>77367238.840457961</v>
      </c>
      <c r="AS285" s="369"/>
      <c r="AT285" s="350">
        <f t="shared" si="147"/>
        <v>15296149.275986524</v>
      </c>
      <c r="AU285" s="350">
        <f t="shared" si="130"/>
        <v>15160496.236900209</v>
      </c>
      <c r="AV285" s="350">
        <f t="shared" si="131"/>
        <v>15011556.99086299</v>
      </c>
      <c r="AW285" s="350">
        <f t="shared" si="132"/>
        <v>14819691.417215854</v>
      </c>
      <c r="AX285" s="350">
        <f t="shared" si="133"/>
        <v>14559539.610431006</v>
      </c>
      <c r="AY285" s="350">
        <f t="shared" si="134"/>
        <v>74847433.531396598</v>
      </c>
      <c r="AZ285" s="365"/>
      <c r="BA285" s="377">
        <f t="shared" si="135"/>
        <v>0</v>
      </c>
      <c r="BB285" s="377">
        <f t="shared" si="136"/>
        <v>0</v>
      </c>
      <c r="BC285" s="377">
        <f t="shared" si="137"/>
        <v>0</v>
      </c>
      <c r="BD285" s="377">
        <f t="shared" si="138"/>
        <v>0</v>
      </c>
      <c r="BE285" s="377">
        <f t="shared" si="139"/>
        <v>0</v>
      </c>
      <c r="BF285" s="377">
        <f t="shared" si="140"/>
        <v>0</v>
      </c>
      <c r="BG285" s="328"/>
    </row>
    <row r="286" spans="2:59">
      <c r="B286" s="332">
        <v>271</v>
      </c>
      <c r="C286" s="350">
        <v>6867957.3858804982</v>
      </c>
      <c r="D286" s="350">
        <v>6843207.4532373343</v>
      </c>
      <c r="E286" s="350">
        <v>6816441.6144867595</v>
      </c>
      <c r="F286" s="350">
        <v>6784330.2612557011</v>
      </c>
      <c r="G286" s="350">
        <v>6743923.7231292445</v>
      </c>
      <c r="H286" s="348">
        <v>34055860.43798954</v>
      </c>
      <c r="I286" s="369"/>
      <c r="J286" s="350">
        <v>20735227.355558202</v>
      </c>
      <c r="K286" s="350">
        <v>20267133.098391194</v>
      </c>
      <c r="L286" s="350">
        <v>19787286.824269217</v>
      </c>
      <c r="M286" s="350">
        <v>19265769.718019463</v>
      </c>
      <c r="N286" s="350">
        <v>18677544.536775634</v>
      </c>
      <c r="O286" s="348">
        <v>98732961.533013716</v>
      </c>
      <c r="P286" s="369"/>
      <c r="Q286" s="350">
        <f t="shared" si="141"/>
        <v>13867269.969677703</v>
      </c>
      <c r="R286" s="350">
        <f t="shared" si="142"/>
        <v>13423925.64515386</v>
      </c>
      <c r="S286" s="350">
        <f t="shared" si="143"/>
        <v>12970845.209782457</v>
      </c>
      <c r="T286" s="350">
        <f t="shared" si="144"/>
        <v>12481439.456763763</v>
      </c>
      <c r="U286" s="350">
        <f t="shared" si="145"/>
        <v>11933620.813646389</v>
      </c>
      <c r="V286" s="350">
        <f t="shared" si="146"/>
        <v>64677101.095024176</v>
      </c>
      <c r="W286" s="365"/>
      <c r="X286" s="377">
        <f t="shared" si="124"/>
        <v>0</v>
      </c>
      <c r="Y286" s="377">
        <f t="shared" si="125"/>
        <v>0</v>
      </c>
      <c r="Z286" s="377">
        <f t="shared" si="126"/>
        <v>0</v>
      </c>
      <c r="AA286" s="377">
        <f t="shared" si="127"/>
        <v>0</v>
      </c>
      <c r="AB286" s="377">
        <f t="shared" si="128"/>
        <v>0</v>
      </c>
      <c r="AC286" s="377">
        <f t="shared" si="129"/>
        <v>0</v>
      </c>
      <c r="AD286" s="376"/>
      <c r="AE286" s="332">
        <v>271</v>
      </c>
      <c r="AF286" s="350">
        <v>481625.09196197428</v>
      </c>
      <c r="AG286" s="350">
        <v>479889.46841110283</v>
      </c>
      <c r="AH286" s="350">
        <v>478012.47663241375</v>
      </c>
      <c r="AI286" s="350">
        <v>475760.62319419533</v>
      </c>
      <c r="AJ286" s="350">
        <v>472927.05834403657</v>
      </c>
      <c r="AK286" s="348">
        <v>2388214.7185437228</v>
      </c>
      <c r="AL286" s="369"/>
      <c r="AM286" s="350">
        <v>15220126.398353646</v>
      </c>
      <c r="AN286" s="350">
        <v>15088083.784050787</v>
      </c>
      <c r="AO286" s="350">
        <v>14943095.079447236</v>
      </c>
      <c r="AP286" s="350">
        <v>14756366.90033742</v>
      </c>
      <c r="AQ286" s="350">
        <v>14503255.901763747</v>
      </c>
      <c r="AR286" s="348">
        <v>74510928.063952833</v>
      </c>
      <c r="AS286" s="369"/>
      <c r="AT286" s="350">
        <f t="shared" si="147"/>
        <v>14738501.306391671</v>
      </c>
      <c r="AU286" s="350">
        <f t="shared" si="130"/>
        <v>14608194.315639684</v>
      </c>
      <c r="AV286" s="350">
        <f t="shared" si="131"/>
        <v>14465082.602814822</v>
      </c>
      <c r="AW286" s="350">
        <f t="shared" si="132"/>
        <v>14280606.277143225</v>
      </c>
      <c r="AX286" s="350">
        <f t="shared" si="133"/>
        <v>14030328.84341971</v>
      </c>
      <c r="AY286" s="350">
        <f t="shared" si="134"/>
        <v>72122713.34540911</v>
      </c>
      <c r="AZ286" s="365"/>
      <c r="BA286" s="377">
        <f t="shared" si="135"/>
        <v>0</v>
      </c>
      <c r="BB286" s="377">
        <f t="shared" si="136"/>
        <v>0</v>
      </c>
      <c r="BC286" s="377">
        <f t="shared" si="137"/>
        <v>0</v>
      </c>
      <c r="BD286" s="377">
        <f t="shared" si="138"/>
        <v>0</v>
      </c>
      <c r="BE286" s="377">
        <f t="shared" si="139"/>
        <v>0</v>
      </c>
      <c r="BF286" s="377">
        <f t="shared" si="140"/>
        <v>0</v>
      </c>
      <c r="BG286" s="328"/>
    </row>
    <row r="287" spans="2:59">
      <c r="B287" s="332">
        <v>272</v>
      </c>
      <c r="C287" s="350">
        <v>6236348.2123097098</v>
      </c>
      <c r="D287" s="350">
        <v>6213874.3981140526</v>
      </c>
      <c r="E287" s="350">
        <v>6189570.0698742932</v>
      </c>
      <c r="F287" s="350">
        <v>6160411.8254260905</v>
      </c>
      <c r="G287" s="350">
        <v>6123721.2597087491</v>
      </c>
      <c r="H287" s="348">
        <v>30923925.765432894</v>
      </c>
      <c r="I287" s="369"/>
      <c r="J287" s="350">
        <v>21669254.290484428</v>
      </c>
      <c r="K287" s="350">
        <v>21223732.501922753</v>
      </c>
      <c r="L287" s="350">
        <v>20765037.824188787</v>
      </c>
      <c r="M287" s="350">
        <v>20260493.737330109</v>
      </c>
      <c r="N287" s="350">
        <v>19682642.169464827</v>
      </c>
      <c r="O287" s="348">
        <v>103601160.5233909</v>
      </c>
      <c r="P287" s="369"/>
      <c r="Q287" s="350">
        <f t="shared" si="141"/>
        <v>15432906.078174718</v>
      </c>
      <c r="R287" s="350">
        <f t="shared" si="142"/>
        <v>15009858.103808701</v>
      </c>
      <c r="S287" s="350">
        <f t="shared" si="143"/>
        <v>14575467.754314493</v>
      </c>
      <c r="T287" s="350">
        <f t="shared" si="144"/>
        <v>14100081.911904018</v>
      </c>
      <c r="U287" s="350">
        <f t="shared" si="145"/>
        <v>13558920.909756077</v>
      </c>
      <c r="V287" s="350">
        <f t="shared" si="146"/>
        <v>72677234.75795801</v>
      </c>
      <c r="W287" s="365"/>
      <c r="X287" s="377">
        <f t="shared" si="124"/>
        <v>0</v>
      </c>
      <c r="Y287" s="377">
        <f t="shared" si="125"/>
        <v>0</v>
      </c>
      <c r="Z287" s="377">
        <f t="shared" si="126"/>
        <v>0</v>
      </c>
      <c r="AA287" s="377">
        <f t="shared" si="127"/>
        <v>0</v>
      </c>
      <c r="AB287" s="377">
        <f t="shared" si="128"/>
        <v>0</v>
      </c>
      <c r="AC287" s="377">
        <f t="shared" si="129"/>
        <v>0</v>
      </c>
      <c r="AD287" s="376"/>
      <c r="AE287" s="332">
        <v>272</v>
      </c>
      <c r="AF287" s="350">
        <v>304562.71898223792</v>
      </c>
      <c r="AG287" s="350">
        <v>303465.17187224486</v>
      </c>
      <c r="AH287" s="350">
        <v>302278.22848169983</v>
      </c>
      <c r="AI287" s="350">
        <v>300854.23580079636</v>
      </c>
      <c r="AJ287" s="350">
        <v>299062.38934267015</v>
      </c>
      <c r="AK287" s="348">
        <v>1510222.744479649</v>
      </c>
      <c r="AL287" s="369"/>
      <c r="AM287" s="350">
        <v>11862212.975421188</v>
      </c>
      <c r="AN287" s="350">
        <v>11762587.105919994</v>
      </c>
      <c r="AO287" s="350">
        <v>11652804.272933759</v>
      </c>
      <c r="AP287" s="350">
        <v>11510317.485170985</v>
      </c>
      <c r="AQ287" s="350">
        <v>11315822.998029077</v>
      </c>
      <c r="AR287" s="348">
        <v>58103744.837475002</v>
      </c>
      <c r="AS287" s="369"/>
      <c r="AT287" s="350">
        <f t="shared" si="147"/>
        <v>11557650.25643895</v>
      </c>
      <c r="AU287" s="350">
        <f t="shared" si="130"/>
        <v>11459121.934047749</v>
      </c>
      <c r="AV287" s="350">
        <f t="shared" si="131"/>
        <v>11350526.044452058</v>
      </c>
      <c r="AW287" s="350">
        <f t="shared" si="132"/>
        <v>11209463.249370188</v>
      </c>
      <c r="AX287" s="350">
        <f t="shared" si="133"/>
        <v>11016760.608686408</v>
      </c>
      <c r="AY287" s="350">
        <f t="shared" si="134"/>
        <v>56593522.092995353</v>
      </c>
      <c r="AZ287" s="365"/>
      <c r="BA287" s="377">
        <f t="shared" si="135"/>
        <v>0</v>
      </c>
      <c r="BB287" s="377">
        <f t="shared" si="136"/>
        <v>0</v>
      </c>
      <c r="BC287" s="377">
        <f t="shared" si="137"/>
        <v>0</v>
      </c>
      <c r="BD287" s="377">
        <f t="shared" si="138"/>
        <v>0</v>
      </c>
      <c r="BE287" s="377">
        <f t="shared" si="139"/>
        <v>0</v>
      </c>
      <c r="BF287" s="377">
        <f t="shared" si="140"/>
        <v>0</v>
      </c>
      <c r="BG287" s="328"/>
    </row>
    <row r="288" spans="2:59">
      <c r="B288" s="332">
        <v>273</v>
      </c>
      <c r="C288" s="350">
        <v>5070567.0919144833</v>
      </c>
      <c r="D288" s="350">
        <v>5052294.3818587204</v>
      </c>
      <c r="E288" s="350">
        <v>5032533.3417807538</v>
      </c>
      <c r="F288" s="350">
        <v>5008825.7440450741</v>
      </c>
      <c r="G288" s="350">
        <v>4978993.8666744586</v>
      </c>
      <c r="H288" s="348">
        <v>25143214.426273488</v>
      </c>
      <c r="I288" s="369"/>
      <c r="J288" s="350">
        <v>19526427.526676413</v>
      </c>
      <c r="K288" s="350">
        <v>19150437.821368858</v>
      </c>
      <c r="L288" s="350">
        <v>18762057.657733802</v>
      </c>
      <c r="M288" s="350">
        <v>18331019.062534869</v>
      </c>
      <c r="N288" s="350">
        <v>17831824.7316125</v>
      </c>
      <c r="O288" s="348">
        <v>93601766.799926445</v>
      </c>
      <c r="P288" s="369"/>
      <c r="Q288" s="350">
        <f t="shared" si="141"/>
        <v>14455860.43476193</v>
      </c>
      <c r="R288" s="350">
        <f t="shared" si="142"/>
        <v>14098143.439510137</v>
      </c>
      <c r="S288" s="350">
        <f t="shared" si="143"/>
        <v>13729524.315953048</v>
      </c>
      <c r="T288" s="350">
        <f t="shared" si="144"/>
        <v>13322193.318489794</v>
      </c>
      <c r="U288" s="350">
        <f t="shared" si="145"/>
        <v>12852830.864938041</v>
      </c>
      <c r="V288" s="350">
        <f t="shared" si="146"/>
        <v>68458552.373652965</v>
      </c>
      <c r="W288" s="365"/>
      <c r="X288" s="377">
        <f t="shared" si="124"/>
        <v>0</v>
      </c>
      <c r="Y288" s="377">
        <f t="shared" si="125"/>
        <v>0</v>
      </c>
      <c r="Z288" s="377">
        <f t="shared" si="126"/>
        <v>0</v>
      </c>
      <c r="AA288" s="377">
        <f t="shared" si="127"/>
        <v>0</v>
      </c>
      <c r="AB288" s="377">
        <f t="shared" si="128"/>
        <v>0</v>
      </c>
      <c r="AC288" s="377">
        <f t="shared" si="129"/>
        <v>0</v>
      </c>
      <c r="AD288" s="376"/>
      <c r="AE288" s="332">
        <v>273</v>
      </c>
      <c r="AF288" s="350">
        <v>328840.81084962439</v>
      </c>
      <c r="AG288" s="350">
        <v>327655.77322321403</v>
      </c>
      <c r="AH288" s="350">
        <v>326374.21312851919</v>
      </c>
      <c r="AI288" s="350">
        <v>324836.70745679078</v>
      </c>
      <c r="AJ288" s="350">
        <v>322902.02469529799</v>
      </c>
      <c r="AK288" s="348">
        <v>1630609.5293534463</v>
      </c>
      <c r="AL288" s="369"/>
      <c r="AM288" s="350">
        <v>11105143.76280823</v>
      </c>
      <c r="AN288" s="350">
        <v>11009847.952229435</v>
      </c>
      <c r="AO288" s="350">
        <v>10905084.832149087</v>
      </c>
      <c r="AP288" s="350">
        <v>10769811.909097025</v>
      </c>
      <c r="AQ288" s="350">
        <v>10586017.51126669</v>
      </c>
      <c r="AR288" s="348">
        <v>54375905.967550471</v>
      </c>
      <c r="AS288" s="369"/>
      <c r="AT288" s="350">
        <f t="shared" si="147"/>
        <v>10776302.951958606</v>
      </c>
      <c r="AU288" s="350">
        <f t="shared" si="130"/>
        <v>10682192.179006221</v>
      </c>
      <c r="AV288" s="350">
        <f t="shared" si="131"/>
        <v>10578710.619020568</v>
      </c>
      <c r="AW288" s="350">
        <f t="shared" si="132"/>
        <v>10444975.201640235</v>
      </c>
      <c r="AX288" s="350">
        <f t="shared" si="133"/>
        <v>10263115.486571392</v>
      </c>
      <c r="AY288" s="350">
        <f t="shared" si="134"/>
        <v>52745296.438197024</v>
      </c>
      <c r="AZ288" s="365"/>
      <c r="BA288" s="377">
        <f t="shared" si="135"/>
        <v>0</v>
      </c>
      <c r="BB288" s="377">
        <f t="shared" si="136"/>
        <v>0</v>
      </c>
      <c r="BC288" s="377">
        <f t="shared" si="137"/>
        <v>0</v>
      </c>
      <c r="BD288" s="377">
        <f t="shared" si="138"/>
        <v>0</v>
      </c>
      <c r="BE288" s="377">
        <f t="shared" si="139"/>
        <v>0</v>
      </c>
      <c r="BF288" s="377">
        <f t="shared" si="140"/>
        <v>0</v>
      </c>
      <c r="BG288" s="328"/>
    </row>
    <row r="289" spans="2:59">
      <c r="B289" s="332">
        <v>274</v>
      </c>
      <c r="C289" s="350">
        <v>3731710.1428404208</v>
      </c>
      <c r="D289" s="350">
        <v>3718262.2471285183</v>
      </c>
      <c r="E289" s="350">
        <v>3703719.0072195912</v>
      </c>
      <c r="F289" s="350">
        <v>3686271.2777390573</v>
      </c>
      <c r="G289" s="350">
        <v>3664316.352906012</v>
      </c>
      <c r="H289" s="348">
        <v>18504279.0278336</v>
      </c>
      <c r="I289" s="369"/>
      <c r="J289" s="350">
        <v>12500468.937776513</v>
      </c>
      <c r="K289" s="350">
        <v>12237235.902966518</v>
      </c>
      <c r="L289" s="350">
        <v>11966530.806210851</v>
      </c>
      <c r="M289" s="350">
        <v>11669704.311124459</v>
      </c>
      <c r="N289" s="350">
        <v>11331100.80498784</v>
      </c>
      <c r="O289" s="348">
        <v>59705040.76306618</v>
      </c>
      <c r="P289" s="369"/>
      <c r="Q289" s="350">
        <f t="shared" si="141"/>
        <v>8768758.7949360926</v>
      </c>
      <c r="R289" s="350">
        <f t="shared" si="142"/>
        <v>8518973.6558379997</v>
      </c>
      <c r="S289" s="350">
        <f t="shared" si="143"/>
        <v>8262811.7989912601</v>
      </c>
      <c r="T289" s="350">
        <f t="shared" si="144"/>
        <v>7983433.0333854016</v>
      </c>
      <c r="U289" s="350">
        <f t="shared" si="145"/>
        <v>7666784.4520818284</v>
      </c>
      <c r="V289" s="350">
        <f t="shared" si="146"/>
        <v>41200761.735232577</v>
      </c>
      <c r="W289" s="365"/>
      <c r="X289" s="377">
        <f t="shared" si="124"/>
        <v>0</v>
      </c>
      <c r="Y289" s="377">
        <f t="shared" si="125"/>
        <v>0</v>
      </c>
      <c r="Z289" s="377">
        <f t="shared" si="126"/>
        <v>0</v>
      </c>
      <c r="AA289" s="377">
        <f t="shared" si="127"/>
        <v>0</v>
      </c>
      <c r="AB289" s="377">
        <f t="shared" si="128"/>
        <v>0</v>
      </c>
      <c r="AC289" s="377">
        <f t="shared" si="129"/>
        <v>0</v>
      </c>
      <c r="AD289" s="376"/>
      <c r="AE289" s="332">
        <v>274</v>
      </c>
      <c r="AF289" s="350">
        <v>841545.91434991988</v>
      </c>
      <c r="AG289" s="350">
        <v>838513.25070248556</v>
      </c>
      <c r="AH289" s="350">
        <v>835233.57364872249</v>
      </c>
      <c r="AI289" s="350">
        <v>831298.89895615657</v>
      </c>
      <c r="AJ289" s="350">
        <v>826347.79702543549</v>
      </c>
      <c r="AK289" s="348">
        <v>4172939.4346827203</v>
      </c>
      <c r="AL289" s="369"/>
      <c r="AM289" s="350">
        <v>21090893.999465406</v>
      </c>
      <c r="AN289" s="350">
        <v>20899839.628096737</v>
      </c>
      <c r="AO289" s="350">
        <v>20691010.538038407</v>
      </c>
      <c r="AP289" s="350">
        <v>20424767.994346645</v>
      </c>
      <c r="AQ289" s="350">
        <v>20067202.420911569</v>
      </c>
      <c r="AR289" s="348">
        <v>103173714.58085877</v>
      </c>
      <c r="AS289" s="369"/>
      <c r="AT289" s="350">
        <f t="shared" si="147"/>
        <v>20249348.085115485</v>
      </c>
      <c r="AU289" s="350">
        <f t="shared" si="130"/>
        <v>20061326.377394252</v>
      </c>
      <c r="AV289" s="350">
        <f t="shared" si="131"/>
        <v>19855776.964389686</v>
      </c>
      <c r="AW289" s="350">
        <f t="shared" si="132"/>
        <v>19593469.095390487</v>
      </c>
      <c r="AX289" s="350">
        <f t="shared" si="133"/>
        <v>19240854.623886134</v>
      </c>
      <c r="AY289" s="350">
        <f t="shared" si="134"/>
        <v>99000775.14617604</v>
      </c>
      <c r="AZ289" s="365"/>
      <c r="BA289" s="377">
        <f t="shared" si="135"/>
        <v>0</v>
      </c>
      <c r="BB289" s="377">
        <f t="shared" si="136"/>
        <v>0</v>
      </c>
      <c r="BC289" s="377">
        <f t="shared" si="137"/>
        <v>0</v>
      </c>
      <c r="BD289" s="377">
        <f t="shared" si="138"/>
        <v>0</v>
      </c>
      <c r="BE289" s="377">
        <f t="shared" si="139"/>
        <v>0</v>
      </c>
      <c r="BF289" s="377">
        <f t="shared" si="140"/>
        <v>0</v>
      </c>
      <c r="BG289" s="328"/>
    </row>
    <row r="290" spans="2:59">
      <c r="B290" s="332">
        <v>275</v>
      </c>
      <c r="C290" s="350">
        <v>5605175.4802202387</v>
      </c>
      <c r="D290" s="350">
        <v>5584976.2116758861</v>
      </c>
      <c r="E290" s="350">
        <v>5563131.6930449642</v>
      </c>
      <c r="F290" s="350">
        <v>5536924.516783583</v>
      </c>
      <c r="G290" s="350">
        <v>5503947.3557411144</v>
      </c>
      <c r="H290" s="348">
        <v>27794155.257465787</v>
      </c>
      <c r="I290" s="369"/>
      <c r="J290" s="350">
        <v>21685671.18655647</v>
      </c>
      <c r="K290" s="350">
        <v>21269315.166410644</v>
      </c>
      <c r="L290" s="350">
        <v>20839173.818383604</v>
      </c>
      <c r="M290" s="350">
        <v>20361593.013206549</v>
      </c>
      <c r="N290" s="350">
        <v>19808220.078542989</v>
      </c>
      <c r="O290" s="348">
        <v>103963973.26310025</v>
      </c>
      <c r="P290" s="369"/>
      <c r="Q290" s="350">
        <f t="shared" si="141"/>
        <v>16080495.70633623</v>
      </c>
      <c r="R290" s="350">
        <f t="shared" si="142"/>
        <v>15684338.954734758</v>
      </c>
      <c r="S290" s="350">
        <f t="shared" si="143"/>
        <v>15276042.12533864</v>
      </c>
      <c r="T290" s="350">
        <f t="shared" si="144"/>
        <v>14824668.496422965</v>
      </c>
      <c r="U290" s="350">
        <f t="shared" si="145"/>
        <v>14304272.722801875</v>
      </c>
      <c r="V290" s="350">
        <f t="shared" si="146"/>
        <v>76169818.005634457</v>
      </c>
      <c r="W290" s="365"/>
      <c r="X290" s="377">
        <f t="shared" si="124"/>
        <v>0</v>
      </c>
      <c r="Y290" s="377">
        <f t="shared" si="125"/>
        <v>0</v>
      </c>
      <c r="Z290" s="377">
        <f t="shared" si="126"/>
        <v>0</v>
      </c>
      <c r="AA290" s="377">
        <f t="shared" si="127"/>
        <v>0</v>
      </c>
      <c r="AB290" s="377">
        <f t="shared" si="128"/>
        <v>0</v>
      </c>
      <c r="AC290" s="377">
        <f t="shared" si="129"/>
        <v>0</v>
      </c>
      <c r="AD290" s="376"/>
      <c r="AE290" s="332">
        <v>275</v>
      </c>
      <c r="AF290" s="350">
        <v>592316.45944982453</v>
      </c>
      <c r="AG290" s="350">
        <v>590181.9394388299</v>
      </c>
      <c r="AH290" s="350">
        <v>587873.560695022</v>
      </c>
      <c r="AI290" s="350">
        <v>585104.16624696308</v>
      </c>
      <c r="AJ290" s="350">
        <v>581619.36629015347</v>
      </c>
      <c r="AK290" s="348">
        <v>2937095.4921207931</v>
      </c>
      <c r="AL290" s="369"/>
      <c r="AM290" s="350">
        <v>15365639.236586561</v>
      </c>
      <c r="AN290" s="350">
        <v>15227412.186452407</v>
      </c>
      <c r="AO290" s="350">
        <v>15076215.782410581</v>
      </c>
      <c r="AP290" s="350">
        <v>14883140.324036468</v>
      </c>
      <c r="AQ290" s="350">
        <v>14623452.63803255</v>
      </c>
      <c r="AR290" s="348">
        <v>75175860.167518571</v>
      </c>
      <c r="AS290" s="369"/>
      <c r="AT290" s="350">
        <f t="shared" si="147"/>
        <v>14773322.777136737</v>
      </c>
      <c r="AU290" s="350">
        <f t="shared" si="130"/>
        <v>14637230.247013578</v>
      </c>
      <c r="AV290" s="350">
        <f t="shared" si="131"/>
        <v>14488342.221715558</v>
      </c>
      <c r="AW290" s="350">
        <f t="shared" si="132"/>
        <v>14298036.157789504</v>
      </c>
      <c r="AX290" s="350">
        <f t="shared" si="133"/>
        <v>14041833.271742396</v>
      </c>
      <c r="AY290" s="350">
        <f t="shared" si="134"/>
        <v>72238764.675397784</v>
      </c>
      <c r="AZ290" s="365"/>
      <c r="BA290" s="377">
        <f t="shared" si="135"/>
        <v>0</v>
      </c>
      <c r="BB290" s="377">
        <f t="shared" si="136"/>
        <v>0</v>
      </c>
      <c r="BC290" s="377">
        <f t="shared" si="137"/>
        <v>0</v>
      </c>
      <c r="BD290" s="377">
        <f t="shared" si="138"/>
        <v>0</v>
      </c>
      <c r="BE290" s="377">
        <f t="shared" si="139"/>
        <v>0</v>
      </c>
      <c r="BF290" s="377">
        <f t="shared" si="140"/>
        <v>0</v>
      </c>
      <c r="BG290" s="328"/>
    </row>
    <row r="291" spans="2:59">
      <c r="B291" s="332">
        <v>276</v>
      </c>
      <c r="C291" s="350">
        <v>9290123.1164995469</v>
      </c>
      <c r="D291" s="350">
        <v>9256644.4694344439</v>
      </c>
      <c r="E291" s="350">
        <v>9220438.9539750144</v>
      </c>
      <c r="F291" s="350">
        <v>9177002.6878200658</v>
      </c>
      <c r="G291" s="350">
        <v>9122345.7217360847</v>
      </c>
      <c r="H291" s="348">
        <v>46066554.949465156</v>
      </c>
      <c r="I291" s="369"/>
      <c r="J291" s="350">
        <v>29746020.221579038</v>
      </c>
      <c r="K291" s="350">
        <v>29100602.332820658</v>
      </c>
      <c r="L291" s="350">
        <v>28437792.587823208</v>
      </c>
      <c r="M291" s="350">
        <v>27713827.789240215</v>
      </c>
      <c r="N291" s="350">
        <v>26892017.588450722</v>
      </c>
      <c r="O291" s="348">
        <v>141890260.51991385</v>
      </c>
      <c r="P291" s="369"/>
      <c r="Q291" s="350">
        <f t="shared" si="141"/>
        <v>20455897.105079491</v>
      </c>
      <c r="R291" s="350">
        <f t="shared" si="142"/>
        <v>19843957.863386214</v>
      </c>
      <c r="S291" s="350">
        <f t="shared" si="143"/>
        <v>19217353.633848194</v>
      </c>
      <c r="T291" s="350">
        <f t="shared" si="144"/>
        <v>18536825.101420149</v>
      </c>
      <c r="U291" s="350">
        <f t="shared" si="145"/>
        <v>17769671.866714638</v>
      </c>
      <c r="V291" s="350">
        <f t="shared" si="146"/>
        <v>95823705.570448697</v>
      </c>
      <c r="W291" s="365"/>
      <c r="X291" s="377">
        <f t="shared" si="124"/>
        <v>0</v>
      </c>
      <c r="Y291" s="377">
        <f t="shared" si="125"/>
        <v>0</v>
      </c>
      <c r="Z291" s="377">
        <f t="shared" si="126"/>
        <v>0</v>
      </c>
      <c r="AA291" s="377">
        <f t="shared" si="127"/>
        <v>0</v>
      </c>
      <c r="AB291" s="377">
        <f t="shared" si="128"/>
        <v>0</v>
      </c>
      <c r="AC291" s="377">
        <f t="shared" si="129"/>
        <v>0</v>
      </c>
      <c r="AD291" s="376"/>
      <c r="AE291" s="332">
        <v>276</v>
      </c>
      <c r="AF291" s="350">
        <v>367873.80120646075</v>
      </c>
      <c r="AG291" s="350">
        <v>366548.10110532696</v>
      </c>
      <c r="AH291" s="350">
        <v>365114.42144041002</v>
      </c>
      <c r="AI291" s="350">
        <v>363394.41578060808</v>
      </c>
      <c r="AJ291" s="350">
        <v>361230.08861038822</v>
      </c>
      <c r="AK291" s="348">
        <v>1824160.8281431939</v>
      </c>
      <c r="AL291" s="369"/>
      <c r="AM291" s="350">
        <v>11952577.554832635</v>
      </c>
      <c r="AN291" s="350">
        <v>11849362.993841292</v>
      </c>
      <c r="AO291" s="350">
        <v>11735971.8788785</v>
      </c>
      <c r="AP291" s="350">
        <v>11589776.850225592</v>
      </c>
      <c r="AQ291" s="350">
        <v>11391410.918977307</v>
      </c>
      <c r="AR291" s="348">
        <v>58519100.196755327</v>
      </c>
      <c r="AS291" s="369"/>
      <c r="AT291" s="350">
        <f t="shared" si="147"/>
        <v>11584703.753626175</v>
      </c>
      <c r="AU291" s="350">
        <f t="shared" si="130"/>
        <v>11482814.892735966</v>
      </c>
      <c r="AV291" s="350">
        <f t="shared" si="131"/>
        <v>11370857.457438091</v>
      </c>
      <c r="AW291" s="350">
        <f t="shared" si="132"/>
        <v>11226382.434444984</v>
      </c>
      <c r="AX291" s="350">
        <f t="shared" si="133"/>
        <v>11030180.830366919</v>
      </c>
      <c r="AY291" s="350">
        <f t="shared" si="134"/>
        <v>56694939.368612133</v>
      </c>
      <c r="AZ291" s="365"/>
      <c r="BA291" s="377">
        <f t="shared" si="135"/>
        <v>0</v>
      </c>
      <c r="BB291" s="377">
        <f t="shared" si="136"/>
        <v>0</v>
      </c>
      <c r="BC291" s="377">
        <f t="shared" si="137"/>
        <v>0</v>
      </c>
      <c r="BD291" s="377">
        <f t="shared" si="138"/>
        <v>0</v>
      </c>
      <c r="BE291" s="377">
        <f t="shared" si="139"/>
        <v>0</v>
      </c>
      <c r="BF291" s="377">
        <f t="shared" si="140"/>
        <v>0</v>
      </c>
      <c r="BG291" s="328"/>
    </row>
    <row r="292" spans="2:59">
      <c r="B292" s="332">
        <v>277</v>
      </c>
      <c r="C292" s="350">
        <v>7160065.8633172344</v>
      </c>
      <c r="D292" s="350">
        <v>7134263.2646869607</v>
      </c>
      <c r="E292" s="350">
        <v>7106359.0192798711</v>
      </c>
      <c r="F292" s="350">
        <v>7072881.9035704322</v>
      </c>
      <c r="G292" s="350">
        <v>7030756.7915409282</v>
      </c>
      <c r="H292" s="348">
        <v>35504326.842395425</v>
      </c>
      <c r="I292" s="369"/>
      <c r="J292" s="350">
        <v>24244156.191264074</v>
      </c>
      <c r="K292" s="350">
        <v>23737219.050646953</v>
      </c>
      <c r="L292" s="350">
        <v>23215716.782992154</v>
      </c>
      <c r="M292" s="350">
        <v>22643363.718633793</v>
      </c>
      <c r="N292" s="350">
        <v>21989690.021288507</v>
      </c>
      <c r="O292" s="348">
        <v>115830145.76482549</v>
      </c>
      <c r="P292" s="369"/>
      <c r="Q292" s="350">
        <f t="shared" si="141"/>
        <v>17084090.327946842</v>
      </c>
      <c r="R292" s="350">
        <f t="shared" si="142"/>
        <v>16602955.785959993</v>
      </c>
      <c r="S292" s="350">
        <f t="shared" si="143"/>
        <v>16109357.763712283</v>
      </c>
      <c r="T292" s="350">
        <f t="shared" si="144"/>
        <v>15570481.815063361</v>
      </c>
      <c r="U292" s="350">
        <f t="shared" si="145"/>
        <v>14958933.229747579</v>
      </c>
      <c r="V292" s="350">
        <f t="shared" si="146"/>
        <v>80325818.922430068</v>
      </c>
      <c r="W292" s="365"/>
      <c r="X292" s="377">
        <f t="shared" si="124"/>
        <v>0</v>
      </c>
      <c r="Y292" s="377">
        <f t="shared" si="125"/>
        <v>0</v>
      </c>
      <c r="Z292" s="377">
        <f t="shared" si="126"/>
        <v>0</v>
      </c>
      <c r="AA292" s="377">
        <f t="shared" si="127"/>
        <v>0</v>
      </c>
      <c r="AB292" s="377">
        <f t="shared" si="128"/>
        <v>0</v>
      </c>
      <c r="AC292" s="377">
        <f t="shared" si="129"/>
        <v>0</v>
      </c>
      <c r="AD292" s="376"/>
      <c r="AE292" s="332">
        <v>277</v>
      </c>
      <c r="AF292" s="350">
        <v>434113.38923581113</v>
      </c>
      <c r="AG292" s="350">
        <v>432548.98274063272</v>
      </c>
      <c r="AH292" s="350">
        <v>430857.15381349938</v>
      </c>
      <c r="AI292" s="350">
        <v>428827.44285274972</v>
      </c>
      <c r="AJ292" s="350">
        <v>426273.40557094838</v>
      </c>
      <c r="AK292" s="348">
        <v>2152620.374213641</v>
      </c>
      <c r="AL292" s="369"/>
      <c r="AM292" s="350">
        <v>10374868.255104324</v>
      </c>
      <c r="AN292" s="350">
        <v>10279951.545503931</v>
      </c>
      <c r="AO292" s="350">
        <v>10176310.322035585</v>
      </c>
      <c r="AP292" s="350">
        <v>10044475.995593052</v>
      </c>
      <c r="AQ292" s="350">
        <v>9867795.7155953459</v>
      </c>
      <c r="AR292" s="348">
        <v>50743401.833832234</v>
      </c>
      <c r="AS292" s="369"/>
      <c r="AT292" s="350">
        <f t="shared" si="147"/>
        <v>9940754.8658685125</v>
      </c>
      <c r="AU292" s="350">
        <f t="shared" si="130"/>
        <v>9847402.5627632979</v>
      </c>
      <c r="AV292" s="350">
        <f t="shared" si="131"/>
        <v>9745453.1682220846</v>
      </c>
      <c r="AW292" s="350">
        <f t="shared" si="132"/>
        <v>9615648.5527403019</v>
      </c>
      <c r="AX292" s="350">
        <f t="shared" si="133"/>
        <v>9441522.3100243974</v>
      </c>
      <c r="AY292" s="350">
        <f t="shared" si="134"/>
        <v>48590781.459618591</v>
      </c>
      <c r="AZ292" s="365"/>
      <c r="BA292" s="377">
        <f t="shared" si="135"/>
        <v>0</v>
      </c>
      <c r="BB292" s="377">
        <f t="shared" si="136"/>
        <v>0</v>
      </c>
      <c r="BC292" s="377">
        <f t="shared" si="137"/>
        <v>0</v>
      </c>
      <c r="BD292" s="377">
        <f t="shared" si="138"/>
        <v>0</v>
      </c>
      <c r="BE292" s="377">
        <f t="shared" si="139"/>
        <v>0</v>
      </c>
      <c r="BF292" s="377">
        <f t="shared" si="140"/>
        <v>0</v>
      </c>
      <c r="BG292" s="328"/>
    </row>
    <row r="293" spans="2:59">
      <c r="B293" s="332">
        <v>278</v>
      </c>
      <c r="C293" s="350">
        <v>5160551.7701968066</v>
      </c>
      <c r="D293" s="350">
        <v>5141954.7839987688</v>
      </c>
      <c r="E293" s="350">
        <v>5121843.0551710622</v>
      </c>
      <c r="F293" s="350">
        <v>5097714.7312096115</v>
      </c>
      <c r="G293" s="350">
        <v>5067353.4432545211</v>
      </c>
      <c r="H293" s="348">
        <v>25589417.783830769</v>
      </c>
      <c r="I293" s="369"/>
      <c r="J293" s="350">
        <v>18685398.543131724</v>
      </c>
      <c r="K293" s="350">
        <v>18311295.481638998</v>
      </c>
      <c r="L293" s="350">
        <v>17925627.799673058</v>
      </c>
      <c r="M293" s="350">
        <v>17499893.294985227</v>
      </c>
      <c r="N293" s="350">
        <v>17010116.617252197</v>
      </c>
      <c r="O293" s="348">
        <v>89432331.736681208</v>
      </c>
      <c r="P293" s="369"/>
      <c r="Q293" s="350">
        <f t="shared" si="141"/>
        <v>13524846.772934917</v>
      </c>
      <c r="R293" s="350">
        <f t="shared" si="142"/>
        <v>13169340.697640229</v>
      </c>
      <c r="S293" s="350">
        <f t="shared" si="143"/>
        <v>12803784.744501997</v>
      </c>
      <c r="T293" s="350">
        <f t="shared" si="144"/>
        <v>12402178.563775616</v>
      </c>
      <c r="U293" s="350">
        <f t="shared" si="145"/>
        <v>11942763.173997676</v>
      </c>
      <c r="V293" s="350">
        <f t="shared" si="146"/>
        <v>63842913.952850439</v>
      </c>
      <c r="W293" s="365"/>
      <c r="X293" s="377">
        <f t="shared" si="124"/>
        <v>0</v>
      </c>
      <c r="Y293" s="377">
        <f t="shared" si="125"/>
        <v>0</v>
      </c>
      <c r="Z293" s="377">
        <f t="shared" si="126"/>
        <v>0</v>
      </c>
      <c r="AA293" s="377">
        <f t="shared" si="127"/>
        <v>0</v>
      </c>
      <c r="AB293" s="377">
        <f t="shared" si="128"/>
        <v>0</v>
      </c>
      <c r="AC293" s="377">
        <f t="shared" si="129"/>
        <v>0</v>
      </c>
      <c r="AD293" s="376"/>
      <c r="AE293" s="332">
        <v>278</v>
      </c>
      <c r="AF293" s="350">
        <v>681701.36985862907</v>
      </c>
      <c r="AG293" s="350">
        <v>679244.73507789511</v>
      </c>
      <c r="AH293" s="350">
        <v>676588.0050027793</v>
      </c>
      <c r="AI293" s="350">
        <v>673400.68856272253</v>
      </c>
      <c r="AJ293" s="350">
        <v>669390.00666060718</v>
      </c>
      <c r="AK293" s="348">
        <v>3380324.8051626333</v>
      </c>
      <c r="AL293" s="369"/>
      <c r="AM293" s="350">
        <v>19625885.124691535</v>
      </c>
      <c r="AN293" s="350">
        <v>19452805.803151418</v>
      </c>
      <c r="AO293" s="350">
        <v>19263090.366907798</v>
      </c>
      <c r="AP293" s="350">
        <v>19019701.528335284</v>
      </c>
      <c r="AQ293" s="350">
        <v>18690945.806468181</v>
      </c>
      <c r="AR293" s="348">
        <v>96052428.629554212</v>
      </c>
      <c r="AS293" s="369"/>
      <c r="AT293" s="350">
        <f t="shared" si="147"/>
        <v>18944183.754832905</v>
      </c>
      <c r="AU293" s="350">
        <f t="shared" si="130"/>
        <v>18773561.068073522</v>
      </c>
      <c r="AV293" s="350">
        <f t="shared" si="131"/>
        <v>18586502.36190502</v>
      </c>
      <c r="AW293" s="350">
        <f t="shared" si="132"/>
        <v>18346300.839772563</v>
      </c>
      <c r="AX293" s="350">
        <f t="shared" si="133"/>
        <v>18021555.799807575</v>
      </c>
      <c r="AY293" s="350">
        <f t="shared" si="134"/>
        <v>92672103.824391574</v>
      </c>
      <c r="AZ293" s="365"/>
      <c r="BA293" s="377">
        <f t="shared" si="135"/>
        <v>0</v>
      </c>
      <c r="BB293" s="377">
        <f t="shared" si="136"/>
        <v>0</v>
      </c>
      <c r="BC293" s="377">
        <f t="shared" si="137"/>
        <v>0</v>
      </c>
      <c r="BD293" s="377">
        <f t="shared" si="138"/>
        <v>0</v>
      </c>
      <c r="BE293" s="377">
        <f t="shared" si="139"/>
        <v>0</v>
      </c>
      <c r="BF293" s="377">
        <f t="shared" si="140"/>
        <v>0</v>
      </c>
      <c r="BG293" s="328"/>
    </row>
    <row r="294" spans="2:59">
      <c r="B294" s="332">
        <v>279</v>
      </c>
      <c r="C294" s="350">
        <v>5556648.1246511908</v>
      </c>
      <c r="D294" s="350">
        <v>5536623.7332521398</v>
      </c>
      <c r="E294" s="350">
        <v>5514968.3356802426</v>
      </c>
      <c r="F294" s="350">
        <v>5488988.0506135039</v>
      </c>
      <c r="G294" s="350">
        <v>5456296.3925718265</v>
      </c>
      <c r="H294" s="348">
        <v>27553524.636768904</v>
      </c>
      <c r="I294" s="369"/>
      <c r="J294" s="350">
        <v>18881032.987649012</v>
      </c>
      <c r="K294" s="350">
        <v>18487142.505082563</v>
      </c>
      <c r="L294" s="350">
        <v>18081890.399795592</v>
      </c>
      <c r="M294" s="350">
        <v>17636988.618631076</v>
      </c>
      <c r="N294" s="350">
        <v>17128680.830181483</v>
      </c>
      <c r="O294" s="348">
        <v>90215735.341339722</v>
      </c>
      <c r="P294" s="369"/>
      <c r="Q294" s="350">
        <f t="shared" si="141"/>
        <v>13324384.862997822</v>
      </c>
      <c r="R294" s="350">
        <f t="shared" si="142"/>
        <v>12950518.771830423</v>
      </c>
      <c r="S294" s="350">
        <f t="shared" si="143"/>
        <v>12566922.064115349</v>
      </c>
      <c r="T294" s="350">
        <f t="shared" si="144"/>
        <v>12148000.568017572</v>
      </c>
      <c r="U294" s="350">
        <f t="shared" si="145"/>
        <v>11672384.437609658</v>
      </c>
      <c r="V294" s="350">
        <f t="shared" si="146"/>
        <v>62662210.704570815</v>
      </c>
      <c r="W294" s="365"/>
      <c r="X294" s="377">
        <f t="shared" si="124"/>
        <v>0</v>
      </c>
      <c r="Y294" s="377">
        <f t="shared" si="125"/>
        <v>0</v>
      </c>
      <c r="Z294" s="377">
        <f t="shared" si="126"/>
        <v>0</v>
      </c>
      <c r="AA294" s="377">
        <f t="shared" si="127"/>
        <v>0</v>
      </c>
      <c r="AB294" s="377">
        <f t="shared" si="128"/>
        <v>0</v>
      </c>
      <c r="AC294" s="377">
        <f t="shared" si="129"/>
        <v>0</v>
      </c>
      <c r="AD294" s="376"/>
      <c r="AE294" s="332">
        <v>279</v>
      </c>
      <c r="AF294" s="350">
        <v>418081.66776503355</v>
      </c>
      <c r="AG294" s="350">
        <v>416575.034491828</v>
      </c>
      <c r="AH294" s="350">
        <v>414945.68447183864</v>
      </c>
      <c r="AI294" s="350">
        <v>412990.93033480318</v>
      </c>
      <c r="AJ294" s="350">
        <v>410531.21314388845</v>
      </c>
      <c r="AK294" s="348">
        <v>2073124.5302073918</v>
      </c>
      <c r="AL294" s="369"/>
      <c r="AM294" s="350">
        <v>10195986.589140529</v>
      </c>
      <c r="AN294" s="350">
        <v>10103102.957579276</v>
      </c>
      <c r="AO294" s="350">
        <v>10001637.141314447</v>
      </c>
      <c r="AP294" s="350">
        <v>9872443.4183773808</v>
      </c>
      <c r="AQ294" s="350">
        <v>9699144.3193999659</v>
      </c>
      <c r="AR294" s="348">
        <v>49872314.425811604</v>
      </c>
      <c r="AS294" s="369"/>
      <c r="AT294" s="350">
        <f t="shared" si="147"/>
        <v>9777904.9213754945</v>
      </c>
      <c r="AU294" s="350">
        <f t="shared" si="130"/>
        <v>9686527.9230874479</v>
      </c>
      <c r="AV294" s="350">
        <f t="shared" si="131"/>
        <v>9586691.4568426087</v>
      </c>
      <c r="AW294" s="350">
        <f t="shared" si="132"/>
        <v>9459452.4880425781</v>
      </c>
      <c r="AX294" s="350">
        <f t="shared" si="133"/>
        <v>9288613.1062560771</v>
      </c>
      <c r="AY294" s="350">
        <f t="shared" si="134"/>
        <v>47799189.895604208</v>
      </c>
      <c r="AZ294" s="365"/>
      <c r="BA294" s="377">
        <f t="shared" si="135"/>
        <v>0</v>
      </c>
      <c r="BB294" s="377">
        <f t="shared" si="136"/>
        <v>0</v>
      </c>
      <c r="BC294" s="377">
        <f t="shared" si="137"/>
        <v>0</v>
      </c>
      <c r="BD294" s="377">
        <f t="shared" si="138"/>
        <v>0</v>
      </c>
      <c r="BE294" s="377">
        <f t="shared" si="139"/>
        <v>0</v>
      </c>
      <c r="BF294" s="377">
        <f t="shared" si="140"/>
        <v>0</v>
      </c>
      <c r="BG294" s="328"/>
    </row>
    <row r="295" spans="2:59">
      <c r="B295" s="332">
        <v>280</v>
      </c>
      <c r="C295" s="350">
        <v>3905875.5631858259</v>
      </c>
      <c r="D295" s="350">
        <v>3891800.0307283644</v>
      </c>
      <c r="E295" s="350">
        <v>3876578.0324499588</v>
      </c>
      <c r="F295" s="350">
        <v>3858315.9870063048</v>
      </c>
      <c r="G295" s="350">
        <v>3835336.3875426389</v>
      </c>
      <c r="H295" s="348">
        <v>19367906.000913091</v>
      </c>
      <c r="I295" s="369"/>
      <c r="J295" s="350">
        <v>13726642.581697183</v>
      </c>
      <c r="K295" s="350">
        <v>13446491.433466803</v>
      </c>
      <c r="L295" s="350">
        <v>13157953.498293459</v>
      </c>
      <c r="M295" s="350">
        <v>12840262.603851818</v>
      </c>
      <c r="N295" s="350">
        <v>12475963.811003814</v>
      </c>
      <c r="O295" s="348">
        <v>65647313.928313076</v>
      </c>
      <c r="P295" s="369"/>
      <c r="Q295" s="350">
        <f t="shared" si="141"/>
        <v>9820767.0185113568</v>
      </c>
      <c r="R295" s="350">
        <f t="shared" si="142"/>
        <v>9554691.4027384389</v>
      </c>
      <c r="S295" s="350">
        <f t="shared" si="143"/>
        <v>9281375.4658435006</v>
      </c>
      <c r="T295" s="350">
        <f t="shared" si="144"/>
        <v>8981946.6168455128</v>
      </c>
      <c r="U295" s="350">
        <f t="shared" si="145"/>
        <v>8640627.4234611746</v>
      </c>
      <c r="V295" s="350">
        <f t="shared" si="146"/>
        <v>46279407.927399985</v>
      </c>
      <c r="W295" s="365"/>
      <c r="X295" s="377">
        <f t="shared" si="124"/>
        <v>0</v>
      </c>
      <c r="Y295" s="377">
        <f t="shared" si="125"/>
        <v>0</v>
      </c>
      <c r="Z295" s="377">
        <f t="shared" si="126"/>
        <v>0</v>
      </c>
      <c r="AA295" s="377">
        <f t="shared" si="127"/>
        <v>0</v>
      </c>
      <c r="AB295" s="377">
        <f t="shared" si="128"/>
        <v>0</v>
      </c>
      <c r="AC295" s="377">
        <f t="shared" si="129"/>
        <v>0</v>
      </c>
      <c r="AD295" s="376"/>
      <c r="AE295" s="332">
        <v>280</v>
      </c>
      <c r="AF295" s="350">
        <v>518755.64662309346</v>
      </c>
      <c r="AG295" s="350">
        <v>516886.2163702824</v>
      </c>
      <c r="AH295" s="350">
        <v>514864.51920352236</v>
      </c>
      <c r="AI295" s="350">
        <v>512439.06067584321</v>
      </c>
      <c r="AJ295" s="350">
        <v>509387.04409567581</v>
      </c>
      <c r="AK295" s="348">
        <v>2572332.4869684172</v>
      </c>
      <c r="AL295" s="369"/>
      <c r="AM295" s="350">
        <v>15282694.21664995</v>
      </c>
      <c r="AN295" s="350">
        <v>15148477.932306984</v>
      </c>
      <c r="AO295" s="350">
        <v>15001295.640352145</v>
      </c>
      <c r="AP295" s="350">
        <v>14812288.26209053</v>
      </c>
      <c r="AQ295" s="350">
        <v>14556759.448348885</v>
      </c>
      <c r="AR295" s="348">
        <v>74801515.499748483</v>
      </c>
      <c r="AS295" s="369"/>
      <c r="AT295" s="350">
        <f t="shared" si="147"/>
        <v>14763938.570026856</v>
      </c>
      <c r="AU295" s="350">
        <f t="shared" si="130"/>
        <v>14631591.715936702</v>
      </c>
      <c r="AV295" s="350">
        <f t="shared" si="131"/>
        <v>14486431.121148622</v>
      </c>
      <c r="AW295" s="350">
        <f t="shared" si="132"/>
        <v>14299849.201414688</v>
      </c>
      <c r="AX295" s="350">
        <f t="shared" si="133"/>
        <v>14047372.404253209</v>
      </c>
      <c r="AY295" s="350">
        <f t="shared" si="134"/>
        <v>72229183.01278007</v>
      </c>
      <c r="AZ295" s="365"/>
      <c r="BA295" s="377">
        <f t="shared" si="135"/>
        <v>0</v>
      </c>
      <c r="BB295" s="377">
        <f t="shared" si="136"/>
        <v>0</v>
      </c>
      <c r="BC295" s="377">
        <f t="shared" si="137"/>
        <v>0</v>
      </c>
      <c r="BD295" s="377">
        <f t="shared" si="138"/>
        <v>0</v>
      </c>
      <c r="BE295" s="377">
        <f t="shared" si="139"/>
        <v>0</v>
      </c>
      <c r="BF295" s="377">
        <f t="shared" si="140"/>
        <v>0</v>
      </c>
      <c r="BG295" s="328"/>
    </row>
    <row r="296" spans="2:59">
      <c r="B296" s="332">
        <v>281</v>
      </c>
      <c r="C296" s="350">
        <v>6320619.1048545055</v>
      </c>
      <c r="D296" s="350">
        <v>6297841.6051819194</v>
      </c>
      <c r="E296" s="350">
        <v>6273208.8559875023</v>
      </c>
      <c r="F296" s="350">
        <v>6243656.600300502</v>
      </c>
      <c r="G296" s="350">
        <v>6206470.2401509527</v>
      </c>
      <c r="H296" s="348">
        <v>31341796.40647538</v>
      </c>
      <c r="I296" s="369"/>
      <c r="J296" s="350">
        <v>18402215.254882611</v>
      </c>
      <c r="K296" s="350">
        <v>17976330.345023118</v>
      </c>
      <c r="L296" s="350">
        <v>17540229.242575139</v>
      </c>
      <c r="M296" s="350">
        <v>17067697.187489197</v>
      </c>
      <c r="N296" s="350">
        <v>16536823.72208368</v>
      </c>
      <c r="O296" s="348">
        <v>87523295.752053738</v>
      </c>
      <c r="P296" s="369"/>
      <c r="Q296" s="350">
        <f t="shared" si="141"/>
        <v>12081596.150028106</v>
      </c>
      <c r="R296" s="350">
        <f t="shared" si="142"/>
        <v>11678488.739841199</v>
      </c>
      <c r="S296" s="350">
        <f t="shared" si="143"/>
        <v>11267020.386587637</v>
      </c>
      <c r="T296" s="350">
        <f t="shared" si="144"/>
        <v>10824040.587188695</v>
      </c>
      <c r="U296" s="350">
        <f t="shared" si="145"/>
        <v>10330353.481932728</v>
      </c>
      <c r="V296" s="350">
        <f t="shared" si="146"/>
        <v>56181499.345578358</v>
      </c>
      <c r="W296" s="365"/>
      <c r="X296" s="377">
        <f t="shared" si="124"/>
        <v>0</v>
      </c>
      <c r="Y296" s="377">
        <f t="shared" si="125"/>
        <v>0</v>
      </c>
      <c r="Z296" s="377">
        <f t="shared" si="126"/>
        <v>0</v>
      </c>
      <c r="AA296" s="377">
        <f t="shared" si="127"/>
        <v>0</v>
      </c>
      <c r="AB296" s="377">
        <f t="shared" si="128"/>
        <v>0</v>
      </c>
      <c r="AC296" s="377">
        <f t="shared" si="129"/>
        <v>0</v>
      </c>
      <c r="AD296" s="376"/>
      <c r="AE296" s="332">
        <v>281</v>
      </c>
      <c r="AF296" s="350">
        <v>618927.42660798272</v>
      </c>
      <c r="AG296" s="350">
        <v>616697.00914047693</v>
      </c>
      <c r="AH296" s="350">
        <v>614284.92199897044</v>
      </c>
      <c r="AI296" s="350">
        <v>611391.10712745413</v>
      </c>
      <c r="AJ296" s="350">
        <v>607749.74576546357</v>
      </c>
      <c r="AK296" s="348">
        <v>3069050.2106403476</v>
      </c>
      <c r="AL296" s="369"/>
      <c r="AM296" s="350">
        <v>15254756.133466931</v>
      </c>
      <c r="AN296" s="350">
        <v>15116093.607260019</v>
      </c>
      <c r="AO296" s="350">
        <v>14964584.579125138</v>
      </c>
      <c r="AP296" s="350">
        <v>14771574.249507643</v>
      </c>
      <c r="AQ296" s="350">
        <v>14512550.367210152</v>
      </c>
      <c r="AR296" s="348">
        <v>74619558.936569884</v>
      </c>
      <c r="AS296" s="369"/>
      <c r="AT296" s="350">
        <f t="shared" si="147"/>
        <v>14635828.706858948</v>
      </c>
      <c r="AU296" s="350">
        <f t="shared" si="130"/>
        <v>14499396.598119542</v>
      </c>
      <c r="AV296" s="350">
        <f t="shared" si="131"/>
        <v>14350299.657126168</v>
      </c>
      <c r="AW296" s="350">
        <f t="shared" si="132"/>
        <v>14160183.142380189</v>
      </c>
      <c r="AX296" s="350">
        <f t="shared" si="133"/>
        <v>13904800.621444687</v>
      </c>
      <c r="AY296" s="350">
        <f t="shared" si="134"/>
        <v>71550508.725929543</v>
      </c>
      <c r="AZ296" s="365"/>
      <c r="BA296" s="377">
        <f t="shared" si="135"/>
        <v>0</v>
      </c>
      <c r="BB296" s="377">
        <f t="shared" si="136"/>
        <v>0</v>
      </c>
      <c r="BC296" s="377">
        <f t="shared" si="137"/>
        <v>0</v>
      </c>
      <c r="BD296" s="377">
        <f t="shared" si="138"/>
        <v>0</v>
      </c>
      <c r="BE296" s="377">
        <f t="shared" si="139"/>
        <v>0</v>
      </c>
      <c r="BF296" s="377">
        <f t="shared" si="140"/>
        <v>0</v>
      </c>
      <c r="BG296" s="328"/>
    </row>
    <row r="297" spans="2:59">
      <c r="B297" s="332">
        <v>282</v>
      </c>
      <c r="C297" s="350">
        <v>4557445.5738774873</v>
      </c>
      <c r="D297" s="350">
        <v>4541021.9904682133</v>
      </c>
      <c r="E297" s="350">
        <v>4523260.6902021822</v>
      </c>
      <c r="F297" s="350">
        <v>4501952.2084467523</v>
      </c>
      <c r="G297" s="350">
        <v>4475139.200154257</v>
      </c>
      <c r="H297" s="348">
        <v>22598819.663148891</v>
      </c>
      <c r="I297" s="369"/>
      <c r="J297" s="350">
        <v>16708786.758544959</v>
      </c>
      <c r="K297" s="350">
        <v>16376911.763681639</v>
      </c>
      <c r="L297" s="350">
        <v>16034641.301872376</v>
      </c>
      <c r="M297" s="350">
        <v>15656402.525015555</v>
      </c>
      <c r="N297" s="350">
        <v>15220677.681100309</v>
      </c>
      <c r="O297" s="348">
        <v>79997420.030214846</v>
      </c>
      <c r="P297" s="369"/>
      <c r="Q297" s="350">
        <f t="shared" si="141"/>
        <v>12151341.184667472</v>
      </c>
      <c r="R297" s="350">
        <f t="shared" si="142"/>
        <v>11835889.773213426</v>
      </c>
      <c r="S297" s="350">
        <f t="shared" si="143"/>
        <v>11511380.611670194</v>
      </c>
      <c r="T297" s="350">
        <f t="shared" si="144"/>
        <v>11154450.316568803</v>
      </c>
      <c r="U297" s="350">
        <f t="shared" si="145"/>
        <v>10745538.480946053</v>
      </c>
      <c r="V297" s="350">
        <f t="shared" si="146"/>
        <v>57398600.367065951</v>
      </c>
      <c r="W297" s="365"/>
      <c r="X297" s="377">
        <f t="shared" si="124"/>
        <v>0</v>
      </c>
      <c r="Y297" s="377">
        <f t="shared" si="125"/>
        <v>0</v>
      </c>
      <c r="Z297" s="377">
        <f t="shared" si="126"/>
        <v>0</v>
      </c>
      <c r="AA297" s="377">
        <f t="shared" si="127"/>
        <v>0</v>
      </c>
      <c r="AB297" s="377">
        <f t="shared" si="128"/>
        <v>0</v>
      </c>
      <c r="AC297" s="377">
        <f t="shared" si="129"/>
        <v>0</v>
      </c>
      <c r="AD297" s="376"/>
      <c r="AE297" s="332">
        <v>282</v>
      </c>
      <c r="AF297" s="350">
        <v>415702.02191361168</v>
      </c>
      <c r="AG297" s="350">
        <v>414203.96412671561</v>
      </c>
      <c r="AH297" s="350">
        <v>412583.88807474385</v>
      </c>
      <c r="AI297" s="350">
        <v>410640.26004758448</v>
      </c>
      <c r="AJ297" s="350">
        <v>408194.54312566109</v>
      </c>
      <c r="AK297" s="348">
        <v>2061324.6772883167</v>
      </c>
      <c r="AL297" s="369"/>
      <c r="AM297" s="350">
        <v>13075612.691460192</v>
      </c>
      <c r="AN297" s="350">
        <v>12962084.954682037</v>
      </c>
      <c r="AO297" s="350">
        <v>12837437.06587561</v>
      </c>
      <c r="AP297" s="350">
        <v>12676935.528424265</v>
      </c>
      <c r="AQ297" s="350">
        <v>12459411.904088983</v>
      </c>
      <c r="AR297" s="348">
        <v>64011482.144531086</v>
      </c>
      <c r="AS297" s="369"/>
      <c r="AT297" s="350">
        <f t="shared" si="147"/>
        <v>12659910.66954658</v>
      </c>
      <c r="AU297" s="350">
        <f t="shared" si="130"/>
        <v>12547880.990555322</v>
      </c>
      <c r="AV297" s="350">
        <f t="shared" si="131"/>
        <v>12424853.177800866</v>
      </c>
      <c r="AW297" s="350">
        <f t="shared" si="132"/>
        <v>12266295.26837668</v>
      </c>
      <c r="AX297" s="350">
        <f t="shared" si="133"/>
        <v>12051217.360963322</v>
      </c>
      <c r="AY297" s="350">
        <f t="shared" si="134"/>
        <v>61950157.46724277</v>
      </c>
      <c r="AZ297" s="365"/>
      <c r="BA297" s="377">
        <f t="shared" si="135"/>
        <v>0</v>
      </c>
      <c r="BB297" s="377">
        <f t="shared" si="136"/>
        <v>0</v>
      </c>
      <c r="BC297" s="377">
        <f t="shared" si="137"/>
        <v>0</v>
      </c>
      <c r="BD297" s="377">
        <f t="shared" si="138"/>
        <v>0</v>
      </c>
      <c r="BE297" s="377">
        <f t="shared" si="139"/>
        <v>0</v>
      </c>
      <c r="BF297" s="377">
        <f t="shared" si="140"/>
        <v>0</v>
      </c>
      <c r="BG297" s="328"/>
    </row>
    <row r="298" spans="2:59">
      <c r="B298" s="332">
        <v>283</v>
      </c>
      <c r="C298" s="350">
        <v>4519565.2938247751</v>
      </c>
      <c r="D298" s="350">
        <v>4503278.2188891452</v>
      </c>
      <c r="E298" s="350">
        <v>4485664.5458448268</v>
      </c>
      <c r="F298" s="350">
        <v>4464533.1745437765</v>
      </c>
      <c r="G298" s="350">
        <v>4437943.0288717337</v>
      </c>
      <c r="H298" s="348">
        <v>22410984.261974256</v>
      </c>
      <c r="I298" s="369"/>
      <c r="J298" s="350">
        <v>17121812.751023497</v>
      </c>
      <c r="K298" s="350">
        <v>16788718.433232211</v>
      </c>
      <c r="L298" s="350">
        <v>16444829.061787929</v>
      </c>
      <c r="M298" s="350">
        <v>16063714.081874128</v>
      </c>
      <c r="N298" s="350">
        <v>15623116.987830777</v>
      </c>
      <c r="O298" s="348">
        <v>82042191.315748543</v>
      </c>
      <c r="P298" s="369"/>
      <c r="Q298" s="350">
        <f t="shared" si="141"/>
        <v>12602247.457198722</v>
      </c>
      <c r="R298" s="350">
        <f t="shared" si="142"/>
        <v>12285440.214343065</v>
      </c>
      <c r="S298" s="350">
        <f t="shared" si="143"/>
        <v>11959164.515943103</v>
      </c>
      <c r="T298" s="350">
        <f t="shared" si="144"/>
        <v>11599180.907330353</v>
      </c>
      <c r="U298" s="350">
        <f t="shared" si="145"/>
        <v>11185173.958959043</v>
      </c>
      <c r="V298" s="350">
        <f t="shared" si="146"/>
        <v>59631207.053774282</v>
      </c>
      <c r="W298" s="365"/>
      <c r="X298" s="377">
        <f t="shared" si="124"/>
        <v>0</v>
      </c>
      <c r="Y298" s="377">
        <f t="shared" si="125"/>
        <v>0</v>
      </c>
      <c r="Z298" s="377">
        <f t="shared" si="126"/>
        <v>0</v>
      </c>
      <c r="AA298" s="377">
        <f t="shared" si="127"/>
        <v>0</v>
      </c>
      <c r="AB298" s="377">
        <f t="shared" si="128"/>
        <v>0</v>
      </c>
      <c r="AC298" s="377">
        <f t="shared" si="129"/>
        <v>0</v>
      </c>
      <c r="AD298" s="376"/>
      <c r="AE298" s="332">
        <v>283</v>
      </c>
      <c r="AF298" s="350">
        <v>370089.7274872954</v>
      </c>
      <c r="AG298" s="350">
        <v>368756.04189307953</v>
      </c>
      <c r="AH298" s="350">
        <v>367313.72630889527</v>
      </c>
      <c r="AI298" s="350">
        <v>365583.36001527752</v>
      </c>
      <c r="AJ298" s="350">
        <v>363405.9957941965</v>
      </c>
      <c r="AK298" s="348">
        <v>1835148.851498744</v>
      </c>
      <c r="AL298" s="369"/>
      <c r="AM298" s="350">
        <v>13375254.73167246</v>
      </c>
      <c r="AN298" s="350">
        <v>13261683.608323449</v>
      </c>
      <c r="AO298" s="350">
        <v>13136685.263337905</v>
      </c>
      <c r="AP298" s="350">
        <v>12974876.783091906</v>
      </c>
      <c r="AQ298" s="350">
        <v>12754528.864443153</v>
      </c>
      <c r="AR298" s="348">
        <v>65503029.250868872</v>
      </c>
      <c r="AS298" s="369"/>
      <c r="AT298" s="350">
        <f t="shared" si="147"/>
        <v>13005165.004185164</v>
      </c>
      <c r="AU298" s="350">
        <f t="shared" si="130"/>
        <v>12892927.566430369</v>
      </c>
      <c r="AV298" s="350">
        <f t="shared" si="131"/>
        <v>12769371.537029009</v>
      </c>
      <c r="AW298" s="350">
        <f t="shared" si="132"/>
        <v>12609293.42307663</v>
      </c>
      <c r="AX298" s="350">
        <f t="shared" si="133"/>
        <v>12391122.868648957</v>
      </c>
      <c r="AY298" s="350">
        <f t="shared" si="134"/>
        <v>63667880.399370126</v>
      </c>
      <c r="AZ298" s="365"/>
      <c r="BA298" s="377">
        <f t="shared" si="135"/>
        <v>0</v>
      </c>
      <c r="BB298" s="377">
        <f t="shared" si="136"/>
        <v>0</v>
      </c>
      <c r="BC298" s="377">
        <f t="shared" si="137"/>
        <v>0</v>
      </c>
      <c r="BD298" s="377">
        <f t="shared" si="138"/>
        <v>0</v>
      </c>
      <c r="BE298" s="377">
        <f t="shared" si="139"/>
        <v>0</v>
      </c>
      <c r="BF298" s="377">
        <f t="shared" si="140"/>
        <v>0</v>
      </c>
      <c r="BG298" s="328"/>
    </row>
    <row r="299" spans="2:59">
      <c r="B299" s="332">
        <v>284</v>
      </c>
      <c r="C299" s="350">
        <v>7029594.5930144805</v>
      </c>
      <c r="D299" s="350">
        <v>7004262.1713189781</v>
      </c>
      <c r="E299" s="350">
        <v>6976866.3992157113</v>
      </c>
      <c r="F299" s="350">
        <v>6943999.3060809318</v>
      </c>
      <c r="G299" s="350">
        <v>6902641.8010795005</v>
      </c>
      <c r="H299" s="348">
        <v>34857364.270709604</v>
      </c>
      <c r="I299" s="369"/>
      <c r="J299" s="350">
        <v>22250332.622914176</v>
      </c>
      <c r="K299" s="350">
        <v>21763819.080061428</v>
      </c>
      <c r="L299" s="350">
        <v>21264372.501274604</v>
      </c>
      <c r="M299" s="350">
        <v>20719378.162672222</v>
      </c>
      <c r="N299" s="350">
        <v>20101501.898743484</v>
      </c>
      <c r="O299" s="348">
        <v>106099404.2656659</v>
      </c>
      <c r="P299" s="369"/>
      <c r="Q299" s="350">
        <f t="shared" si="141"/>
        <v>15220738.029899696</v>
      </c>
      <c r="R299" s="350">
        <f t="shared" si="142"/>
        <v>14759556.90874245</v>
      </c>
      <c r="S299" s="350">
        <f t="shared" si="143"/>
        <v>14287506.102058893</v>
      </c>
      <c r="T299" s="350">
        <f t="shared" si="144"/>
        <v>13775378.85659129</v>
      </c>
      <c r="U299" s="350">
        <f t="shared" si="145"/>
        <v>13198860.097663984</v>
      </c>
      <c r="V299" s="350">
        <f t="shared" si="146"/>
        <v>71242039.9949563</v>
      </c>
      <c r="W299" s="365"/>
      <c r="X299" s="377">
        <f t="shared" si="124"/>
        <v>0</v>
      </c>
      <c r="Y299" s="377">
        <f t="shared" si="125"/>
        <v>0</v>
      </c>
      <c r="Z299" s="377">
        <f t="shared" si="126"/>
        <v>0</v>
      </c>
      <c r="AA299" s="377">
        <f t="shared" si="127"/>
        <v>0</v>
      </c>
      <c r="AB299" s="377">
        <f t="shared" si="128"/>
        <v>0</v>
      </c>
      <c r="AC299" s="377">
        <f t="shared" si="129"/>
        <v>0</v>
      </c>
      <c r="AD299" s="376"/>
      <c r="AE299" s="332">
        <v>284</v>
      </c>
      <c r="AF299" s="350">
        <v>202827.12688069334</v>
      </c>
      <c r="AG299" s="350">
        <v>202096.20246656938</v>
      </c>
      <c r="AH299" s="350">
        <v>201305.74354737284</v>
      </c>
      <c r="AI299" s="350">
        <v>200357.4188636035</v>
      </c>
      <c r="AJ299" s="350">
        <v>199164.11762789212</v>
      </c>
      <c r="AK299" s="348">
        <v>1005750.6093861312</v>
      </c>
      <c r="AL299" s="369"/>
      <c r="AM299" s="350">
        <v>6204687.1340719713</v>
      </c>
      <c r="AN299" s="350">
        <v>6150557.2666499661</v>
      </c>
      <c r="AO299" s="350">
        <v>6091155.8983478816</v>
      </c>
      <c r="AP299" s="350">
        <v>6014754.7420428796</v>
      </c>
      <c r="AQ299" s="350">
        <v>5911316.5229805689</v>
      </c>
      <c r="AR299" s="348">
        <v>30372471.564093269</v>
      </c>
      <c r="AS299" s="369"/>
      <c r="AT299" s="350">
        <f t="shared" si="147"/>
        <v>6001860.007191278</v>
      </c>
      <c r="AU299" s="350">
        <f t="shared" si="130"/>
        <v>5948461.0641833972</v>
      </c>
      <c r="AV299" s="350">
        <f t="shared" si="131"/>
        <v>5889850.1548005091</v>
      </c>
      <c r="AW299" s="350">
        <f t="shared" si="132"/>
        <v>5814397.3231792757</v>
      </c>
      <c r="AX299" s="350">
        <f t="shared" si="133"/>
        <v>5712152.4053526772</v>
      </c>
      <c r="AY299" s="350">
        <f t="shared" si="134"/>
        <v>29366720.954707138</v>
      </c>
      <c r="AZ299" s="365"/>
      <c r="BA299" s="377">
        <f t="shared" si="135"/>
        <v>0</v>
      </c>
      <c r="BB299" s="377">
        <f t="shared" si="136"/>
        <v>0</v>
      </c>
      <c r="BC299" s="377">
        <f t="shared" si="137"/>
        <v>0</v>
      </c>
      <c r="BD299" s="377">
        <f t="shared" si="138"/>
        <v>0</v>
      </c>
      <c r="BE299" s="377">
        <f t="shared" si="139"/>
        <v>0</v>
      </c>
      <c r="BF299" s="377">
        <f t="shared" si="140"/>
        <v>0</v>
      </c>
      <c r="BG299" s="328"/>
    </row>
    <row r="300" spans="2:59">
      <c r="B300" s="332">
        <v>285</v>
      </c>
      <c r="C300" s="350">
        <v>7039307.8274900001</v>
      </c>
      <c r="D300" s="350">
        <v>7013940.4023887543</v>
      </c>
      <c r="E300" s="350">
        <v>6986506.7758182697</v>
      </c>
      <c r="F300" s="350">
        <v>6953594.268146717</v>
      </c>
      <c r="G300" s="350">
        <v>6912179.6168706194</v>
      </c>
      <c r="H300" s="348">
        <v>34905528.890714362</v>
      </c>
      <c r="I300" s="369"/>
      <c r="J300" s="350">
        <v>23410647.028983146</v>
      </c>
      <c r="K300" s="350">
        <v>22915320.020129815</v>
      </c>
      <c r="L300" s="350">
        <v>22406047.439565722</v>
      </c>
      <c r="M300" s="350">
        <v>21847979.021101981</v>
      </c>
      <c r="N300" s="350">
        <v>21211864.794486582</v>
      </c>
      <c r="O300" s="348">
        <v>111791858.30426724</v>
      </c>
      <c r="P300" s="369"/>
      <c r="Q300" s="350">
        <f t="shared" si="141"/>
        <v>16371339.201493146</v>
      </c>
      <c r="R300" s="350">
        <f t="shared" si="142"/>
        <v>15901379.61774106</v>
      </c>
      <c r="S300" s="350">
        <f t="shared" si="143"/>
        <v>15419540.663747452</v>
      </c>
      <c r="T300" s="350">
        <f t="shared" si="144"/>
        <v>14894384.752955265</v>
      </c>
      <c r="U300" s="350">
        <f t="shared" si="145"/>
        <v>14299685.177615963</v>
      </c>
      <c r="V300" s="350">
        <f t="shared" si="146"/>
        <v>76886329.41355288</v>
      </c>
      <c r="W300" s="365"/>
      <c r="X300" s="377">
        <f t="shared" si="124"/>
        <v>0</v>
      </c>
      <c r="Y300" s="377">
        <f t="shared" si="125"/>
        <v>0</v>
      </c>
      <c r="Z300" s="377">
        <f t="shared" si="126"/>
        <v>0</v>
      </c>
      <c r="AA300" s="377">
        <f t="shared" si="127"/>
        <v>0</v>
      </c>
      <c r="AB300" s="377">
        <f t="shared" si="128"/>
        <v>0</v>
      </c>
      <c r="AC300" s="377">
        <f t="shared" si="129"/>
        <v>0</v>
      </c>
      <c r="AD300" s="376"/>
      <c r="AE300" s="332">
        <v>285</v>
      </c>
      <c r="AF300" s="350">
        <v>515170.73233480356</v>
      </c>
      <c r="AG300" s="350">
        <v>513314.22097216349</v>
      </c>
      <c r="AH300" s="350">
        <v>511306.49495175504</v>
      </c>
      <c r="AI300" s="350">
        <v>508897.7978048689</v>
      </c>
      <c r="AJ300" s="350">
        <v>505866.87249940383</v>
      </c>
      <c r="AK300" s="348">
        <v>2554556.118562995</v>
      </c>
      <c r="AL300" s="369"/>
      <c r="AM300" s="350">
        <v>14724615.135996338</v>
      </c>
      <c r="AN300" s="350">
        <v>14594587.457265813</v>
      </c>
      <c r="AO300" s="350">
        <v>14452081.802306404</v>
      </c>
      <c r="AP300" s="350">
        <v>14269315.954959519</v>
      </c>
      <c r="AQ300" s="350">
        <v>14022516.50855564</v>
      </c>
      <c r="AR300" s="348">
        <v>72063116.859083712</v>
      </c>
      <c r="AS300" s="369"/>
      <c r="AT300" s="350">
        <f t="shared" si="147"/>
        <v>14209444.403661534</v>
      </c>
      <c r="AU300" s="350">
        <f t="shared" si="130"/>
        <v>14081273.236293649</v>
      </c>
      <c r="AV300" s="350">
        <f t="shared" si="131"/>
        <v>13940775.30735465</v>
      </c>
      <c r="AW300" s="350">
        <f t="shared" si="132"/>
        <v>13760418.157154649</v>
      </c>
      <c r="AX300" s="350">
        <f t="shared" si="133"/>
        <v>13516649.636056235</v>
      </c>
      <c r="AY300" s="350">
        <f t="shared" si="134"/>
        <v>69508560.740520716</v>
      </c>
      <c r="AZ300" s="365"/>
      <c r="BA300" s="377">
        <f t="shared" si="135"/>
        <v>0</v>
      </c>
      <c r="BB300" s="377">
        <f t="shared" si="136"/>
        <v>0</v>
      </c>
      <c r="BC300" s="377">
        <f t="shared" si="137"/>
        <v>0</v>
      </c>
      <c r="BD300" s="377">
        <f t="shared" si="138"/>
        <v>0</v>
      </c>
      <c r="BE300" s="377">
        <f t="shared" si="139"/>
        <v>0</v>
      </c>
      <c r="BF300" s="377">
        <f t="shared" si="140"/>
        <v>0</v>
      </c>
      <c r="BG300" s="328"/>
    </row>
    <row r="301" spans="2:59">
      <c r="B301" s="332">
        <v>286</v>
      </c>
      <c r="C301" s="350">
        <v>5784262.3196355728</v>
      </c>
      <c r="D301" s="350">
        <v>5763417.6791176097</v>
      </c>
      <c r="E301" s="350">
        <v>5740875.2223375663</v>
      </c>
      <c r="F301" s="350">
        <v>5713830.7198616527</v>
      </c>
      <c r="G301" s="350">
        <v>5679799.9297999255</v>
      </c>
      <c r="H301" s="348">
        <v>28682185.870752327</v>
      </c>
      <c r="I301" s="369"/>
      <c r="J301" s="350">
        <v>17730922.683083501</v>
      </c>
      <c r="K301" s="350">
        <v>17334761.002900727</v>
      </c>
      <c r="L301" s="350">
        <v>16928466.097900704</v>
      </c>
      <c r="M301" s="350">
        <v>16486321.289837934</v>
      </c>
      <c r="N301" s="350">
        <v>15986795.20238084</v>
      </c>
      <c r="O301" s="348">
        <v>84467266.276103705</v>
      </c>
      <c r="P301" s="369"/>
      <c r="Q301" s="350">
        <f t="shared" si="141"/>
        <v>11946660.363447927</v>
      </c>
      <c r="R301" s="350">
        <f t="shared" si="142"/>
        <v>11571343.323783118</v>
      </c>
      <c r="S301" s="350">
        <f t="shared" si="143"/>
        <v>11187590.875563137</v>
      </c>
      <c r="T301" s="350">
        <f t="shared" si="144"/>
        <v>10772490.569976281</v>
      </c>
      <c r="U301" s="350">
        <f t="shared" si="145"/>
        <v>10306995.272580914</v>
      </c>
      <c r="V301" s="350">
        <f t="shared" si="146"/>
        <v>55785080.405351378</v>
      </c>
      <c r="W301" s="365"/>
      <c r="X301" s="377">
        <f t="shared" si="124"/>
        <v>0</v>
      </c>
      <c r="Y301" s="377">
        <f t="shared" si="125"/>
        <v>0</v>
      </c>
      <c r="Z301" s="377">
        <f t="shared" si="126"/>
        <v>0</v>
      </c>
      <c r="AA301" s="377">
        <f t="shared" si="127"/>
        <v>0</v>
      </c>
      <c r="AB301" s="377">
        <f t="shared" si="128"/>
        <v>0</v>
      </c>
      <c r="AC301" s="377">
        <f t="shared" si="129"/>
        <v>0</v>
      </c>
      <c r="AD301" s="376"/>
      <c r="AE301" s="332">
        <v>286</v>
      </c>
      <c r="AF301" s="350">
        <v>414017.43936735013</v>
      </c>
      <c r="AG301" s="350">
        <v>412525.45227982075</v>
      </c>
      <c r="AH301" s="350">
        <v>410911.9413915886</v>
      </c>
      <c r="AI301" s="350">
        <v>408976.18968371168</v>
      </c>
      <c r="AJ301" s="350">
        <v>406540.38373605011</v>
      </c>
      <c r="AK301" s="348">
        <v>2052971.4064585213</v>
      </c>
      <c r="AL301" s="369"/>
      <c r="AM301" s="350">
        <v>13079338.736491563</v>
      </c>
      <c r="AN301" s="350">
        <v>12965862.303180458</v>
      </c>
      <c r="AO301" s="350">
        <v>12841260.840798315</v>
      </c>
      <c r="AP301" s="350">
        <v>12680791.102889718</v>
      </c>
      <c r="AQ301" s="350">
        <v>12463276.141436508</v>
      </c>
      <c r="AR301" s="348">
        <v>64030529.124796562</v>
      </c>
      <c r="AS301" s="369"/>
      <c r="AT301" s="350">
        <f t="shared" si="147"/>
        <v>12665321.297124213</v>
      </c>
      <c r="AU301" s="350">
        <f t="shared" si="130"/>
        <v>12553336.850900637</v>
      </c>
      <c r="AV301" s="350">
        <f t="shared" si="131"/>
        <v>12430348.899406726</v>
      </c>
      <c r="AW301" s="350">
        <f t="shared" si="132"/>
        <v>12271814.913206007</v>
      </c>
      <c r="AX301" s="350">
        <f t="shared" si="133"/>
        <v>12056735.757700458</v>
      </c>
      <c r="AY301" s="350">
        <f t="shared" si="134"/>
        <v>61977557.718338042</v>
      </c>
      <c r="AZ301" s="365"/>
      <c r="BA301" s="377">
        <f t="shared" si="135"/>
        <v>0</v>
      </c>
      <c r="BB301" s="377">
        <f t="shared" si="136"/>
        <v>0</v>
      </c>
      <c r="BC301" s="377">
        <f t="shared" si="137"/>
        <v>0</v>
      </c>
      <c r="BD301" s="377">
        <f t="shared" si="138"/>
        <v>0</v>
      </c>
      <c r="BE301" s="377">
        <f t="shared" si="139"/>
        <v>0</v>
      </c>
      <c r="BF301" s="377">
        <f t="shared" si="140"/>
        <v>0</v>
      </c>
      <c r="BG301" s="328"/>
    </row>
    <row r="302" spans="2:59">
      <c r="B302" s="332">
        <v>287</v>
      </c>
      <c r="C302" s="350">
        <v>5542493.2445744351</v>
      </c>
      <c r="D302" s="350">
        <v>5522519.8628582908</v>
      </c>
      <c r="E302" s="350">
        <v>5500919.6297576288</v>
      </c>
      <c r="F302" s="350">
        <v>5475005.5262829661</v>
      </c>
      <c r="G302" s="350">
        <v>5442397.1462334711</v>
      </c>
      <c r="H302" s="348">
        <v>27483335.409706794</v>
      </c>
      <c r="I302" s="369"/>
      <c r="J302" s="350">
        <v>19692695.769153718</v>
      </c>
      <c r="K302" s="350">
        <v>19293612.072213843</v>
      </c>
      <c r="L302" s="350">
        <v>18882438.615984529</v>
      </c>
      <c r="M302" s="350">
        <v>18429292.149928235</v>
      </c>
      <c r="N302" s="350">
        <v>17909047.412438698</v>
      </c>
      <c r="O302" s="348">
        <v>94207086.019719005</v>
      </c>
      <c r="P302" s="369"/>
      <c r="Q302" s="350">
        <f t="shared" si="141"/>
        <v>14150202.524579283</v>
      </c>
      <c r="R302" s="350">
        <f t="shared" si="142"/>
        <v>13771092.209355552</v>
      </c>
      <c r="S302" s="350">
        <f t="shared" si="143"/>
        <v>13381518.986226901</v>
      </c>
      <c r="T302" s="350">
        <f t="shared" si="144"/>
        <v>12954286.623645268</v>
      </c>
      <c r="U302" s="350">
        <f t="shared" si="145"/>
        <v>12466650.266205227</v>
      </c>
      <c r="V302" s="350">
        <f t="shared" si="146"/>
        <v>66723750.610012211</v>
      </c>
      <c r="W302" s="365"/>
      <c r="X302" s="377">
        <f t="shared" si="124"/>
        <v>0</v>
      </c>
      <c r="Y302" s="377">
        <f t="shared" si="125"/>
        <v>0</v>
      </c>
      <c r="Z302" s="377">
        <f t="shared" si="126"/>
        <v>0</v>
      </c>
      <c r="AA302" s="377">
        <f t="shared" si="127"/>
        <v>0</v>
      </c>
      <c r="AB302" s="377">
        <f t="shared" si="128"/>
        <v>0</v>
      </c>
      <c r="AC302" s="377">
        <f t="shared" si="129"/>
        <v>0</v>
      </c>
      <c r="AD302" s="376"/>
      <c r="AE302" s="332">
        <v>287</v>
      </c>
      <c r="AF302" s="350">
        <v>665046.13749675814</v>
      </c>
      <c r="AG302" s="350">
        <v>662649.522872812</v>
      </c>
      <c r="AH302" s="350">
        <v>660057.7016546831</v>
      </c>
      <c r="AI302" s="350">
        <v>656948.2572833458</v>
      </c>
      <c r="AJ302" s="350">
        <v>653035.56379956543</v>
      </c>
      <c r="AK302" s="348">
        <v>3297737.1831071647</v>
      </c>
      <c r="AL302" s="369"/>
      <c r="AM302" s="350">
        <v>22903071.645452898</v>
      </c>
      <c r="AN302" s="350">
        <v>22707145.190907579</v>
      </c>
      <c r="AO302" s="350">
        <v>22491681.04958944</v>
      </c>
      <c r="AP302" s="350">
        <v>22213261.813734297</v>
      </c>
      <c r="AQ302" s="350">
        <v>21834722.428718969</v>
      </c>
      <c r="AR302" s="348">
        <v>112149882.12840317</v>
      </c>
      <c r="AS302" s="369"/>
      <c r="AT302" s="350">
        <f t="shared" si="147"/>
        <v>22238025.50795614</v>
      </c>
      <c r="AU302" s="350">
        <f t="shared" si="130"/>
        <v>22044495.668034766</v>
      </c>
      <c r="AV302" s="350">
        <f t="shared" si="131"/>
        <v>21831623.347934756</v>
      </c>
      <c r="AW302" s="350">
        <f t="shared" si="132"/>
        <v>21556313.556450952</v>
      </c>
      <c r="AX302" s="350">
        <f t="shared" si="133"/>
        <v>21181686.864919405</v>
      </c>
      <c r="AY302" s="350">
        <f t="shared" si="134"/>
        <v>108852144.945296</v>
      </c>
      <c r="AZ302" s="365"/>
      <c r="BA302" s="377">
        <f t="shared" si="135"/>
        <v>0</v>
      </c>
      <c r="BB302" s="377">
        <f t="shared" si="136"/>
        <v>0</v>
      </c>
      <c r="BC302" s="377">
        <f t="shared" si="137"/>
        <v>0</v>
      </c>
      <c r="BD302" s="377">
        <f t="shared" si="138"/>
        <v>0</v>
      </c>
      <c r="BE302" s="377">
        <f t="shared" si="139"/>
        <v>0</v>
      </c>
      <c r="BF302" s="377">
        <f t="shared" si="140"/>
        <v>0</v>
      </c>
      <c r="BG302" s="328"/>
    </row>
    <row r="303" spans="2:59">
      <c r="B303" s="332">
        <v>288</v>
      </c>
      <c r="C303" s="350">
        <v>5073486.2700921549</v>
      </c>
      <c r="D303" s="350">
        <v>5055203.0402472895</v>
      </c>
      <c r="E303" s="350">
        <v>5035430.6235331567</v>
      </c>
      <c r="F303" s="350">
        <v>5011709.3770870455</v>
      </c>
      <c r="G303" s="350">
        <v>4981860.3251945591</v>
      </c>
      <c r="H303" s="348">
        <v>25157689.636154205</v>
      </c>
      <c r="I303" s="369"/>
      <c r="J303" s="350">
        <v>16619335.045604691</v>
      </c>
      <c r="K303" s="350">
        <v>16264162.373375837</v>
      </c>
      <c r="L303" s="350">
        <v>15899161.907378651</v>
      </c>
      <c r="M303" s="350">
        <v>15499707.520644397</v>
      </c>
      <c r="N303" s="350">
        <v>15045139.285177581</v>
      </c>
      <c r="O303" s="348">
        <v>79327506.132181168</v>
      </c>
      <c r="P303" s="369"/>
      <c r="Q303" s="350">
        <f t="shared" si="141"/>
        <v>11545848.775512535</v>
      </c>
      <c r="R303" s="350">
        <f t="shared" si="142"/>
        <v>11208959.333128547</v>
      </c>
      <c r="S303" s="350">
        <f t="shared" si="143"/>
        <v>10863731.283845495</v>
      </c>
      <c r="T303" s="350">
        <f t="shared" si="144"/>
        <v>10487998.143557351</v>
      </c>
      <c r="U303" s="350">
        <f t="shared" si="145"/>
        <v>10063278.959983021</v>
      </c>
      <c r="V303" s="350">
        <f t="shared" si="146"/>
        <v>54169816.496026963</v>
      </c>
      <c r="W303" s="365"/>
      <c r="X303" s="377">
        <f t="shared" si="124"/>
        <v>0</v>
      </c>
      <c r="Y303" s="377">
        <f t="shared" si="125"/>
        <v>0</v>
      </c>
      <c r="Z303" s="377">
        <f t="shared" si="126"/>
        <v>0</v>
      </c>
      <c r="AA303" s="377">
        <f t="shared" si="127"/>
        <v>0</v>
      </c>
      <c r="AB303" s="377">
        <f t="shared" si="128"/>
        <v>0</v>
      </c>
      <c r="AC303" s="377">
        <f t="shared" si="129"/>
        <v>0</v>
      </c>
      <c r="AD303" s="376"/>
      <c r="AE303" s="332">
        <v>288</v>
      </c>
      <c r="AF303" s="350">
        <v>492780.51113092434</v>
      </c>
      <c r="AG303" s="350">
        <v>491004.6869996583</v>
      </c>
      <c r="AH303" s="350">
        <v>489084.22026416688</v>
      </c>
      <c r="AI303" s="350">
        <v>486780.20930876432</v>
      </c>
      <c r="AJ303" s="350">
        <v>483881.0133190045</v>
      </c>
      <c r="AK303" s="348">
        <v>2443530.6410225183</v>
      </c>
      <c r="AL303" s="369"/>
      <c r="AM303" s="350">
        <v>15141189.24870613</v>
      </c>
      <c r="AN303" s="350">
        <v>15009197.992755275</v>
      </c>
      <c r="AO303" s="350">
        <v>14864340.725012947</v>
      </c>
      <c r="AP303" s="350">
        <v>14677993.852943055</v>
      </c>
      <c r="AQ303" s="350">
        <v>14425660.602244047</v>
      </c>
      <c r="AR303" s="348">
        <v>74118382.421661451</v>
      </c>
      <c r="AS303" s="369"/>
      <c r="AT303" s="350">
        <f t="shared" si="147"/>
        <v>14648408.737575207</v>
      </c>
      <c r="AU303" s="350">
        <f t="shared" si="130"/>
        <v>14518193.305755617</v>
      </c>
      <c r="AV303" s="350">
        <f t="shared" si="131"/>
        <v>14375256.50474878</v>
      </c>
      <c r="AW303" s="350">
        <f t="shared" si="132"/>
        <v>14191213.643634291</v>
      </c>
      <c r="AX303" s="350">
        <f t="shared" si="133"/>
        <v>13941779.588925043</v>
      </c>
      <c r="AY303" s="350">
        <f t="shared" si="134"/>
        <v>71674851.780638933</v>
      </c>
      <c r="AZ303" s="365"/>
      <c r="BA303" s="377">
        <f t="shared" si="135"/>
        <v>0</v>
      </c>
      <c r="BB303" s="377">
        <f t="shared" si="136"/>
        <v>0</v>
      </c>
      <c r="BC303" s="377">
        <f t="shared" si="137"/>
        <v>0</v>
      </c>
      <c r="BD303" s="377">
        <f t="shared" si="138"/>
        <v>0</v>
      </c>
      <c r="BE303" s="377">
        <f t="shared" si="139"/>
        <v>0</v>
      </c>
      <c r="BF303" s="377">
        <f t="shared" si="140"/>
        <v>0</v>
      </c>
      <c r="BG303" s="328"/>
    </row>
    <row r="304" spans="2:59">
      <c r="B304" s="332">
        <v>289</v>
      </c>
      <c r="C304" s="350">
        <v>9568635.8892638553</v>
      </c>
      <c r="D304" s="350">
        <v>9534153.5708043538</v>
      </c>
      <c r="E304" s="350">
        <v>9496862.6339383908</v>
      </c>
      <c r="F304" s="350">
        <v>9452124.1724547409</v>
      </c>
      <c r="G304" s="350">
        <v>9395828.6206400841</v>
      </c>
      <c r="H304" s="348">
        <v>47447604.887101427</v>
      </c>
      <c r="I304" s="369"/>
      <c r="J304" s="350">
        <v>27122618.117058497</v>
      </c>
      <c r="K304" s="350">
        <v>26483186.073593497</v>
      </c>
      <c r="L304" s="350">
        <v>25828936.130659491</v>
      </c>
      <c r="M304" s="350">
        <v>25121609.761083238</v>
      </c>
      <c r="N304" s="350">
        <v>24329261.023575213</v>
      </c>
      <c r="O304" s="348">
        <v>128885611.10596994</v>
      </c>
      <c r="P304" s="369"/>
      <c r="Q304" s="350">
        <f t="shared" si="141"/>
        <v>17553982.22779464</v>
      </c>
      <c r="R304" s="350">
        <f t="shared" si="142"/>
        <v>16949032.502789143</v>
      </c>
      <c r="S304" s="350">
        <f t="shared" si="143"/>
        <v>16332073.4967211</v>
      </c>
      <c r="T304" s="350">
        <f t="shared" si="144"/>
        <v>15669485.588628497</v>
      </c>
      <c r="U304" s="350">
        <f t="shared" si="145"/>
        <v>14933432.402935129</v>
      </c>
      <c r="V304" s="350">
        <f t="shared" si="146"/>
        <v>81438006.218868509</v>
      </c>
      <c r="W304" s="365"/>
      <c r="X304" s="377">
        <f t="shared" si="124"/>
        <v>0</v>
      </c>
      <c r="Y304" s="377">
        <f t="shared" si="125"/>
        <v>0</v>
      </c>
      <c r="Z304" s="377">
        <f t="shared" si="126"/>
        <v>0</v>
      </c>
      <c r="AA304" s="377">
        <f t="shared" si="127"/>
        <v>0</v>
      </c>
      <c r="AB304" s="377">
        <f t="shared" si="128"/>
        <v>0</v>
      </c>
      <c r="AC304" s="377">
        <f t="shared" si="129"/>
        <v>0</v>
      </c>
      <c r="AD304" s="376"/>
      <c r="AE304" s="332">
        <v>289</v>
      </c>
      <c r="AF304" s="350">
        <v>552502.05447789165</v>
      </c>
      <c r="AG304" s="350">
        <v>550511.01291120285</v>
      </c>
      <c r="AH304" s="350">
        <v>548357.79907066282</v>
      </c>
      <c r="AI304" s="350">
        <v>545774.5581395675</v>
      </c>
      <c r="AJ304" s="350">
        <v>542523.99992045236</v>
      </c>
      <c r="AK304" s="348">
        <v>2739669.4245197773</v>
      </c>
      <c r="AL304" s="369"/>
      <c r="AM304" s="350">
        <v>13596803.275639081</v>
      </c>
      <c r="AN304" s="350">
        <v>13473172.111026866</v>
      </c>
      <c r="AO304" s="350">
        <v>13338091.455906687</v>
      </c>
      <c r="AP304" s="350">
        <v>13166022.100432163</v>
      </c>
      <c r="AQ304" s="350">
        <v>12935117.048326176</v>
      </c>
      <c r="AR304" s="348">
        <v>66509205.991330981</v>
      </c>
      <c r="AS304" s="369"/>
      <c r="AT304" s="350">
        <f t="shared" si="147"/>
        <v>13044301.22116119</v>
      </c>
      <c r="AU304" s="350">
        <f t="shared" si="130"/>
        <v>12922661.098115664</v>
      </c>
      <c r="AV304" s="350">
        <f t="shared" si="131"/>
        <v>12789733.656836025</v>
      </c>
      <c r="AW304" s="350">
        <f t="shared" si="132"/>
        <v>12620247.542292595</v>
      </c>
      <c r="AX304" s="350">
        <f t="shared" si="133"/>
        <v>12392593.048405724</v>
      </c>
      <c r="AY304" s="350">
        <f t="shared" si="134"/>
        <v>63769536.566811204</v>
      </c>
      <c r="AZ304" s="365"/>
      <c r="BA304" s="377">
        <f t="shared" si="135"/>
        <v>0</v>
      </c>
      <c r="BB304" s="377">
        <f t="shared" si="136"/>
        <v>0</v>
      </c>
      <c r="BC304" s="377">
        <f t="shared" si="137"/>
        <v>0</v>
      </c>
      <c r="BD304" s="377">
        <f t="shared" si="138"/>
        <v>0</v>
      </c>
      <c r="BE304" s="377">
        <f t="shared" si="139"/>
        <v>0</v>
      </c>
      <c r="BF304" s="377">
        <f t="shared" si="140"/>
        <v>0</v>
      </c>
      <c r="BG304" s="328"/>
    </row>
    <row r="305" spans="2:59">
      <c r="B305" s="332">
        <v>290</v>
      </c>
      <c r="C305" s="350">
        <v>4217485.4740617946</v>
      </c>
      <c r="D305" s="350">
        <v>4202286.9986575721</v>
      </c>
      <c r="E305" s="350">
        <v>4185850.5926362276</v>
      </c>
      <c r="F305" s="350">
        <v>4166131.6051417962</v>
      </c>
      <c r="G305" s="350">
        <v>4141318.6981840758</v>
      </c>
      <c r="H305" s="348">
        <v>20913073.368681468</v>
      </c>
      <c r="I305" s="369"/>
      <c r="J305" s="350">
        <v>16869249.959310114</v>
      </c>
      <c r="K305" s="350">
        <v>16551991.344818488</v>
      </c>
      <c r="L305" s="350">
        <v>16223873.880995059</v>
      </c>
      <c r="M305" s="350">
        <v>15858504.138118137</v>
      </c>
      <c r="N305" s="350">
        <v>15433630.431098273</v>
      </c>
      <c r="O305" s="348">
        <v>80937249.754340068</v>
      </c>
      <c r="P305" s="369"/>
      <c r="Q305" s="350">
        <f t="shared" si="141"/>
        <v>12651764.48524832</v>
      </c>
      <c r="R305" s="350">
        <f t="shared" si="142"/>
        <v>12349704.346160915</v>
      </c>
      <c r="S305" s="350">
        <f t="shared" si="143"/>
        <v>12038023.288358832</v>
      </c>
      <c r="T305" s="350">
        <f t="shared" si="144"/>
        <v>11692372.532976341</v>
      </c>
      <c r="U305" s="350">
        <f t="shared" si="145"/>
        <v>11292311.732914198</v>
      </c>
      <c r="V305" s="350">
        <f t="shared" si="146"/>
        <v>60024176.385658599</v>
      </c>
      <c r="W305" s="365"/>
      <c r="X305" s="377">
        <f t="shared" si="124"/>
        <v>0</v>
      </c>
      <c r="Y305" s="377">
        <f t="shared" si="125"/>
        <v>0</v>
      </c>
      <c r="Z305" s="377">
        <f t="shared" si="126"/>
        <v>0</v>
      </c>
      <c r="AA305" s="377">
        <f t="shared" si="127"/>
        <v>0</v>
      </c>
      <c r="AB305" s="377">
        <f t="shared" si="128"/>
        <v>0</v>
      </c>
      <c r="AC305" s="377">
        <f t="shared" si="129"/>
        <v>0</v>
      </c>
      <c r="AD305" s="376"/>
      <c r="AE305" s="332">
        <v>290</v>
      </c>
      <c r="AF305" s="350">
        <v>484955.47702068824</v>
      </c>
      <c r="AG305" s="350">
        <v>483207.85182198358</v>
      </c>
      <c r="AH305" s="350">
        <v>481317.88084956189</v>
      </c>
      <c r="AI305" s="350">
        <v>479050.45609006</v>
      </c>
      <c r="AJ305" s="350">
        <v>476197.29744755669</v>
      </c>
      <c r="AK305" s="348">
        <v>2404728.9632298504</v>
      </c>
      <c r="AL305" s="369"/>
      <c r="AM305" s="350">
        <v>15818424.363279497</v>
      </c>
      <c r="AN305" s="350">
        <v>15681915.080465388</v>
      </c>
      <c r="AO305" s="350">
        <v>15531936.01927351</v>
      </c>
      <c r="AP305" s="350">
        <v>15338538.558575084</v>
      </c>
      <c r="AQ305" s="350">
        <v>15076089.192783384</v>
      </c>
      <c r="AR305" s="348">
        <v>77446903.214376867</v>
      </c>
      <c r="AS305" s="369"/>
      <c r="AT305" s="350">
        <f t="shared" si="147"/>
        <v>15333468.886258809</v>
      </c>
      <c r="AU305" s="350">
        <f t="shared" si="130"/>
        <v>15198707.228643404</v>
      </c>
      <c r="AV305" s="350">
        <f t="shared" si="131"/>
        <v>15050618.138423948</v>
      </c>
      <c r="AW305" s="350">
        <f t="shared" si="132"/>
        <v>14859488.102485025</v>
      </c>
      <c r="AX305" s="350">
        <f t="shared" si="133"/>
        <v>14599891.895335827</v>
      </c>
      <c r="AY305" s="350">
        <f t="shared" si="134"/>
        <v>75042174.251147017</v>
      </c>
      <c r="AZ305" s="365"/>
      <c r="BA305" s="377">
        <f t="shared" si="135"/>
        <v>0</v>
      </c>
      <c r="BB305" s="377">
        <f t="shared" si="136"/>
        <v>0</v>
      </c>
      <c r="BC305" s="377">
        <f t="shared" si="137"/>
        <v>0</v>
      </c>
      <c r="BD305" s="377">
        <f t="shared" si="138"/>
        <v>0</v>
      </c>
      <c r="BE305" s="377">
        <f t="shared" si="139"/>
        <v>0</v>
      </c>
      <c r="BF305" s="377">
        <f t="shared" si="140"/>
        <v>0</v>
      </c>
      <c r="BG305" s="328"/>
    </row>
    <row r="306" spans="2:59">
      <c r="B306" s="332">
        <v>291</v>
      </c>
      <c r="C306" s="350">
        <v>4953245.5875503868</v>
      </c>
      <c r="D306" s="350">
        <v>4935395.6668579634</v>
      </c>
      <c r="E306" s="350">
        <v>4916091.8527485561</v>
      </c>
      <c r="F306" s="350">
        <v>4892932.7954385877</v>
      </c>
      <c r="G306" s="350">
        <v>4863791.1605334971</v>
      </c>
      <c r="H306" s="348">
        <v>24561457.063128993</v>
      </c>
      <c r="I306" s="369"/>
      <c r="J306" s="350">
        <v>13274816.217684072</v>
      </c>
      <c r="K306" s="350">
        <v>12949327.433308419</v>
      </c>
      <c r="L306" s="350">
        <v>12616842.020818245</v>
      </c>
      <c r="M306" s="350">
        <v>12259039.414986247</v>
      </c>
      <c r="N306" s="350">
        <v>11860655.097849496</v>
      </c>
      <c r="O306" s="348">
        <v>62960680.184646472</v>
      </c>
      <c r="P306" s="369"/>
      <c r="Q306" s="350">
        <f t="shared" si="141"/>
        <v>8321570.6301336847</v>
      </c>
      <c r="R306" s="350">
        <f t="shared" si="142"/>
        <v>8013931.7664504554</v>
      </c>
      <c r="S306" s="350">
        <f t="shared" si="143"/>
        <v>7700750.1680696886</v>
      </c>
      <c r="T306" s="350">
        <f t="shared" si="144"/>
        <v>7366106.6195476595</v>
      </c>
      <c r="U306" s="350">
        <f t="shared" si="145"/>
        <v>6996863.9373159986</v>
      </c>
      <c r="V306" s="350">
        <f t="shared" si="146"/>
        <v>38399223.121517479</v>
      </c>
      <c r="W306" s="365"/>
      <c r="X306" s="377">
        <f t="shared" si="124"/>
        <v>0</v>
      </c>
      <c r="Y306" s="377">
        <f t="shared" si="125"/>
        <v>0</v>
      </c>
      <c r="Z306" s="377">
        <f t="shared" si="126"/>
        <v>0</v>
      </c>
      <c r="AA306" s="377">
        <f t="shared" si="127"/>
        <v>0</v>
      </c>
      <c r="AB306" s="377">
        <f t="shared" si="128"/>
        <v>0</v>
      </c>
      <c r="AC306" s="377">
        <f t="shared" si="129"/>
        <v>0</v>
      </c>
      <c r="AD306" s="376"/>
      <c r="AE306" s="332">
        <v>291</v>
      </c>
      <c r="AF306" s="350">
        <v>412372.73408521828</v>
      </c>
      <c r="AG306" s="350">
        <v>410886.67399208655</v>
      </c>
      <c r="AH306" s="350">
        <v>409279.57285771589</v>
      </c>
      <c r="AI306" s="350">
        <v>407351.51102170459</v>
      </c>
      <c r="AJ306" s="350">
        <v>404925.38143674523</v>
      </c>
      <c r="AK306" s="348">
        <v>2044815.8733934707</v>
      </c>
      <c r="AL306" s="369"/>
      <c r="AM306" s="350">
        <v>14532342.623320848</v>
      </c>
      <c r="AN306" s="350">
        <v>14408470.171120504</v>
      </c>
      <c r="AO306" s="350">
        <v>14272191.659768205</v>
      </c>
      <c r="AP306" s="350">
        <v>14095943.694028918</v>
      </c>
      <c r="AQ306" s="350">
        <v>13856131.285154445</v>
      </c>
      <c r="AR306" s="348">
        <v>71165079.433392912</v>
      </c>
      <c r="AS306" s="369"/>
      <c r="AT306" s="350">
        <f t="shared" si="147"/>
        <v>14119969.889235629</v>
      </c>
      <c r="AU306" s="350">
        <f t="shared" si="130"/>
        <v>13997583.497128418</v>
      </c>
      <c r="AV306" s="350">
        <f t="shared" si="131"/>
        <v>13862912.08691049</v>
      </c>
      <c r="AW306" s="350">
        <f t="shared" si="132"/>
        <v>13688592.183007212</v>
      </c>
      <c r="AX306" s="350">
        <f t="shared" si="133"/>
        <v>13451205.9037177</v>
      </c>
      <c r="AY306" s="350">
        <f t="shared" si="134"/>
        <v>69120263.559999436</v>
      </c>
      <c r="AZ306" s="365"/>
      <c r="BA306" s="377">
        <f t="shared" si="135"/>
        <v>0</v>
      </c>
      <c r="BB306" s="377">
        <f t="shared" si="136"/>
        <v>0</v>
      </c>
      <c r="BC306" s="377">
        <f t="shared" si="137"/>
        <v>0</v>
      </c>
      <c r="BD306" s="377">
        <f t="shared" si="138"/>
        <v>0</v>
      </c>
      <c r="BE306" s="377">
        <f t="shared" si="139"/>
        <v>0</v>
      </c>
      <c r="BF306" s="377">
        <f t="shared" si="140"/>
        <v>0</v>
      </c>
      <c r="BG306" s="328"/>
    </row>
    <row r="307" spans="2:59">
      <c r="B307" s="332">
        <v>292</v>
      </c>
      <c r="C307" s="350">
        <v>6295514.318963402</v>
      </c>
      <c r="D307" s="350">
        <v>6272827.2889493937</v>
      </c>
      <c r="E307" s="350">
        <v>6248292.3782553161</v>
      </c>
      <c r="F307" s="350">
        <v>6218857.5007933481</v>
      </c>
      <c r="G307" s="350">
        <v>6181818.8406703509</v>
      </c>
      <c r="H307" s="348">
        <v>31217310.327631813</v>
      </c>
      <c r="I307" s="369"/>
      <c r="J307" s="350">
        <v>19076634.386753358</v>
      </c>
      <c r="K307" s="350">
        <v>18647053.462704554</v>
      </c>
      <c r="L307" s="350">
        <v>18206638.688056175</v>
      </c>
      <c r="M307" s="350">
        <v>17727829.842313401</v>
      </c>
      <c r="N307" s="350">
        <v>17187560.673983581</v>
      </c>
      <c r="O307" s="348">
        <v>90845717.053811073</v>
      </c>
      <c r="P307" s="369"/>
      <c r="Q307" s="350">
        <f t="shared" si="141"/>
        <v>12781120.067789957</v>
      </c>
      <c r="R307" s="350">
        <f t="shared" si="142"/>
        <v>12374226.173755161</v>
      </c>
      <c r="S307" s="350">
        <f t="shared" si="143"/>
        <v>11958346.30980086</v>
      </c>
      <c r="T307" s="350">
        <f t="shared" si="144"/>
        <v>11508972.341520052</v>
      </c>
      <c r="U307" s="350">
        <f t="shared" si="145"/>
        <v>11005741.83331323</v>
      </c>
      <c r="V307" s="350">
        <f t="shared" si="146"/>
        <v>59628406.726179257</v>
      </c>
      <c r="W307" s="365"/>
      <c r="X307" s="377">
        <f t="shared" si="124"/>
        <v>0</v>
      </c>
      <c r="Y307" s="377">
        <f t="shared" si="125"/>
        <v>0</v>
      </c>
      <c r="Z307" s="377">
        <f t="shared" si="126"/>
        <v>0</v>
      </c>
      <c r="AA307" s="377">
        <f t="shared" si="127"/>
        <v>0</v>
      </c>
      <c r="AB307" s="377">
        <f t="shared" si="128"/>
        <v>0</v>
      </c>
      <c r="AC307" s="377">
        <f t="shared" si="129"/>
        <v>0</v>
      </c>
      <c r="AD307" s="376"/>
      <c r="AE307" s="332">
        <v>292</v>
      </c>
      <c r="AF307" s="350">
        <v>373613.05217197351</v>
      </c>
      <c r="AG307" s="350">
        <v>372266.66963691689</v>
      </c>
      <c r="AH307" s="350">
        <v>370810.62293370004</v>
      </c>
      <c r="AI307" s="350">
        <v>369063.78322344023</v>
      </c>
      <c r="AJ307" s="350">
        <v>366865.69008032256</v>
      </c>
      <c r="AK307" s="348">
        <v>1852619.8180463531</v>
      </c>
      <c r="AL307" s="369"/>
      <c r="AM307" s="350">
        <v>10355806.027796391</v>
      </c>
      <c r="AN307" s="350">
        <v>10263833.699490128</v>
      </c>
      <c r="AO307" s="350">
        <v>10163096.324020823</v>
      </c>
      <c r="AP307" s="350">
        <v>10034071.621976826</v>
      </c>
      <c r="AQ307" s="350">
        <v>9860055.3012761977</v>
      </c>
      <c r="AR307" s="348">
        <v>50676862.974560373</v>
      </c>
      <c r="AS307" s="369"/>
      <c r="AT307" s="350">
        <f t="shared" si="147"/>
        <v>9982192.9756244179</v>
      </c>
      <c r="AU307" s="350">
        <f t="shared" si="130"/>
        <v>9891567.0298532117</v>
      </c>
      <c r="AV307" s="350">
        <f t="shared" si="131"/>
        <v>9792285.7010871228</v>
      </c>
      <c r="AW307" s="350">
        <f t="shared" si="132"/>
        <v>9665007.8387533855</v>
      </c>
      <c r="AX307" s="350">
        <f t="shared" si="133"/>
        <v>9493189.6111958753</v>
      </c>
      <c r="AY307" s="350">
        <f t="shared" si="134"/>
        <v>48824243.156514019</v>
      </c>
      <c r="AZ307" s="365"/>
      <c r="BA307" s="377">
        <f t="shared" si="135"/>
        <v>0</v>
      </c>
      <c r="BB307" s="377">
        <f t="shared" si="136"/>
        <v>0</v>
      </c>
      <c r="BC307" s="377">
        <f t="shared" si="137"/>
        <v>0</v>
      </c>
      <c r="BD307" s="377">
        <f t="shared" si="138"/>
        <v>0</v>
      </c>
      <c r="BE307" s="377">
        <f t="shared" si="139"/>
        <v>0</v>
      </c>
      <c r="BF307" s="377">
        <f t="shared" si="140"/>
        <v>0</v>
      </c>
      <c r="BG307" s="328"/>
    </row>
    <row r="308" spans="2:59">
      <c r="B308" s="332">
        <v>293</v>
      </c>
      <c r="C308" s="350">
        <v>3817382.343887744</v>
      </c>
      <c r="D308" s="350">
        <v>3803625.712829046</v>
      </c>
      <c r="E308" s="350">
        <v>3788748.5907787769</v>
      </c>
      <c r="F308" s="350">
        <v>3770900.2981969686</v>
      </c>
      <c r="G308" s="350">
        <v>3748441.334555367</v>
      </c>
      <c r="H308" s="348">
        <v>18929098.280247904</v>
      </c>
      <c r="I308" s="369"/>
      <c r="J308" s="350">
        <v>11556659.439337716</v>
      </c>
      <c r="K308" s="350">
        <v>11296253.907938927</v>
      </c>
      <c r="L308" s="350">
        <v>11029288.572197653</v>
      </c>
      <c r="M308" s="350">
        <v>10739072.718064319</v>
      </c>
      <c r="N308" s="350">
        <v>10411637.644852612</v>
      </c>
      <c r="O308" s="348">
        <v>55032912.28239122</v>
      </c>
      <c r="P308" s="369"/>
      <c r="Q308" s="350">
        <f t="shared" si="141"/>
        <v>7739277.095449971</v>
      </c>
      <c r="R308" s="350">
        <f t="shared" si="142"/>
        <v>7492628.1951098815</v>
      </c>
      <c r="S308" s="350">
        <f t="shared" si="143"/>
        <v>7240539.981418876</v>
      </c>
      <c r="T308" s="350">
        <f t="shared" si="144"/>
        <v>6968172.4198673507</v>
      </c>
      <c r="U308" s="350">
        <f t="shared" si="145"/>
        <v>6663196.3102972452</v>
      </c>
      <c r="V308" s="350">
        <f t="shared" si="146"/>
        <v>36103814.002143316</v>
      </c>
      <c r="W308" s="365"/>
      <c r="X308" s="377">
        <f t="shared" si="124"/>
        <v>0</v>
      </c>
      <c r="Y308" s="377">
        <f t="shared" si="125"/>
        <v>0</v>
      </c>
      <c r="Z308" s="377">
        <f t="shared" si="126"/>
        <v>0</v>
      </c>
      <c r="AA308" s="377">
        <f t="shared" si="127"/>
        <v>0</v>
      </c>
      <c r="AB308" s="377">
        <f t="shared" si="128"/>
        <v>0</v>
      </c>
      <c r="AC308" s="377">
        <f t="shared" si="129"/>
        <v>0</v>
      </c>
      <c r="AD308" s="376"/>
      <c r="AE308" s="332">
        <v>293</v>
      </c>
      <c r="AF308" s="350">
        <v>478388.19736165309</v>
      </c>
      <c r="AG308" s="350">
        <v>476664.23854875675</v>
      </c>
      <c r="AH308" s="350">
        <v>474799.86161230633</v>
      </c>
      <c r="AI308" s="350">
        <v>472563.14237775904</v>
      </c>
      <c r="AJ308" s="350">
        <v>469748.62128365913</v>
      </c>
      <c r="AK308" s="348">
        <v>2372164.0611841343</v>
      </c>
      <c r="AL308" s="369"/>
      <c r="AM308" s="350">
        <v>12080426.40273005</v>
      </c>
      <c r="AN308" s="350">
        <v>11971162.927524647</v>
      </c>
      <c r="AO308" s="350">
        <v>11851715.021458291</v>
      </c>
      <c r="AP308" s="350">
        <v>11699372.997655522</v>
      </c>
      <c r="AQ308" s="350">
        <v>11494709.164042102</v>
      </c>
      <c r="AR308" s="348">
        <v>59097386.513410613</v>
      </c>
      <c r="AS308" s="369"/>
      <c r="AT308" s="350">
        <f t="shared" si="147"/>
        <v>11602038.205368396</v>
      </c>
      <c r="AU308" s="350">
        <f t="shared" si="130"/>
        <v>11494498.688975889</v>
      </c>
      <c r="AV308" s="350">
        <f t="shared" si="131"/>
        <v>11376915.159845984</v>
      </c>
      <c r="AW308" s="350">
        <f t="shared" si="132"/>
        <v>11226809.855277764</v>
      </c>
      <c r="AX308" s="350">
        <f t="shared" si="133"/>
        <v>11024960.542758442</v>
      </c>
      <c r="AY308" s="350">
        <f t="shared" si="134"/>
        <v>56725222.452226475</v>
      </c>
      <c r="AZ308" s="365"/>
      <c r="BA308" s="377">
        <f t="shared" si="135"/>
        <v>0</v>
      </c>
      <c r="BB308" s="377">
        <f t="shared" si="136"/>
        <v>0</v>
      </c>
      <c r="BC308" s="377">
        <f t="shared" si="137"/>
        <v>0</v>
      </c>
      <c r="BD308" s="377">
        <f t="shared" si="138"/>
        <v>0</v>
      </c>
      <c r="BE308" s="377">
        <f t="shared" si="139"/>
        <v>0</v>
      </c>
      <c r="BF308" s="377">
        <f t="shared" si="140"/>
        <v>0</v>
      </c>
      <c r="BG308" s="328"/>
    </row>
    <row r="309" spans="2:59">
      <c r="B309" s="332">
        <v>294</v>
      </c>
      <c r="C309" s="350">
        <v>4253357.3203173876</v>
      </c>
      <c r="D309" s="350">
        <v>4238029.5741957277</v>
      </c>
      <c r="E309" s="350">
        <v>4221453.3682311662</v>
      </c>
      <c r="F309" s="350">
        <v>4201566.6607784647</v>
      </c>
      <c r="G309" s="350">
        <v>4176542.7075020266</v>
      </c>
      <c r="H309" s="348">
        <v>21090949.631024774</v>
      </c>
      <c r="I309" s="369"/>
      <c r="J309" s="350">
        <v>16188613.522535212</v>
      </c>
      <c r="K309" s="350">
        <v>15874596.180649891</v>
      </c>
      <c r="L309" s="350">
        <v>15550353.32309093</v>
      </c>
      <c r="M309" s="350">
        <v>15190865.171038257</v>
      </c>
      <c r="N309" s="350">
        <v>14775060.965381706</v>
      </c>
      <c r="O309" s="348">
        <v>77579489.162696004</v>
      </c>
      <c r="P309" s="369"/>
      <c r="Q309" s="350">
        <f t="shared" si="141"/>
        <v>11935256.202217825</v>
      </c>
      <c r="R309" s="350">
        <f t="shared" si="142"/>
        <v>11636566.606454164</v>
      </c>
      <c r="S309" s="350">
        <f t="shared" si="143"/>
        <v>11328899.954859763</v>
      </c>
      <c r="T309" s="350">
        <f t="shared" si="144"/>
        <v>10989298.510259792</v>
      </c>
      <c r="U309" s="350">
        <f t="shared" si="145"/>
        <v>10598518.25787968</v>
      </c>
      <c r="V309" s="350">
        <f t="shared" si="146"/>
        <v>56488539.531671226</v>
      </c>
      <c r="W309" s="365"/>
      <c r="X309" s="377">
        <f t="shared" si="124"/>
        <v>0</v>
      </c>
      <c r="Y309" s="377">
        <f t="shared" si="125"/>
        <v>0</v>
      </c>
      <c r="Z309" s="377">
        <f t="shared" si="126"/>
        <v>0</v>
      </c>
      <c r="AA309" s="377">
        <f t="shared" si="127"/>
        <v>0</v>
      </c>
      <c r="AB309" s="377">
        <f t="shared" si="128"/>
        <v>0</v>
      </c>
      <c r="AC309" s="377">
        <f t="shared" si="129"/>
        <v>0</v>
      </c>
      <c r="AD309" s="376"/>
      <c r="AE309" s="332">
        <v>294</v>
      </c>
      <c r="AF309" s="350">
        <v>622800.70687998319</v>
      </c>
      <c r="AG309" s="350">
        <v>620556.33134307549</v>
      </c>
      <c r="AH309" s="350">
        <v>618129.14923382655</v>
      </c>
      <c r="AI309" s="350">
        <v>615217.22471718793</v>
      </c>
      <c r="AJ309" s="350">
        <v>611553.07552495983</v>
      </c>
      <c r="AK309" s="348">
        <v>3088256.4876990328</v>
      </c>
      <c r="AL309" s="369"/>
      <c r="AM309" s="350">
        <v>15796265.930945873</v>
      </c>
      <c r="AN309" s="350">
        <v>15653520.840853097</v>
      </c>
      <c r="AO309" s="350">
        <v>15497456.081067923</v>
      </c>
      <c r="AP309" s="350">
        <v>15298372.552970447</v>
      </c>
      <c r="AQ309" s="350">
        <v>15030863.007385887</v>
      </c>
      <c r="AR309" s="348">
        <v>77276478.413223222</v>
      </c>
      <c r="AS309" s="369"/>
      <c r="AT309" s="350">
        <f t="shared" si="147"/>
        <v>15173465.224065891</v>
      </c>
      <c r="AU309" s="350">
        <f t="shared" si="130"/>
        <v>15032964.509510022</v>
      </c>
      <c r="AV309" s="350">
        <f t="shared" si="131"/>
        <v>14879326.931834096</v>
      </c>
      <c r="AW309" s="350">
        <f t="shared" si="132"/>
        <v>14683155.328253258</v>
      </c>
      <c r="AX309" s="350">
        <f t="shared" si="133"/>
        <v>14419309.931860927</v>
      </c>
      <c r="AY309" s="350">
        <f t="shared" si="134"/>
        <v>74188221.92552419</v>
      </c>
      <c r="AZ309" s="365"/>
      <c r="BA309" s="377">
        <f t="shared" si="135"/>
        <v>0</v>
      </c>
      <c r="BB309" s="377">
        <f t="shared" si="136"/>
        <v>0</v>
      </c>
      <c r="BC309" s="377">
        <f t="shared" si="137"/>
        <v>0</v>
      </c>
      <c r="BD309" s="377">
        <f t="shared" si="138"/>
        <v>0</v>
      </c>
      <c r="BE309" s="377">
        <f t="shared" si="139"/>
        <v>0</v>
      </c>
      <c r="BF309" s="377">
        <f t="shared" si="140"/>
        <v>0</v>
      </c>
      <c r="BG309" s="328"/>
    </row>
    <row r="310" spans="2:59">
      <c r="B310" s="332">
        <v>295</v>
      </c>
      <c r="C310" s="350">
        <v>5890909.9731034636</v>
      </c>
      <c r="D310" s="350">
        <v>5869681.0083837658</v>
      </c>
      <c r="E310" s="350">
        <v>5846722.9238216225</v>
      </c>
      <c r="F310" s="350">
        <v>5819179.7868494</v>
      </c>
      <c r="G310" s="350">
        <v>5784521.5522311898</v>
      </c>
      <c r="H310" s="348">
        <v>29211015.244389441</v>
      </c>
      <c r="I310" s="369"/>
      <c r="J310" s="350">
        <v>20132213.613364942</v>
      </c>
      <c r="K310" s="350">
        <v>19713796.898140363</v>
      </c>
      <c r="L310" s="350">
        <v>19283233.492544919</v>
      </c>
      <c r="M310" s="350">
        <v>18810309.908247195</v>
      </c>
      <c r="N310" s="350">
        <v>18269648.901844006</v>
      </c>
      <c r="O310" s="348">
        <v>96209202.814141437</v>
      </c>
      <c r="P310" s="369"/>
      <c r="Q310" s="350">
        <f t="shared" si="141"/>
        <v>14241303.640261479</v>
      </c>
      <c r="R310" s="350">
        <f t="shared" si="142"/>
        <v>13844115.889756598</v>
      </c>
      <c r="S310" s="350">
        <f t="shared" si="143"/>
        <v>13436510.568723297</v>
      </c>
      <c r="T310" s="350">
        <f t="shared" si="144"/>
        <v>12991130.121397795</v>
      </c>
      <c r="U310" s="350">
        <f t="shared" si="145"/>
        <v>12485127.349612817</v>
      </c>
      <c r="V310" s="350">
        <f t="shared" si="146"/>
        <v>66998187.569751993</v>
      </c>
      <c r="W310" s="365"/>
      <c r="X310" s="377">
        <f t="shared" si="124"/>
        <v>0</v>
      </c>
      <c r="Y310" s="377">
        <f t="shared" si="125"/>
        <v>0</v>
      </c>
      <c r="Z310" s="377">
        <f t="shared" si="126"/>
        <v>0</v>
      </c>
      <c r="AA310" s="377">
        <f t="shared" si="127"/>
        <v>0</v>
      </c>
      <c r="AB310" s="377">
        <f t="shared" si="128"/>
        <v>0</v>
      </c>
      <c r="AC310" s="377">
        <f t="shared" si="129"/>
        <v>0</v>
      </c>
      <c r="AD310" s="376"/>
      <c r="AE310" s="332">
        <v>295</v>
      </c>
      <c r="AF310" s="350">
        <v>388434.03290638828</v>
      </c>
      <c r="AG310" s="350">
        <v>387034.24027364579</v>
      </c>
      <c r="AH310" s="350">
        <v>385520.43316829269</v>
      </c>
      <c r="AI310" s="350">
        <v>383704.2974911459</v>
      </c>
      <c r="AJ310" s="350">
        <v>381419.00745825894</v>
      </c>
      <c r="AK310" s="348">
        <v>1926112.0112977317</v>
      </c>
      <c r="AL310" s="369"/>
      <c r="AM310" s="350">
        <v>11287003.118051762</v>
      </c>
      <c r="AN310" s="350">
        <v>11187631.674899895</v>
      </c>
      <c r="AO310" s="350">
        <v>11078689.241834519</v>
      </c>
      <c r="AP310" s="350">
        <v>10938869.958098602</v>
      </c>
      <c r="AQ310" s="350">
        <v>10749941.67855587</v>
      </c>
      <c r="AR310" s="348">
        <v>55242135.671440654</v>
      </c>
      <c r="AS310" s="369"/>
      <c r="AT310" s="350">
        <f t="shared" si="147"/>
        <v>10898569.085145373</v>
      </c>
      <c r="AU310" s="350">
        <f t="shared" si="130"/>
        <v>10800597.43462625</v>
      </c>
      <c r="AV310" s="350">
        <f t="shared" si="131"/>
        <v>10693168.808666227</v>
      </c>
      <c r="AW310" s="350">
        <f t="shared" si="132"/>
        <v>10555165.660607455</v>
      </c>
      <c r="AX310" s="350">
        <f t="shared" si="133"/>
        <v>10368522.671097612</v>
      </c>
      <c r="AY310" s="350">
        <f t="shared" si="134"/>
        <v>53316023.660142921</v>
      </c>
      <c r="AZ310" s="365"/>
      <c r="BA310" s="377">
        <f t="shared" si="135"/>
        <v>0</v>
      </c>
      <c r="BB310" s="377">
        <f t="shared" si="136"/>
        <v>0</v>
      </c>
      <c r="BC310" s="377">
        <f t="shared" si="137"/>
        <v>0</v>
      </c>
      <c r="BD310" s="377">
        <f t="shared" si="138"/>
        <v>0</v>
      </c>
      <c r="BE310" s="377">
        <f t="shared" si="139"/>
        <v>0</v>
      </c>
      <c r="BF310" s="377">
        <f t="shared" si="140"/>
        <v>0</v>
      </c>
      <c r="BG310" s="328"/>
    </row>
    <row r="311" spans="2:59">
      <c r="B311" s="332">
        <v>296</v>
      </c>
      <c r="C311" s="350">
        <v>5938640.3628670042</v>
      </c>
      <c r="D311" s="350">
        <v>5917239.3930131281</v>
      </c>
      <c r="E311" s="350">
        <v>5894095.2933311844</v>
      </c>
      <c r="F311" s="350">
        <v>5866328.9914032957</v>
      </c>
      <c r="G311" s="350">
        <v>5831389.9426062219</v>
      </c>
      <c r="H311" s="348">
        <v>29447693.983220834</v>
      </c>
      <c r="I311" s="369"/>
      <c r="J311" s="350">
        <v>17246483.720992278</v>
      </c>
      <c r="K311" s="350">
        <v>16846650.995670412</v>
      </c>
      <c r="L311" s="350">
        <v>16437257.888090372</v>
      </c>
      <c r="M311" s="350">
        <v>15993758.476414746</v>
      </c>
      <c r="N311" s="350">
        <v>15495638.9515954</v>
      </c>
      <c r="O311" s="348">
        <v>82019790.032763213</v>
      </c>
      <c r="P311" s="369"/>
      <c r="Q311" s="350">
        <f t="shared" si="141"/>
        <v>11307843.358125273</v>
      </c>
      <c r="R311" s="350">
        <f t="shared" si="142"/>
        <v>10929411.602657285</v>
      </c>
      <c r="S311" s="350">
        <f t="shared" si="143"/>
        <v>10543162.594759189</v>
      </c>
      <c r="T311" s="350">
        <f t="shared" si="144"/>
        <v>10127429.485011451</v>
      </c>
      <c r="U311" s="350">
        <f t="shared" si="145"/>
        <v>9664249.0089891776</v>
      </c>
      <c r="V311" s="350">
        <f t="shared" si="146"/>
        <v>52572096.049542382</v>
      </c>
      <c r="W311" s="365"/>
      <c r="X311" s="377">
        <f t="shared" si="124"/>
        <v>0</v>
      </c>
      <c r="Y311" s="377">
        <f t="shared" si="125"/>
        <v>0</v>
      </c>
      <c r="Z311" s="377">
        <f t="shared" si="126"/>
        <v>0</v>
      </c>
      <c r="AA311" s="377">
        <f t="shared" si="127"/>
        <v>0</v>
      </c>
      <c r="AB311" s="377">
        <f t="shared" si="128"/>
        <v>0</v>
      </c>
      <c r="AC311" s="377">
        <f t="shared" si="129"/>
        <v>0</v>
      </c>
      <c r="AD311" s="376"/>
      <c r="AE311" s="332">
        <v>296</v>
      </c>
      <c r="AF311" s="350">
        <v>248705.26168363405</v>
      </c>
      <c r="AG311" s="350">
        <v>247809.007072718</v>
      </c>
      <c r="AH311" s="350">
        <v>246839.75165125474</v>
      </c>
      <c r="AI311" s="350">
        <v>245676.92228880632</v>
      </c>
      <c r="AJ311" s="350">
        <v>244213.70432255484</v>
      </c>
      <c r="AK311" s="348">
        <v>1233244.6470189679</v>
      </c>
      <c r="AL311" s="369"/>
      <c r="AM311" s="350">
        <v>7860770.314323361</v>
      </c>
      <c r="AN311" s="350">
        <v>7792575.8769148886</v>
      </c>
      <c r="AO311" s="350">
        <v>7717695.1068288498</v>
      </c>
      <c r="AP311" s="350">
        <v>7621256.9641682906</v>
      </c>
      <c r="AQ311" s="350">
        <v>7490533.7934858361</v>
      </c>
      <c r="AR311" s="348">
        <v>38482832.055721231</v>
      </c>
      <c r="AS311" s="369"/>
      <c r="AT311" s="350">
        <f t="shared" si="147"/>
        <v>7612065.0526397265</v>
      </c>
      <c r="AU311" s="350">
        <f t="shared" si="130"/>
        <v>7544766.8698421707</v>
      </c>
      <c r="AV311" s="350">
        <f t="shared" si="131"/>
        <v>7470855.3551775953</v>
      </c>
      <c r="AW311" s="350">
        <f t="shared" si="132"/>
        <v>7375580.0418794844</v>
      </c>
      <c r="AX311" s="350">
        <f t="shared" si="133"/>
        <v>7246320.089163281</v>
      </c>
      <c r="AY311" s="350">
        <f t="shared" si="134"/>
        <v>37249587.408702262</v>
      </c>
      <c r="AZ311" s="365"/>
      <c r="BA311" s="377">
        <f t="shared" si="135"/>
        <v>0</v>
      </c>
      <c r="BB311" s="377">
        <f t="shared" si="136"/>
        <v>0</v>
      </c>
      <c r="BC311" s="377">
        <f t="shared" si="137"/>
        <v>0</v>
      </c>
      <c r="BD311" s="377">
        <f t="shared" si="138"/>
        <v>0</v>
      </c>
      <c r="BE311" s="377">
        <f t="shared" si="139"/>
        <v>0</v>
      </c>
      <c r="BF311" s="377">
        <f t="shared" si="140"/>
        <v>0</v>
      </c>
      <c r="BG311" s="328"/>
    </row>
    <row r="312" spans="2:59">
      <c r="B312" s="332">
        <v>297</v>
      </c>
      <c r="C312" s="350">
        <v>6565978.3107572766</v>
      </c>
      <c r="D312" s="350">
        <v>6542316.6145939026</v>
      </c>
      <c r="E312" s="350">
        <v>6516727.6502437741</v>
      </c>
      <c r="F312" s="350">
        <v>6486028.2097845683</v>
      </c>
      <c r="G312" s="350">
        <v>6447398.3176573217</v>
      </c>
      <c r="H312" s="348">
        <v>32558449.103036843</v>
      </c>
      <c r="I312" s="369"/>
      <c r="J312" s="350">
        <v>23334644.534822877</v>
      </c>
      <c r="K312" s="350">
        <v>22861826.05046957</v>
      </c>
      <c r="L312" s="350">
        <v>22374680.480475042</v>
      </c>
      <c r="M312" s="350">
        <v>21837795.688568059</v>
      </c>
      <c r="N312" s="350">
        <v>21221397.656700939</v>
      </c>
      <c r="O312" s="348">
        <v>111630344.41103648</v>
      </c>
      <c r="P312" s="369"/>
      <c r="Q312" s="350">
        <f t="shared" si="141"/>
        <v>16768666.224065602</v>
      </c>
      <c r="R312" s="350">
        <f t="shared" si="142"/>
        <v>16319509.435875667</v>
      </c>
      <c r="S312" s="350">
        <f t="shared" si="143"/>
        <v>15857952.830231268</v>
      </c>
      <c r="T312" s="350">
        <f t="shared" si="144"/>
        <v>15351767.478783492</v>
      </c>
      <c r="U312" s="350">
        <f t="shared" si="145"/>
        <v>14773999.339043617</v>
      </c>
      <c r="V312" s="350">
        <f t="shared" si="146"/>
        <v>79071895.307999641</v>
      </c>
      <c r="W312" s="365"/>
      <c r="X312" s="377">
        <f t="shared" si="124"/>
        <v>0</v>
      </c>
      <c r="Y312" s="377">
        <f t="shared" si="125"/>
        <v>0</v>
      </c>
      <c r="Z312" s="377">
        <f t="shared" si="126"/>
        <v>0</v>
      </c>
      <c r="AA312" s="377">
        <f t="shared" si="127"/>
        <v>0</v>
      </c>
      <c r="AB312" s="377">
        <f t="shared" si="128"/>
        <v>0</v>
      </c>
      <c r="AC312" s="377">
        <f t="shared" si="129"/>
        <v>0</v>
      </c>
      <c r="AD312" s="376"/>
      <c r="AE312" s="332">
        <v>297</v>
      </c>
      <c r="AF312" s="350">
        <v>582522.90226022387</v>
      </c>
      <c r="AG312" s="350">
        <v>580423.67511247238</v>
      </c>
      <c r="AH312" s="350">
        <v>578153.46386997576</v>
      </c>
      <c r="AI312" s="350">
        <v>575429.85951009486</v>
      </c>
      <c r="AJ312" s="350">
        <v>572002.67839390144</v>
      </c>
      <c r="AK312" s="348">
        <v>2888532.5791466683</v>
      </c>
      <c r="AL312" s="369"/>
      <c r="AM312" s="350">
        <v>14321606.813753605</v>
      </c>
      <c r="AN312" s="350">
        <v>14191358.869778197</v>
      </c>
      <c r="AO312" s="350">
        <v>14049051.637128487</v>
      </c>
      <c r="AP312" s="350">
        <v>13867785.341773884</v>
      </c>
      <c r="AQ312" s="350">
        <v>13624549.173043689</v>
      </c>
      <c r="AR312" s="348">
        <v>70054351.835477859</v>
      </c>
      <c r="AS312" s="369"/>
      <c r="AT312" s="350">
        <f t="shared" si="147"/>
        <v>13739083.911493381</v>
      </c>
      <c r="AU312" s="350">
        <f t="shared" si="130"/>
        <v>13610935.194665724</v>
      </c>
      <c r="AV312" s="350">
        <f t="shared" si="131"/>
        <v>13470898.173258511</v>
      </c>
      <c r="AW312" s="350">
        <f t="shared" si="132"/>
        <v>13292355.482263789</v>
      </c>
      <c r="AX312" s="350">
        <f t="shared" si="133"/>
        <v>13052546.494649787</v>
      </c>
      <c r="AY312" s="350">
        <f t="shared" si="134"/>
        <v>67165819.25633119</v>
      </c>
      <c r="AZ312" s="365"/>
      <c r="BA312" s="377">
        <f t="shared" si="135"/>
        <v>0</v>
      </c>
      <c r="BB312" s="377">
        <f t="shared" si="136"/>
        <v>0</v>
      </c>
      <c r="BC312" s="377">
        <f t="shared" si="137"/>
        <v>0</v>
      </c>
      <c r="BD312" s="377">
        <f t="shared" si="138"/>
        <v>0</v>
      </c>
      <c r="BE312" s="377">
        <f t="shared" si="139"/>
        <v>0</v>
      </c>
      <c r="BF312" s="377">
        <f t="shared" si="140"/>
        <v>0</v>
      </c>
      <c r="BG312" s="328"/>
    </row>
    <row r="313" spans="2:59">
      <c r="B313" s="332">
        <v>298</v>
      </c>
      <c r="C313" s="350">
        <v>4985122.6575671611</v>
      </c>
      <c r="D313" s="350">
        <v>4967157.8620594982</v>
      </c>
      <c r="E313" s="350">
        <v>4947729.816469322</v>
      </c>
      <c r="F313" s="350">
        <v>4924421.7169044651</v>
      </c>
      <c r="G313" s="350">
        <v>4895092.5383131476</v>
      </c>
      <c r="H313" s="348">
        <v>24719524.591313593</v>
      </c>
      <c r="I313" s="369"/>
      <c r="J313" s="350">
        <v>19452551.081005037</v>
      </c>
      <c r="K313" s="350">
        <v>19081058.137263767</v>
      </c>
      <c r="L313" s="350">
        <v>18697158.837254249</v>
      </c>
      <c r="M313" s="350">
        <v>18270600.436696373</v>
      </c>
      <c r="N313" s="350">
        <v>17775891.048547499</v>
      </c>
      <c r="O313" s="348">
        <v>93277259.540766925</v>
      </c>
      <c r="P313" s="369"/>
      <c r="Q313" s="350">
        <f t="shared" si="141"/>
        <v>14467428.423437875</v>
      </c>
      <c r="R313" s="350">
        <f t="shared" si="142"/>
        <v>14113900.275204269</v>
      </c>
      <c r="S313" s="350">
        <f t="shared" si="143"/>
        <v>13749429.020784926</v>
      </c>
      <c r="T313" s="350">
        <f t="shared" si="144"/>
        <v>13346178.719791908</v>
      </c>
      <c r="U313" s="350">
        <f t="shared" si="145"/>
        <v>12880798.510234352</v>
      </c>
      <c r="V313" s="350">
        <f t="shared" si="146"/>
        <v>68557734.949453324</v>
      </c>
      <c r="W313" s="365"/>
      <c r="X313" s="377">
        <f t="shared" si="124"/>
        <v>0</v>
      </c>
      <c r="Y313" s="377">
        <f t="shared" si="125"/>
        <v>0</v>
      </c>
      <c r="Z313" s="377">
        <f t="shared" si="126"/>
        <v>0</v>
      </c>
      <c r="AA313" s="377">
        <f t="shared" si="127"/>
        <v>0</v>
      </c>
      <c r="AB313" s="377">
        <f t="shared" si="128"/>
        <v>0</v>
      </c>
      <c r="AC313" s="377">
        <f t="shared" si="129"/>
        <v>0</v>
      </c>
      <c r="AD313" s="376"/>
      <c r="AE313" s="332">
        <v>298</v>
      </c>
      <c r="AF313" s="350">
        <v>298824.7190810818</v>
      </c>
      <c r="AG313" s="350">
        <v>297747.84989657381</v>
      </c>
      <c r="AH313" s="350">
        <v>296583.26866867434</v>
      </c>
      <c r="AI313" s="350">
        <v>295186.10418883763</v>
      </c>
      <c r="AJ313" s="350">
        <v>293428.01634317031</v>
      </c>
      <c r="AK313" s="348">
        <v>1481769.9581783379</v>
      </c>
      <c r="AL313" s="369"/>
      <c r="AM313" s="350">
        <v>11795162.971527433</v>
      </c>
      <c r="AN313" s="350">
        <v>11696286.577845607</v>
      </c>
      <c r="AO313" s="350">
        <v>11587306.826644424</v>
      </c>
      <c r="AP313" s="350">
        <v>11445798.152844386</v>
      </c>
      <c r="AQ313" s="350">
        <v>11252560.405251924</v>
      </c>
      <c r="AR313" s="348">
        <v>57777114.934113771</v>
      </c>
      <c r="AS313" s="369"/>
      <c r="AT313" s="350">
        <f t="shared" si="147"/>
        <v>11496338.252446352</v>
      </c>
      <c r="AU313" s="350">
        <f t="shared" si="130"/>
        <v>11398538.727949033</v>
      </c>
      <c r="AV313" s="350">
        <f t="shared" si="131"/>
        <v>11290723.55797575</v>
      </c>
      <c r="AW313" s="350">
        <f t="shared" si="132"/>
        <v>11150612.048655549</v>
      </c>
      <c r="AX313" s="350">
        <f t="shared" si="133"/>
        <v>10959132.388908753</v>
      </c>
      <c r="AY313" s="350">
        <f t="shared" si="134"/>
        <v>56295344.975935429</v>
      </c>
      <c r="AZ313" s="365"/>
      <c r="BA313" s="377">
        <f t="shared" si="135"/>
        <v>0</v>
      </c>
      <c r="BB313" s="377">
        <f t="shared" si="136"/>
        <v>0</v>
      </c>
      <c r="BC313" s="377">
        <f t="shared" si="137"/>
        <v>0</v>
      </c>
      <c r="BD313" s="377">
        <f t="shared" si="138"/>
        <v>0</v>
      </c>
      <c r="BE313" s="377">
        <f t="shared" si="139"/>
        <v>0</v>
      </c>
      <c r="BF313" s="377">
        <f t="shared" si="140"/>
        <v>0</v>
      </c>
      <c r="BG313" s="328"/>
    </row>
    <row r="314" spans="2:59">
      <c r="B314" s="332">
        <v>299</v>
      </c>
      <c r="C314" s="350">
        <v>7468132.4452155121</v>
      </c>
      <c r="D314" s="350">
        <v>7441219.6726684235</v>
      </c>
      <c r="E314" s="350">
        <v>7412114.8285982609</v>
      </c>
      <c r="F314" s="350">
        <v>7377197.337785393</v>
      </c>
      <c r="G314" s="350">
        <v>7333259.7648759577</v>
      </c>
      <c r="H314" s="348">
        <v>37031924.049143545</v>
      </c>
      <c r="I314" s="369"/>
      <c r="J314" s="350">
        <v>21629513.518917121</v>
      </c>
      <c r="K314" s="350">
        <v>21127127.903247483</v>
      </c>
      <c r="L314" s="350">
        <v>20612771.403736159</v>
      </c>
      <c r="M314" s="350">
        <v>20055690.319046445</v>
      </c>
      <c r="N314" s="350">
        <v>19430185.267103586</v>
      </c>
      <c r="O314" s="348">
        <v>102855288.41205078</v>
      </c>
      <c r="P314" s="369"/>
      <c r="Q314" s="350">
        <f t="shared" si="141"/>
        <v>14161381.073701609</v>
      </c>
      <c r="R314" s="350">
        <f t="shared" si="142"/>
        <v>13685908.23057906</v>
      </c>
      <c r="S314" s="350">
        <f t="shared" si="143"/>
        <v>13200656.575137898</v>
      </c>
      <c r="T314" s="350">
        <f t="shared" si="144"/>
        <v>12678492.981261052</v>
      </c>
      <c r="U314" s="350">
        <f t="shared" si="145"/>
        <v>12096925.502227629</v>
      </c>
      <c r="V314" s="350">
        <f t="shared" si="146"/>
        <v>65823364.362907238</v>
      </c>
      <c r="W314" s="365"/>
      <c r="X314" s="377">
        <f t="shared" si="124"/>
        <v>0</v>
      </c>
      <c r="Y314" s="377">
        <f t="shared" si="125"/>
        <v>0</v>
      </c>
      <c r="Z314" s="377">
        <f t="shared" si="126"/>
        <v>0</v>
      </c>
      <c r="AA314" s="377">
        <f t="shared" si="127"/>
        <v>0</v>
      </c>
      <c r="AB314" s="377">
        <f t="shared" si="128"/>
        <v>0</v>
      </c>
      <c r="AC314" s="377">
        <f t="shared" si="129"/>
        <v>0</v>
      </c>
      <c r="AD314" s="376"/>
      <c r="AE314" s="332">
        <v>299</v>
      </c>
      <c r="AF314" s="350">
        <v>406631.43947465811</v>
      </c>
      <c r="AG314" s="350">
        <v>405166.06918009563</v>
      </c>
      <c r="AH314" s="350">
        <v>403581.34304852883</v>
      </c>
      <c r="AI314" s="350">
        <v>401680.12481810281</v>
      </c>
      <c r="AJ314" s="350">
        <v>399287.77322950272</v>
      </c>
      <c r="AK314" s="348">
        <v>2016346.749750888</v>
      </c>
      <c r="AL314" s="369"/>
      <c r="AM314" s="350">
        <v>10842926.152642747</v>
      </c>
      <c r="AN314" s="350">
        <v>10745911.04092974</v>
      </c>
      <c r="AO314" s="350">
        <v>10639733.220721927</v>
      </c>
      <c r="AP314" s="350">
        <v>10503975.258859785</v>
      </c>
      <c r="AQ314" s="350">
        <v>10321168.342973152</v>
      </c>
      <c r="AR314" s="348">
        <v>53053714.016127348</v>
      </c>
      <c r="AS314" s="369"/>
      <c r="AT314" s="350">
        <f t="shared" si="147"/>
        <v>10436294.713168088</v>
      </c>
      <c r="AU314" s="350">
        <f t="shared" si="130"/>
        <v>10340744.971749645</v>
      </c>
      <c r="AV314" s="350">
        <f t="shared" si="131"/>
        <v>10236151.877673397</v>
      </c>
      <c r="AW314" s="350">
        <f t="shared" si="132"/>
        <v>10102295.134041682</v>
      </c>
      <c r="AX314" s="350">
        <f t="shared" si="133"/>
        <v>9921880.56974365</v>
      </c>
      <c r="AY314" s="350">
        <f t="shared" si="134"/>
        <v>51037367.266376458</v>
      </c>
      <c r="AZ314" s="365"/>
      <c r="BA314" s="377">
        <f t="shared" si="135"/>
        <v>0</v>
      </c>
      <c r="BB314" s="377">
        <f t="shared" si="136"/>
        <v>0</v>
      </c>
      <c r="BC314" s="377">
        <f t="shared" si="137"/>
        <v>0</v>
      </c>
      <c r="BD314" s="377">
        <f t="shared" si="138"/>
        <v>0</v>
      </c>
      <c r="BE314" s="377">
        <f t="shared" si="139"/>
        <v>0</v>
      </c>
      <c r="BF314" s="377">
        <f t="shared" si="140"/>
        <v>0</v>
      </c>
      <c r="BG314" s="328"/>
    </row>
    <row r="315" spans="2:59">
      <c r="B315" s="332">
        <v>300</v>
      </c>
      <c r="C315" s="350">
        <v>5891709.9624442449</v>
      </c>
      <c r="D315" s="350">
        <v>5870478.1148175653</v>
      </c>
      <c r="E315" s="350">
        <v>5847516.9125328623</v>
      </c>
      <c r="F315" s="350">
        <v>5819970.0351850279</v>
      </c>
      <c r="G315" s="350">
        <v>5785307.093956396</v>
      </c>
      <c r="H315" s="348">
        <v>29214982.118936095</v>
      </c>
      <c r="I315" s="369"/>
      <c r="J315" s="350">
        <v>19579503.978834249</v>
      </c>
      <c r="K315" s="350">
        <v>19165033.726287894</v>
      </c>
      <c r="L315" s="350">
        <v>18738904.240902871</v>
      </c>
      <c r="M315" s="350">
        <v>18271975.054891337</v>
      </c>
      <c r="N315" s="350">
        <v>17739788.965424985</v>
      </c>
      <c r="O315" s="348">
        <v>93495205.966341332</v>
      </c>
      <c r="P315" s="369"/>
      <c r="Q315" s="350">
        <f t="shared" si="141"/>
        <v>13687794.016390003</v>
      </c>
      <c r="R315" s="350">
        <f t="shared" si="142"/>
        <v>13294555.611470329</v>
      </c>
      <c r="S315" s="350">
        <f t="shared" si="143"/>
        <v>12891387.328370009</v>
      </c>
      <c r="T315" s="350">
        <f t="shared" si="144"/>
        <v>12452005.019706309</v>
      </c>
      <c r="U315" s="350">
        <f t="shared" si="145"/>
        <v>11954481.871468589</v>
      </c>
      <c r="V315" s="350">
        <f t="shared" si="146"/>
        <v>64280223.84740524</v>
      </c>
      <c r="W315" s="365"/>
      <c r="X315" s="377">
        <f t="shared" si="124"/>
        <v>0</v>
      </c>
      <c r="Y315" s="377">
        <f t="shared" si="125"/>
        <v>0</v>
      </c>
      <c r="Z315" s="377">
        <f t="shared" si="126"/>
        <v>0</v>
      </c>
      <c r="AA315" s="377">
        <f t="shared" si="127"/>
        <v>0</v>
      </c>
      <c r="AB315" s="377">
        <f t="shared" si="128"/>
        <v>0</v>
      </c>
      <c r="AC315" s="377">
        <f t="shared" si="129"/>
        <v>0</v>
      </c>
      <c r="AD315" s="376"/>
      <c r="AE315" s="332">
        <v>300</v>
      </c>
      <c r="AF315" s="350">
        <v>296049.40275253466</v>
      </c>
      <c r="AG315" s="350">
        <v>294982.53492481093</v>
      </c>
      <c r="AH315" s="350">
        <v>293828.76967394183</v>
      </c>
      <c r="AI315" s="350">
        <v>292444.58127388352</v>
      </c>
      <c r="AJ315" s="350">
        <v>290702.82156171242</v>
      </c>
      <c r="AK315" s="348">
        <v>1468008.1101868832</v>
      </c>
      <c r="AL315" s="369"/>
      <c r="AM315" s="350">
        <v>11456550.761328323</v>
      </c>
      <c r="AN315" s="350">
        <v>11360243.633385846</v>
      </c>
      <c r="AO315" s="350">
        <v>11254128.690355349</v>
      </c>
      <c r="AP315" s="350">
        <v>11116432.849778242</v>
      </c>
      <c r="AQ315" s="350">
        <v>10928515.127344109</v>
      </c>
      <c r="AR315" s="348">
        <v>56115871.062191874</v>
      </c>
      <c r="AS315" s="369"/>
      <c r="AT315" s="350">
        <f t="shared" si="147"/>
        <v>11160501.358575787</v>
      </c>
      <c r="AU315" s="350">
        <f t="shared" si="130"/>
        <v>11065261.098461036</v>
      </c>
      <c r="AV315" s="350">
        <f t="shared" si="131"/>
        <v>10960299.920681408</v>
      </c>
      <c r="AW315" s="350">
        <f t="shared" si="132"/>
        <v>10823988.268504359</v>
      </c>
      <c r="AX315" s="350">
        <f t="shared" si="133"/>
        <v>10637812.305782396</v>
      </c>
      <c r="AY315" s="350">
        <f t="shared" si="134"/>
        <v>54647862.952004991</v>
      </c>
      <c r="AZ315" s="365"/>
      <c r="BA315" s="377">
        <f t="shared" si="135"/>
        <v>0</v>
      </c>
      <c r="BB315" s="377">
        <f t="shared" si="136"/>
        <v>0</v>
      </c>
      <c r="BC315" s="377">
        <f t="shared" si="137"/>
        <v>0</v>
      </c>
      <c r="BD315" s="377">
        <f t="shared" si="138"/>
        <v>0</v>
      </c>
      <c r="BE315" s="377">
        <f t="shared" si="139"/>
        <v>0</v>
      </c>
      <c r="BF315" s="377">
        <f t="shared" si="140"/>
        <v>0</v>
      </c>
      <c r="BG315" s="328"/>
    </row>
    <row r="316" spans="2:59">
      <c r="B316" s="332">
        <v>301</v>
      </c>
      <c r="C316" s="350">
        <v>6460333.331994554</v>
      </c>
      <c r="D316" s="350">
        <v>6437052.3467123862</v>
      </c>
      <c r="E316" s="350">
        <v>6411875.1025153538</v>
      </c>
      <c r="F316" s="350">
        <v>6381669.6085149758</v>
      </c>
      <c r="G316" s="350">
        <v>6343661.2618665956</v>
      </c>
      <c r="H316" s="348">
        <v>32034591.651603866</v>
      </c>
      <c r="I316" s="369"/>
      <c r="J316" s="350">
        <v>24818409.915084824</v>
      </c>
      <c r="K316" s="350">
        <v>24339798.93236497</v>
      </c>
      <c r="L316" s="350">
        <v>23845454.214856274</v>
      </c>
      <c r="M316" s="350">
        <v>23296927.986411609</v>
      </c>
      <c r="N316" s="350">
        <v>22661834.135243528</v>
      </c>
      <c r="O316" s="348">
        <v>118962425.18396121</v>
      </c>
      <c r="P316" s="369"/>
      <c r="Q316" s="350">
        <f t="shared" si="141"/>
        <v>18358076.583090268</v>
      </c>
      <c r="R316" s="350">
        <f t="shared" si="142"/>
        <v>17902746.585652582</v>
      </c>
      <c r="S316" s="350">
        <f t="shared" si="143"/>
        <v>17433579.11234092</v>
      </c>
      <c r="T316" s="350">
        <f t="shared" si="144"/>
        <v>16915258.377896633</v>
      </c>
      <c r="U316" s="350">
        <f t="shared" si="145"/>
        <v>16318172.873376932</v>
      </c>
      <c r="V316" s="350">
        <f t="shared" si="146"/>
        <v>86927833.53235735</v>
      </c>
      <c r="W316" s="365"/>
      <c r="X316" s="377">
        <f t="shared" si="124"/>
        <v>0</v>
      </c>
      <c r="Y316" s="377">
        <f t="shared" si="125"/>
        <v>0</v>
      </c>
      <c r="Z316" s="377">
        <f t="shared" si="126"/>
        <v>0</v>
      </c>
      <c r="AA316" s="377">
        <f t="shared" si="127"/>
        <v>0</v>
      </c>
      <c r="AB316" s="377">
        <f t="shared" si="128"/>
        <v>0</v>
      </c>
      <c r="AC316" s="377">
        <f t="shared" si="129"/>
        <v>0</v>
      </c>
      <c r="AD316" s="376"/>
      <c r="AE316" s="332">
        <v>301</v>
      </c>
      <c r="AF316" s="350">
        <v>338113.22358220688</v>
      </c>
      <c r="AG316" s="350">
        <v>336894.77113131864</v>
      </c>
      <c r="AH316" s="350">
        <v>335577.07454216341</v>
      </c>
      <c r="AI316" s="350">
        <v>333996.21540974342</v>
      </c>
      <c r="AJ316" s="350">
        <v>332006.97987840191</v>
      </c>
      <c r="AK316" s="348">
        <v>1676588.2645438341</v>
      </c>
      <c r="AL316" s="369"/>
      <c r="AM316" s="350">
        <v>9512221.1204306893</v>
      </c>
      <c r="AN316" s="350">
        <v>9427975.8765284233</v>
      </c>
      <c r="AO316" s="350">
        <v>9335674.7880903166</v>
      </c>
      <c r="AP316" s="350">
        <v>9217378.2723705564</v>
      </c>
      <c r="AQ316" s="350">
        <v>9057735.8101664316</v>
      </c>
      <c r="AR316" s="348">
        <v>46550985.867586419</v>
      </c>
      <c r="AS316" s="369"/>
      <c r="AT316" s="350">
        <f t="shared" si="147"/>
        <v>9174107.896848483</v>
      </c>
      <c r="AU316" s="350">
        <f t="shared" si="130"/>
        <v>9091081.1053971052</v>
      </c>
      <c r="AV316" s="350">
        <f t="shared" si="131"/>
        <v>9000097.7135481536</v>
      </c>
      <c r="AW316" s="350">
        <f t="shared" si="132"/>
        <v>8883382.0569608137</v>
      </c>
      <c r="AX316" s="350">
        <f t="shared" si="133"/>
        <v>8725728.8302880302</v>
      </c>
      <c r="AY316" s="350">
        <f t="shared" si="134"/>
        <v>44874397.603042588</v>
      </c>
      <c r="AZ316" s="365"/>
      <c r="BA316" s="377">
        <f t="shared" si="135"/>
        <v>0</v>
      </c>
      <c r="BB316" s="377">
        <f t="shared" si="136"/>
        <v>0</v>
      </c>
      <c r="BC316" s="377">
        <f t="shared" si="137"/>
        <v>0</v>
      </c>
      <c r="BD316" s="377">
        <f t="shared" si="138"/>
        <v>0</v>
      </c>
      <c r="BE316" s="377">
        <f t="shared" si="139"/>
        <v>0</v>
      </c>
      <c r="BF316" s="377">
        <f t="shared" si="140"/>
        <v>0</v>
      </c>
      <c r="BG316" s="328"/>
    </row>
    <row r="317" spans="2:59">
      <c r="B317" s="332">
        <v>302</v>
      </c>
      <c r="C317" s="350">
        <v>4064224.9198962329</v>
      </c>
      <c r="D317" s="350">
        <v>4049578.7467529797</v>
      </c>
      <c r="E317" s="350">
        <v>4033739.6285494156</v>
      </c>
      <c r="F317" s="350">
        <v>4014737.2156512835</v>
      </c>
      <c r="G317" s="350">
        <v>3990825.992859208</v>
      </c>
      <c r="H317" s="348">
        <v>20153106.503709119</v>
      </c>
      <c r="I317" s="369"/>
      <c r="J317" s="350">
        <v>16813611.710154995</v>
      </c>
      <c r="K317" s="350">
        <v>16503864.826196071</v>
      </c>
      <c r="L317" s="350">
        <v>16183162.884947481</v>
      </c>
      <c r="M317" s="350">
        <v>15824990.699615028</v>
      </c>
      <c r="N317" s="350">
        <v>15406978.491872784</v>
      </c>
      <c r="O317" s="348">
        <v>80732608.612786368</v>
      </c>
      <c r="P317" s="369"/>
      <c r="Q317" s="350">
        <f t="shared" si="141"/>
        <v>12749386.790258761</v>
      </c>
      <c r="R317" s="350">
        <f t="shared" si="142"/>
        <v>12454286.079443092</v>
      </c>
      <c r="S317" s="350">
        <f t="shared" si="143"/>
        <v>12149423.256398065</v>
      </c>
      <c r="T317" s="350">
        <f t="shared" si="144"/>
        <v>11810253.483963745</v>
      </c>
      <c r="U317" s="350">
        <f t="shared" si="145"/>
        <v>11416152.499013577</v>
      </c>
      <c r="V317" s="350">
        <f t="shared" si="146"/>
        <v>60579502.109077245</v>
      </c>
      <c r="W317" s="365"/>
      <c r="X317" s="377">
        <f t="shared" si="124"/>
        <v>0</v>
      </c>
      <c r="Y317" s="377">
        <f t="shared" si="125"/>
        <v>0</v>
      </c>
      <c r="Z317" s="377">
        <f t="shared" si="126"/>
        <v>0</v>
      </c>
      <c r="AA317" s="377">
        <f t="shared" si="127"/>
        <v>0</v>
      </c>
      <c r="AB317" s="377">
        <f t="shared" si="128"/>
        <v>0</v>
      </c>
      <c r="AC317" s="377">
        <f t="shared" si="129"/>
        <v>0</v>
      </c>
      <c r="AD317" s="376"/>
      <c r="AE317" s="332">
        <v>302</v>
      </c>
      <c r="AF317" s="350">
        <v>402482.07162337966</v>
      </c>
      <c r="AG317" s="350">
        <v>401031.65432998788</v>
      </c>
      <c r="AH317" s="350">
        <v>399463.0991360934</v>
      </c>
      <c r="AI317" s="350">
        <v>397581.28140704968</v>
      </c>
      <c r="AJ317" s="350">
        <v>395213.34196617617</v>
      </c>
      <c r="AK317" s="348">
        <v>1995771.4484626867</v>
      </c>
      <c r="AL317" s="369"/>
      <c r="AM317" s="350">
        <v>11602391.530433919</v>
      </c>
      <c r="AN317" s="350">
        <v>11500095.191079538</v>
      </c>
      <c r="AO317" s="350">
        <v>11387963.449509311</v>
      </c>
      <c r="AP317" s="350">
        <v>11244099.889720166</v>
      </c>
      <c r="AQ317" s="350">
        <v>11049767.301887702</v>
      </c>
      <c r="AR317" s="348">
        <v>56784317.362630635</v>
      </c>
      <c r="AS317" s="369"/>
      <c r="AT317" s="350">
        <f t="shared" si="147"/>
        <v>11199909.45881054</v>
      </c>
      <c r="AU317" s="350">
        <f t="shared" si="130"/>
        <v>11099063.536749551</v>
      </c>
      <c r="AV317" s="350">
        <f t="shared" si="131"/>
        <v>10988500.350373218</v>
      </c>
      <c r="AW317" s="350">
        <f t="shared" si="132"/>
        <v>10846518.608313117</v>
      </c>
      <c r="AX317" s="350">
        <f t="shared" si="133"/>
        <v>10654553.959921526</v>
      </c>
      <c r="AY317" s="350">
        <f t="shared" si="134"/>
        <v>54788545.914167948</v>
      </c>
      <c r="AZ317" s="365"/>
      <c r="BA317" s="377">
        <f t="shared" si="135"/>
        <v>0</v>
      </c>
      <c r="BB317" s="377">
        <f t="shared" si="136"/>
        <v>0</v>
      </c>
      <c r="BC317" s="377">
        <f t="shared" si="137"/>
        <v>0</v>
      </c>
      <c r="BD317" s="377">
        <f t="shared" si="138"/>
        <v>0</v>
      </c>
      <c r="BE317" s="377">
        <f t="shared" si="139"/>
        <v>0</v>
      </c>
      <c r="BF317" s="377">
        <f t="shared" si="140"/>
        <v>0</v>
      </c>
      <c r="BG317" s="328"/>
    </row>
    <row r="318" spans="2:59">
      <c r="B318" s="332">
        <v>303</v>
      </c>
      <c r="C318" s="350">
        <v>3596963.8905096315</v>
      </c>
      <c r="D318" s="350">
        <v>3584001.5774071906</v>
      </c>
      <c r="E318" s="350">
        <v>3569983.4712839713</v>
      </c>
      <c r="F318" s="350">
        <v>3553165.7521925606</v>
      </c>
      <c r="G318" s="350">
        <v>3532003.5855664024</v>
      </c>
      <c r="H318" s="348">
        <v>17836118.276959755</v>
      </c>
      <c r="I318" s="369"/>
      <c r="J318" s="350">
        <v>13627072.300407439</v>
      </c>
      <c r="K318" s="350">
        <v>13361971.155665498</v>
      </c>
      <c r="L318" s="350">
        <v>13088278.23506313</v>
      </c>
      <c r="M318" s="350">
        <v>12784957.569166234</v>
      </c>
      <c r="N318" s="350">
        <v>12434295.28455832</v>
      </c>
      <c r="O318" s="348">
        <v>65296574.544860624</v>
      </c>
      <c r="P318" s="369"/>
      <c r="Q318" s="350">
        <f t="shared" si="141"/>
        <v>10030108.409897808</v>
      </c>
      <c r="R318" s="350">
        <f t="shared" si="142"/>
        <v>9777969.5782583077</v>
      </c>
      <c r="S318" s="350">
        <f t="shared" si="143"/>
        <v>9518294.7637791596</v>
      </c>
      <c r="T318" s="350">
        <f t="shared" si="144"/>
        <v>9231791.8169736732</v>
      </c>
      <c r="U318" s="350">
        <f t="shared" si="145"/>
        <v>8902291.6989919171</v>
      </c>
      <c r="V318" s="350">
        <f t="shared" si="146"/>
        <v>47460456.267900869</v>
      </c>
      <c r="W318" s="365"/>
      <c r="X318" s="377">
        <f t="shared" si="124"/>
        <v>0</v>
      </c>
      <c r="Y318" s="377">
        <f t="shared" si="125"/>
        <v>0</v>
      </c>
      <c r="Z318" s="377">
        <f t="shared" si="126"/>
        <v>0</v>
      </c>
      <c r="AA318" s="377">
        <f t="shared" si="127"/>
        <v>0</v>
      </c>
      <c r="AB318" s="377">
        <f t="shared" si="128"/>
        <v>0</v>
      </c>
      <c r="AC318" s="377">
        <f t="shared" si="129"/>
        <v>0</v>
      </c>
      <c r="AD318" s="376"/>
      <c r="AE318" s="332">
        <v>303</v>
      </c>
      <c r="AF318" s="350">
        <v>530921.64317799627</v>
      </c>
      <c r="AG318" s="350">
        <v>529008.37054551498</v>
      </c>
      <c r="AH318" s="350">
        <v>526939.25999458076</v>
      </c>
      <c r="AI318" s="350">
        <v>524456.91896300239</v>
      </c>
      <c r="AJ318" s="350">
        <v>521333.32567144587</v>
      </c>
      <c r="AK318" s="348">
        <v>2632659.5183525407</v>
      </c>
      <c r="AL318" s="369"/>
      <c r="AM318" s="350">
        <v>17624614.804804806</v>
      </c>
      <c r="AN318" s="350">
        <v>17472954.990079608</v>
      </c>
      <c r="AO318" s="350">
        <v>17306278.468606565</v>
      </c>
      <c r="AP318" s="350">
        <v>17091202.908412654</v>
      </c>
      <c r="AQ318" s="350">
        <v>16799154.974151604</v>
      </c>
      <c r="AR318" s="348">
        <v>86294206.146055222</v>
      </c>
      <c r="AS318" s="369"/>
      <c r="AT318" s="350">
        <f t="shared" si="147"/>
        <v>17093693.161626808</v>
      </c>
      <c r="AU318" s="350">
        <f t="shared" si="130"/>
        <v>16943946.619534094</v>
      </c>
      <c r="AV318" s="350">
        <f t="shared" si="131"/>
        <v>16779339.208611984</v>
      </c>
      <c r="AW318" s="350">
        <f t="shared" si="132"/>
        <v>16566745.989449652</v>
      </c>
      <c r="AX318" s="350">
        <f t="shared" si="133"/>
        <v>16277821.648480158</v>
      </c>
      <c r="AY318" s="350">
        <f t="shared" si="134"/>
        <v>83661546.627702683</v>
      </c>
      <c r="AZ318" s="365"/>
      <c r="BA318" s="377">
        <f t="shared" si="135"/>
        <v>0</v>
      </c>
      <c r="BB318" s="377">
        <f t="shared" si="136"/>
        <v>0</v>
      </c>
      <c r="BC318" s="377">
        <f t="shared" si="137"/>
        <v>0</v>
      </c>
      <c r="BD318" s="377">
        <f t="shared" si="138"/>
        <v>0</v>
      </c>
      <c r="BE318" s="377">
        <f t="shared" si="139"/>
        <v>0</v>
      </c>
      <c r="BF318" s="377">
        <f t="shared" si="140"/>
        <v>0</v>
      </c>
      <c r="BG318" s="328"/>
    </row>
    <row r="319" spans="2:59">
      <c r="B319" s="332">
        <v>304</v>
      </c>
      <c r="C319" s="350">
        <v>7341729.4633737653</v>
      </c>
      <c r="D319" s="350">
        <v>7315272.2069445979</v>
      </c>
      <c r="E319" s="350">
        <v>7286659.9812236</v>
      </c>
      <c r="F319" s="350">
        <v>7252333.4915732788</v>
      </c>
      <c r="G319" s="350">
        <v>7209139.5905619226</v>
      </c>
      <c r="H319" s="348">
        <v>36405134.733677164</v>
      </c>
      <c r="I319" s="369"/>
      <c r="J319" s="350">
        <v>22631680.024770908</v>
      </c>
      <c r="K319" s="350">
        <v>22127936.063794255</v>
      </c>
      <c r="L319" s="350">
        <v>21611218.984983005</v>
      </c>
      <c r="M319" s="350">
        <v>21048642.265421122</v>
      </c>
      <c r="N319" s="350">
        <v>20412666.61709822</v>
      </c>
      <c r="O319" s="348">
        <v>107832143.9560675</v>
      </c>
      <c r="P319" s="369"/>
      <c r="Q319" s="350">
        <f t="shared" si="141"/>
        <v>15289950.561397143</v>
      </c>
      <c r="R319" s="350">
        <f t="shared" si="142"/>
        <v>14812663.856849657</v>
      </c>
      <c r="S319" s="350">
        <f t="shared" si="143"/>
        <v>14324559.003759405</v>
      </c>
      <c r="T319" s="350">
        <f t="shared" si="144"/>
        <v>13796308.773847844</v>
      </c>
      <c r="U319" s="350">
        <f t="shared" si="145"/>
        <v>13203527.026536297</v>
      </c>
      <c r="V319" s="350">
        <f t="shared" si="146"/>
        <v>71427009.222390339</v>
      </c>
      <c r="W319" s="365"/>
      <c r="X319" s="377">
        <f t="shared" si="124"/>
        <v>0</v>
      </c>
      <c r="Y319" s="377">
        <f t="shared" si="125"/>
        <v>0</v>
      </c>
      <c r="Z319" s="377">
        <f t="shared" si="126"/>
        <v>0</v>
      </c>
      <c r="AA319" s="377">
        <f t="shared" si="127"/>
        <v>0</v>
      </c>
      <c r="AB319" s="377">
        <f t="shared" si="128"/>
        <v>0</v>
      </c>
      <c r="AC319" s="377">
        <f t="shared" si="129"/>
        <v>0</v>
      </c>
      <c r="AD319" s="376"/>
      <c r="AE319" s="332">
        <v>304</v>
      </c>
      <c r="AF319" s="350">
        <v>399918.26225009118</v>
      </c>
      <c r="AG319" s="350">
        <v>398477.08410973055</v>
      </c>
      <c r="AH319" s="350">
        <v>396918.52060687559</v>
      </c>
      <c r="AI319" s="350">
        <v>395048.69005011272</v>
      </c>
      <c r="AJ319" s="350">
        <v>392695.83437510597</v>
      </c>
      <c r="AK319" s="348">
        <v>1983058.3913919162</v>
      </c>
      <c r="AL319" s="369"/>
      <c r="AM319" s="350">
        <v>14900760.853836363</v>
      </c>
      <c r="AN319" s="350">
        <v>14774810.919172831</v>
      </c>
      <c r="AO319" s="350">
        <v>14636118.707704987</v>
      </c>
      <c r="AP319" s="350">
        <v>14456387.720450168</v>
      </c>
      <c r="AQ319" s="350">
        <v>14211393.31843082</v>
      </c>
      <c r="AR319" s="348">
        <v>72979471.519595176</v>
      </c>
      <c r="AS319" s="369"/>
      <c r="AT319" s="350">
        <f t="shared" si="147"/>
        <v>14500842.591586271</v>
      </c>
      <c r="AU319" s="350">
        <f t="shared" si="130"/>
        <v>14376333.8350631</v>
      </c>
      <c r="AV319" s="350">
        <f t="shared" si="131"/>
        <v>14239200.187098112</v>
      </c>
      <c r="AW319" s="350">
        <f t="shared" si="132"/>
        <v>14061339.030400056</v>
      </c>
      <c r="AX319" s="350">
        <f t="shared" si="133"/>
        <v>13818697.484055715</v>
      </c>
      <c r="AY319" s="350">
        <f t="shared" si="134"/>
        <v>70996413.128203258</v>
      </c>
      <c r="AZ319" s="365"/>
      <c r="BA319" s="377">
        <f t="shared" si="135"/>
        <v>0</v>
      </c>
      <c r="BB319" s="377">
        <f t="shared" si="136"/>
        <v>0</v>
      </c>
      <c r="BC319" s="377">
        <f t="shared" si="137"/>
        <v>0</v>
      </c>
      <c r="BD319" s="377">
        <f t="shared" si="138"/>
        <v>0</v>
      </c>
      <c r="BE319" s="377">
        <f t="shared" si="139"/>
        <v>0</v>
      </c>
      <c r="BF319" s="377">
        <f t="shared" si="140"/>
        <v>0</v>
      </c>
      <c r="BG319" s="328"/>
    </row>
    <row r="320" spans="2:59">
      <c r="B320" s="332">
        <v>305</v>
      </c>
      <c r="C320" s="350">
        <v>4033416.4638016052</v>
      </c>
      <c r="D320" s="350">
        <v>4018881.3145291107</v>
      </c>
      <c r="E320" s="350">
        <v>4003162.2631986551</v>
      </c>
      <c r="F320" s="350">
        <v>3984303.89621703</v>
      </c>
      <c r="G320" s="350">
        <v>3960573.9300906342</v>
      </c>
      <c r="H320" s="348">
        <v>20000337.867837034</v>
      </c>
      <c r="I320" s="369"/>
      <c r="J320" s="350">
        <v>13477921.013995223</v>
      </c>
      <c r="K320" s="350">
        <v>13193645.064294327</v>
      </c>
      <c r="L320" s="350">
        <v>12901322.178596212</v>
      </c>
      <c r="M320" s="350">
        <v>12580859.620900473</v>
      </c>
      <c r="N320" s="350">
        <v>12215391.235554988</v>
      </c>
      <c r="O320" s="348">
        <v>64369139.11334122</v>
      </c>
      <c r="P320" s="369"/>
      <c r="Q320" s="350">
        <f t="shared" si="141"/>
        <v>9444504.5501936171</v>
      </c>
      <c r="R320" s="350">
        <f t="shared" si="142"/>
        <v>9174763.7497652173</v>
      </c>
      <c r="S320" s="350">
        <f t="shared" si="143"/>
        <v>8898159.9153975565</v>
      </c>
      <c r="T320" s="350">
        <f t="shared" si="144"/>
        <v>8596555.7246834431</v>
      </c>
      <c r="U320" s="350">
        <f t="shared" si="145"/>
        <v>8254817.3054643534</v>
      </c>
      <c r="V320" s="350">
        <f t="shared" si="146"/>
        <v>44368801.245504186</v>
      </c>
      <c r="W320" s="365"/>
      <c r="X320" s="377">
        <f t="shared" si="124"/>
        <v>0</v>
      </c>
      <c r="Y320" s="377">
        <f t="shared" si="125"/>
        <v>0</v>
      </c>
      <c r="Z320" s="377">
        <f t="shared" si="126"/>
        <v>0</v>
      </c>
      <c r="AA320" s="377">
        <f t="shared" si="127"/>
        <v>0</v>
      </c>
      <c r="AB320" s="377">
        <f t="shared" si="128"/>
        <v>0</v>
      </c>
      <c r="AC320" s="377">
        <f t="shared" si="129"/>
        <v>0</v>
      </c>
      <c r="AD320" s="376"/>
      <c r="AE320" s="332">
        <v>305</v>
      </c>
      <c r="AF320" s="350">
        <v>323948.94855603343</v>
      </c>
      <c r="AG320" s="350">
        <v>322781.53964445967</v>
      </c>
      <c r="AH320" s="350">
        <v>321519.04414058622</v>
      </c>
      <c r="AI320" s="350">
        <v>320004.41052662424</v>
      </c>
      <c r="AJ320" s="350">
        <v>318098.50826116098</v>
      </c>
      <c r="AK320" s="348">
        <v>1606352.4511288644</v>
      </c>
      <c r="AL320" s="369"/>
      <c r="AM320" s="350">
        <v>11141041.561081637</v>
      </c>
      <c r="AN320" s="350">
        <v>11045713.986422177</v>
      </c>
      <c r="AO320" s="350">
        <v>10940882.857107807</v>
      </c>
      <c r="AP320" s="350">
        <v>10805428.736030495</v>
      </c>
      <c r="AQ320" s="350">
        <v>10621273.545303959</v>
      </c>
      <c r="AR320" s="348">
        <v>54554340.685946077</v>
      </c>
      <c r="AS320" s="369"/>
      <c r="AT320" s="350">
        <f t="shared" si="147"/>
        <v>10817092.612525603</v>
      </c>
      <c r="AU320" s="350">
        <f t="shared" si="130"/>
        <v>10722932.446777718</v>
      </c>
      <c r="AV320" s="350">
        <f t="shared" si="131"/>
        <v>10619363.81296722</v>
      </c>
      <c r="AW320" s="350">
        <f t="shared" si="132"/>
        <v>10485424.325503871</v>
      </c>
      <c r="AX320" s="350">
        <f t="shared" si="133"/>
        <v>10303175.037042798</v>
      </c>
      <c r="AY320" s="350">
        <f t="shared" si="134"/>
        <v>52947988.234817214</v>
      </c>
      <c r="AZ320" s="365"/>
      <c r="BA320" s="377">
        <f t="shared" si="135"/>
        <v>0</v>
      </c>
      <c r="BB320" s="377">
        <f t="shared" si="136"/>
        <v>0</v>
      </c>
      <c r="BC320" s="377">
        <f t="shared" si="137"/>
        <v>0</v>
      </c>
      <c r="BD320" s="377">
        <f t="shared" si="138"/>
        <v>0</v>
      </c>
      <c r="BE320" s="377">
        <f t="shared" si="139"/>
        <v>0</v>
      </c>
      <c r="BF320" s="377">
        <f t="shared" si="140"/>
        <v>0</v>
      </c>
      <c r="BG320" s="328"/>
    </row>
    <row r="321" spans="2:59">
      <c r="B321" s="332">
        <v>306</v>
      </c>
      <c r="C321" s="350">
        <v>6004490.6359618148</v>
      </c>
      <c r="D321" s="350">
        <v>5982852.3626810154</v>
      </c>
      <c r="E321" s="350">
        <v>5959451.6309770169</v>
      </c>
      <c r="F321" s="350">
        <v>5931377.4440025389</v>
      </c>
      <c r="G321" s="350">
        <v>5896050.9755665632</v>
      </c>
      <c r="H321" s="348">
        <v>29774223.049188949</v>
      </c>
      <c r="I321" s="369"/>
      <c r="J321" s="350">
        <v>21338980.223303009</v>
      </c>
      <c r="K321" s="350">
        <v>20906596.177896023</v>
      </c>
      <c r="L321" s="350">
        <v>20461110.407471113</v>
      </c>
      <c r="M321" s="350">
        <v>19970139.439605981</v>
      </c>
      <c r="N321" s="350">
        <v>19406455.720253803</v>
      </c>
      <c r="O321" s="348">
        <v>102083281.96852991</v>
      </c>
      <c r="P321" s="369"/>
      <c r="Q321" s="350">
        <f t="shared" si="141"/>
        <v>15334489.587341193</v>
      </c>
      <c r="R321" s="350">
        <f t="shared" si="142"/>
        <v>14923743.815215006</v>
      </c>
      <c r="S321" s="350">
        <f t="shared" si="143"/>
        <v>14501658.776494097</v>
      </c>
      <c r="T321" s="350">
        <f t="shared" si="144"/>
        <v>14038761.995603442</v>
      </c>
      <c r="U321" s="350">
        <f t="shared" si="145"/>
        <v>13510404.744687241</v>
      </c>
      <c r="V321" s="350">
        <f t="shared" si="146"/>
        <v>72309058.919340968</v>
      </c>
      <c r="W321" s="365"/>
      <c r="X321" s="377">
        <f t="shared" si="124"/>
        <v>0</v>
      </c>
      <c r="Y321" s="377">
        <f t="shared" si="125"/>
        <v>0</v>
      </c>
      <c r="Z321" s="377">
        <f t="shared" si="126"/>
        <v>0</v>
      </c>
      <c r="AA321" s="377">
        <f t="shared" si="127"/>
        <v>0</v>
      </c>
      <c r="AB321" s="377">
        <f t="shared" si="128"/>
        <v>0</v>
      </c>
      <c r="AC321" s="377">
        <f t="shared" si="129"/>
        <v>0</v>
      </c>
      <c r="AD321" s="376"/>
      <c r="AE321" s="332">
        <v>306</v>
      </c>
      <c r="AF321" s="350">
        <v>492169.8068495568</v>
      </c>
      <c r="AG321" s="350">
        <v>490396.18350215984</v>
      </c>
      <c r="AH321" s="350">
        <v>488478.09680652613</v>
      </c>
      <c r="AI321" s="350">
        <v>486176.94121841784</v>
      </c>
      <c r="AJ321" s="350">
        <v>483281.3382104492</v>
      </c>
      <c r="AK321" s="348">
        <v>2440502.3665871099</v>
      </c>
      <c r="AL321" s="369"/>
      <c r="AM321" s="350">
        <v>15139669.023323121</v>
      </c>
      <c r="AN321" s="350">
        <v>15007717.058619376</v>
      </c>
      <c r="AO321" s="350">
        <v>14862899.84219891</v>
      </c>
      <c r="AP321" s="350">
        <v>14676595.814463966</v>
      </c>
      <c r="AQ321" s="350">
        <v>14424309.889477491</v>
      </c>
      <c r="AR321" s="348">
        <v>74111191.628082871</v>
      </c>
      <c r="AS321" s="369"/>
      <c r="AT321" s="350">
        <f t="shared" si="147"/>
        <v>14647499.216473565</v>
      </c>
      <c r="AU321" s="350">
        <f t="shared" si="130"/>
        <v>14517320.875117216</v>
      </c>
      <c r="AV321" s="350">
        <f t="shared" si="131"/>
        <v>14374421.745392384</v>
      </c>
      <c r="AW321" s="350">
        <f t="shared" si="132"/>
        <v>14190418.873245548</v>
      </c>
      <c r="AX321" s="350">
        <f t="shared" si="133"/>
        <v>13941028.551267043</v>
      </c>
      <c r="AY321" s="350">
        <f t="shared" si="134"/>
        <v>71670689.261495769</v>
      </c>
      <c r="AZ321" s="365"/>
      <c r="BA321" s="377">
        <f t="shared" si="135"/>
        <v>0</v>
      </c>
      <c r="BB321" s="377">
        <f t="shared" si="136"/>
        <v>0</v>
      </c>
      <c r="BC321" s="377">
        <f t="shared" si="137"/>
        <v>0</v>
      </c>
      <c r="BD321" s="377">
        <f t="shared" si="138"/>
        <v>0</v>
      </c>
      <c r="BE321" s="377">
        <f t="shared" si="139"/>
        <v>0</v>
      </c>
      <c r="BF321" s="377">
        <f t="shared" si="140"/>
        <v>0</v>
      </c>
      <c r="BG321" s="328"/>
    </row>
    <row r="322" spans="2:59">
      <c r="B322" s="332">
        <v>307</v>
      </c>
      <c r="C322" s="350">
        <v>4576216.2638954688</v>
      </c>
      <c r="D322" s="350">
        <v>4559725.0368932746</v>
      </c>
      <c r="E322" s="350">
        <v>4541890.583397828</v>
      </c>
      <c r="F322" s="350">
        <v>4520494.3386841137</v>
      </c>
      <c r="G322" s="350">
        <v>4493570.8960136417</v>
      </c>
      <c r="H322" s="348">
        <v>22691897.118884325</v>
      </c>
      <c r="I322" s="369"/>
      <c r="J322" s="350">
        <v>13738362.730408652</v>
      </c>
      <c r="K322" s="350">
        <v>13427025.770315655</v>
      </c>
      <c r="L322" s="350">
        <v>13107926.793665562</v>
      </c>
      <c r="M322" s="350">
        <v>12761281.364509182</v>
      </c>
      <c r="N322" s="350">
        <v>12370536.184587684</v>
      </c>
      <c r="O322" s="348">
        <v>65405132.843486741</v>
      </c>
      <c r="P322" s="369"/>
      <c r="Q322" s="350">
        <f t="shared" si="141"/>
        <v>9162146.466513183</v>
      </c>
      <c r="R322" s="350">
        <f t="shared" si="142"/>
        <v>8867300.7334223799</v>
      </c>
      <c r="S322" s="350">
        <f t="shared" si="143"/>
        <v>8566036.2102677338</v>
      </c>
      <c r="T322" s="350">
        <f t="shared" si="144"/>
        <v>8240787.0258250684</v>
      </c>
      <c r="U322" s="350">
        <f t="shared" si="145"/>
        <v>7876965.2885740418</v>
      </c>
      <c r="V322" s="350">
        <f t="shared" si="146"/>
        <v>42713235.724602416</v>
      </c>
      <c r="W322" s="365"/>
      <c r="X322" s="377">
        <f t="shared" si="124"/>
        <v>0</v>
      </c>
      <c r="Y322" s="377">
        <f t="shared" si="125"/>
        <v>0</v>
      </c>
      <c r="Z322" s="377">
        <f t="shared" si="126"/>
        <v>0</v>
      </c>
      <c r="AA322" s="377">
        <f t="shared" si="127"/>
        <v>0</v>
      </c>
      <c r="AB322" s="377">
        <f t="shared" si="128"/>
        <v>0</v>
      </c>
      <c r="AC322" s="377">
        <f t="shared" si="129"/>
        <v>0</v>
      </c>
      <c r="AD322" s="376"/>
      <c r="AE322" s="332">
        <v>307</v>
      </c>
      <c r="AF322" s="350">
        <v>335322.09989380505</v>
      </c>
      <c r="AG322" s="350">
        <v>334113.70576439507</v>
      </c>
      <c r="AH322" s="350">
        <v>332806.88675679412</v>
      </c>
      <c r="AI322" s="350">
        <v>331239.07761196647</v>
      </c>
      <c r="AJ322" s="350">
        <v>329266.26321421593</v>
      </c>
      <c r="AK322" s="348">
        <v>1662748.0332411765</v>
      </c>
      <c r="AL322" s="369"/>
      <c r="AM322" s="350">
        <v>10125209.018755779</v>
      </c>
      <c r="AN322" s="350">
        <v>10036675.246120704</v>
      </c>
      <c r="AO322" s="350">
        <v>9939543.2057468481</v>
      </c>
      <c r="AP322" s="350">
        <v>9814680.4183490369</v>
      </c>
      <c r="AQ322" s="350">
        <v>9645713.3687730357</v>
      </c>
      <c r="AR322" s="348">
        <v>49561821.257745408</v>
      </c>
      <c r="AS322" s="369"/>
      <c r="AT322" s="350">
        <f t="shared" si="147"/>
        <v>9789886.918861974</v>
      </c>
      <c r="AU322" s="350">
        <f t="shared" si="130"/>
        <v>9702561.5403563101</v>
      </c>
      <c r="AV322" s="350">
        <f t="shared" si="131"/>
        <v>9606736.3189900536</v>
      </c>
      <c r="AW322" s="350">
        <f t="shared" si="132"/>
        <v>9483441.3407370709</v>
      </c>
      <c r="AX322" s="350">
        <f t="shared" si="133"/>
        <v>9316447.1055588201</v>
      </c>
      <c r="AY322" s="350">
        <f t="shared" si="134"/>
        <v>47899073.224504232</v>
      </c>
      <c r="AZ322" s="365"/>
      <c r="BA322" s="377">
        <f t="shared" si="135"/>
        <v>0</v>
      </c>
      <c r="BB322" s="377">
        <f t="shared" si="136"/>
        <v>0</v>
      </c>
      <c r="BC322" s="377">
        <f t="shared" si="137"/>
        <v>0</v>
      </c>
      <c r="BD322" s="377">
        <f t="shared" si="138"/>
        <v>0</v>
      </c>
      <c r="BE322" s="377">
        <f t="shared" si="139"/>
        <v>0</v>
      </c>
      <c r="BF322" s="377">
        <f t="shared" si="140"/>
        <v>0</v>
      </c>
      <c r="BG322" s="328"/>
    </row>
    <row r="323" spans="2:59">
      <c r="B323" s="332">
        <v>308</v>
      </c>
      <c r="C323" s="350">
        <v>5780031.8977967864</v>
      </c>
      <c r="D323" s="350">
        <v>5759202.5023727696</v>
      </c>
      <c r="E323" s="350">
        <v>5736676.532414414</v>
      </c>
      <c r="F323" s="350">
        <v>5709651.8094103783</v>
      </c>
      <c r="G323" s="350">
        <v>5675645.908364661</v>
      </c>
      <c r="H323" s="348">
        <v>28661208.650359008</v>
      </c>
      <c r="I323" s="369"/>
      <c r="J323" s="350">
        <v>19569045.136324085</v>
      </c>
      <c r="K323" s="350">
        <v>19159831.715487048</v>
      </c>
      <c r="L323" s="350">
        <v>18738862.466088302</v>
      </c>
      <c r="M323" s="350">
        <v>18276849.859565459</v>
      </c>
      <c r="N323" s="350">
        <v>17749200.62328992</v>
      </c>
      <c r="O323" s="348">
        <v>93493789.800754815</v>
      </c>
      <c r="P323" s="369"/>
      <c r="Q323" s="350">
        <f t="shared" si="141"/>
        <v>13789013.238527298</v>
      </c>
      <c r="R323" s="350">
        <f t="shared" si="142"/>
        <v>13400629.213114278</v>
      </c>
      <c r="S323" s="350">
        <f t="shared" si="143"/>
        <v>13002185.933673888</v>
      </c>
      <c r="T323" s="350">
        <f t="shared" si="144"/>
        <v>12567198.050155081</v>
      </c>
      <c r="U323" s="350">
        <f t="shared" si="145"/>
        <v>12073554.714925259</v>
      </c>
      <c r="V323" s="350">
        <f t="shared" si="146"/>
        <v>64832581.150395811</v>
      </c>
      <c r="W323" s="365"/>
      <c r="X323" s="377">
        <f t="shared" si="124"/>
        <v>0</v>
      </c>
      <c r="Y323" s="377">
        <f t="shared" si="125"/>
        <v>0</v>
      </c>
      <c r="Z323" s="377">
        <f t="shared" si="126"/>
        <v>0</v>
      </c>
      <c r="AA323" s="377">
        <f t="shared" si="127"/>
        <v>0</v>
      </c>
      <c r="AB323" s="377">
        <f t="shared" si="128"/>
        <v>0</v>
      </c>
      <c r="AC323" s="377">
        <f t="shared" si="129"/>
        <v>0</v>
      </c>
      <c r="AD323" s="376"/>
      <c r="AE323" s="332">
        <v>308</v>
      </c>
      <c r="AF323" s="350">
        <v>577384.67933034059</v>
      </c>
      <c r="AG323" s="350">
        <v>575303.96870275307</v>
      </c>
      <c r="AH323" s="350">
        <v>573053.78216901305</v>
      </c>
      <c r="AI323" s="350">
        <v>570354.20173389069</v>
      </c>
      <c r="AJ323" s="350">
        <v>566957.25053746125</v>
      </c>
      <c r="AK323" s="348">
        <v>2863053.8824734585</v>
      </c>
      <c r="AL323" s="369"/>
      <c r="AM323" s="350">
        <v>20054159.94355841</v>
      </c>
      <c r="AN323" s="350">
        <v>19882833.800100088</v>
      </c>
      <c r="AO323" s="350">
        <v>19694395.584721472</v>
      </c>
      <c r="AP323" s="350">
        <v>19450821.18148889</v>
      </c>
      <c r="AQ323" s="350">
        <v>19119561.71147763</v>
      </c>
      <c r="AR323" s="348">
        <v>98201772.221346498</v>
      </c>
      <c r="AS323" s="369"/>
      <c r="AT323" s="350">
        <f t="shared" si="147"/>
        <v>19476775.264228068</v>
      </c>
      <c r="AU323" s="350">
        <f t="shared" si="130"/>
        <v>19307529.831397336</v>
      </c>
      <c r="AV323" s="350">
        <f t="shared" si="131"/>
        <v>19121341.802552458</v>
      </c>
      <c r="AW323" s="350">
        <f t="shared" si="132"/>
        <v>18880466.979754999</v>
      </c>
      <c r="AX323" s="350">
        <f t="shared" si="133"/>
        <v>18552604.460940167</v>
      </c>
      <c r="AY323" s="350">
        <f t="shared" si="134"/>
        <v>95338718.338873044</v>
      </c>
      <c r="AZ323" s="365"/>
      <c r="BA323" s="377">
        <f t="shared" si="135"/>
        <v>0</v>
      </c>
      <c r="BB323" s="377">
        <f t="shared" si="136"/>
        <v>0</v>
      </c>
      <c r="BC323" s="377">
        <f t="shared" si="137"/>
        <v>0</v>
      </c>
      <c r="BD323" s="377">
        <f t="shared" si="138"/>
        <v>0</v>
      </c>
      <c r="BE323" s="377">
        <f t="shared" si="139"/>
        <v>0</v>
      </c>
      <c r="BF323" s="377">
        <f t="shared" si="140"/>
        <v>0</v>
      </c>
      <c r="BG323" s="328"/>
    </row>
    <row r="324" spans="2:59">
      <c r="B324" s="332">
        <v>309</v>
      </c>
      <c r="C324" s="350">
        <v>5887835.758632753</v>
      </c>
      <c r="D324" s="350">
        <v>5866617.8724036161</v>
      </c>
      <c r="E324" s="350">
        <v>5843671.7686858773</v>
      </c>
      <c r="F324" s="350">
        <v>5816143.0053012054</v>
      </c>
      <c r="G324" s="350">
        <v>5781502.8573363088</v>
      </c>
      <c r="H324" s="348">
        <v>29195771.262359764</v>
      </c>
      <c r="I324" s="369"/>
      <c r="J324" s="350">
        <v>18643727.741237406</v>
      </c>
      <c r="K324" s="350">
        <v>18236181.716969974</v>
      </c>
      <c r="L324" s="350">
        <v>17817796.806014955</v>
      </c>
      <c r="M324" s="350">
        <v>17361241.404943533</v>
      </c>
      <c r="N324" s="350">
        <v>16843608.819482446</v>
      </c>
      <c r="O324" s="348">
        <v>88902556.488648325</v>
      </c>
      <c r="P324" s="369"/>
      <c r="Q324" s="350">
        <f t="shared" si="141"/>
        <v>12755891.982604653</v>
      </c>
      <c r="R324" s="350">
        <f t="shared" si="142"/>
        <v>12369563.844566358</v>
      </c>
      <c r="S324" s="350">
        <f t="shared" si="143"/>
        <v>11974125.037329078</v>
      </c>
      <c r="T324" s="350">
        <f t="shared" si="144"/>
        <v>11545098.399642328</v>
      </c>
      <c r="U324" s="350">
        <f t="shared" si="145"/>
        <v>11062105.962146137</v>
      </c>
      <c r="V324" s="350">
        <f t="shared" si="146"/>
        <v>59706785.226288557</v>
      </c>
      <c r="W324" s="365"/>
      <c r="X324" s="377">
        <f t="shared" si="124"/>
        <v>0</v>
      </c>
      <c r="Y324" s="377">
        <f t="shared" si="125"/>
        <v>0</v>
      </c>
      <c r="Z324" s="377">
        <f t="shared" si="126"/>
        <v>0</v>
      </c>
      <c r="AA324" s="377">
        <f t="shared" si="127"/>
        <v>0</v>
      </c>
      <c r="AB324" s="377">
        <f t="shared" si="128"/>
        <v>0</v>
      </c>
      <c r="AC324" s="377">
        <f t="shared" si="129"/>
        <v>0</v>
      </c>
      <c r="AD324" s="376"/>
      <c r="AE324" s="332">
        <v>309</v>
      </c>
      <c r="AF324" s="350">
        <v>376534.22798423079</v>
      </c>
      <c r="AG324" s="350">
        <v>375177.31846123148</v>
      </c>
      <c r="AH324" s="350">
        <v>373709.88733665616</v>
      </c>
      <c r="AI324" s="350">
        <v>371949.38957596204</v>
      </c>
      <c r="AJ324" s="350">
        <v>369734.11015820689</v>
      </c>
      <c r="AK324" s="348">
        <v>1867104.9335162872</v>
      </c>
      <c r="AL324" s="369"/>
      <c r="AM324" s="350">
        <v>12777941.287748061</v>
      </c>
      <c r="AN324" s="350">
        <v>12668376.218408419</v>
      </c>
      <c r="AO324" s="350">
        <v>12547916.009442192</v>
      </c>
      <c r="AP324" s="350">
        <v>12392345.722016329</v>
      </c>
      <c r="AQ324" s="350">
        <v>12180938.008583894</v>
      </c>
      <c r="AR324" s="348">
        <v>62567517.246198893</v>
      </c>
      <c r="AS324" s="369"/>
      <c r="AT324" s="350">
        <f t="shared" si="147"/>
        <v>12401407.05976383</v>
      </c>
      <c r="AU324" s="350">
        <f t="shared" si="130"/>
        <v>12293198.899947187</v>
      </c>
      <c r="AV324" s="350">
        <f t="shared" si="131"/>
        <v>12174206.122105535</v>
      </c>
      <c r="AW324" s="350">
        <f t="shared" si="132"/>
        <v>12020396.332440367</v>
      </c>
      <c r="AX324" s="350">
        <f t="shared" si="133"/>
        <v>11811203.898425687</v>
      </c>
      <c r="AY324" s="350">
        <f t="shared" si="134"/>
        <v>60700412.312682606</v>
      </c>
      <c r="AZ324" s="365"/>
      <c r="BA324" s="377">
        <f t="shared" si="135"/>
        <v>0</v>
      </c>
      <c r="BB324" s="377">
        <f t="shared" si="136"/>
        <v>0</v>
      </c>
      <c r="BC324" s="377">
        <f t="shared" si="137"/>
        <v>0</v>
      </c>
      <c r="BD324" s="377">
        <f t="shared" si="138"/>
        <v>0</v>
      </c>
      <c r="BE324" s="377">
        <f t="shared" si="139"/>
        <v>0</v>
      </c>
      <c r="BF324" s="377">
        <f t="shared" si="140"/>
        <v>0</v>
      </c>
      <c r="BG324" s="328"/>
    </row>
    <row r="325" spans="2:59">
      <c r="B325" s="332">
        <v>310</v>
      </c>
      <c r="C325" s="350">
        <v>6205941.6624886757</v>
      </c>
      <c r="D325" s="350">
        <v>6183577.4238214754</v>
      </c>
      <c r="E325" s="350">
        <v>6159391.5961436359</v>
      </c>
      <c r="F325" s="350">
        <v>6130375.5184863675</v>
      </c>
      <c r="G325" s="350">
        <v>6093863.8448828831</v>
      </c>
      <c r="H325" s="348">
        <v>30773150.045823038</v>
      </c>
      <c r="I325" s="369"/>
      <c r="J325" s="350">
        <v>19322765.475048698</v>
      </c>
      <c r="K325" s="350">
        <v>18895566.436258264</v>
      </c>
      <c r="L325" s="350">
        <v>18457231.94870336</v>
      </c>
      <c r="M325" s="350">
        <v>17979590.272130817</v>
      </c>
      <c r="N325" s="350">
        <v>17439042.851353671</v>
      </c>
      <c r="O325" s="348">
        <v>92094196.983494818</v>
      </c>
      <c r="P325" s="369"/>
      <c r="Q325" s="350">
        <f t="shared" si="141"/>
        <v>13116823.812560022</v>
      </c>
      <c r="R325" s="350">
        <f t="shared" si="142"/>
        <v>12711989.012436789</v>
      </c>
      <c r="S325" s="350">
        <f t="shared" si="143"/>
        <v>12297840.352559723</v>
      </c>
      <c r="T325" s="350">
        <f t="shared" si="144"/>
        <v>11849214.75364445</v>
      </c>
      <c r="U325" s="350">
        <f t="shared" si="145"/>
        <v>11345179.006470788</v>
      </c>
      <c r="V325" s="350">
        <f t="shared" si="146"/>
        <v>61321046.937671781</v>
      </c>
      <c r="W325" s="365"/>
      <c r="X325" s="377">
        <f t="shared" si="124"/>
        <v>0</v>
      </c>
      <c r="Y325" s="377">
        <f t="shared" si="125"/>
        <v>0</v>
      </c>
      <c r="Z325" s="377">
        <f t="shared" si="126"/>
        <v>0</v>
      </c>
      <c r="AA325" s="377">
        <f t="shared" si="127"/>
        <v>0</v>
      </c>
      <c r="AB325" s="377">
        <f t="shared" si="128"/>
        <v>0</v>
      </c>
      <c r="AC325" s="377">
        <f t="shared" si="129"/>
        <v>0</v>
      </c>
      <c r="AD325" s="376"/>
      <c r="AE325" s="332">
        <v>310</v>
      </c>
      <c r="AF325" s="350">
        <v>287078.75485488179</v>
      </c>
      <c r="AG325" s="350">
        <v>286044.21438720968</v>
      </c>
      <c r="AH325" s="350">
        <v>284925.4095913386</v>
      </c>
      <c r="AI325" s="350">
        <v>283583.16374088672</v>
      </c>
      <c r="AJ325" s="350">
        <v>281894.18141301343</v>
      </c>
      <c r="AK325" s="348">
        <v>1423525.7239873302</v>
      </c>
      <c r="AL325" s="369"/>
      <c r="AM325" s="350">
        <v>8936346.8857357986</v>
      </c>
      <c r="AN325" s="350">
        <v>8858619.9882183429</v>
      </c>
      <c r="AO325" s="350">
        <v>8773295.9930125736</v>
      </c>
      <c r="AP325" s="350">
        <v>8663475.5882720947</v>
      </c>
      <c r="AQ325" s="350">
        <v>8514695.5824563559</v>
      </c>
      <c r="AR325" s="348">
        <v>43746434.037695162</v>
      </c>
      <c r="AS325" s="369"/>
      <c r="AT325" s="350">
        <f t="shared" si="147"/>
        <v>8649268.1308809165</v>
      </c>
      <c r="AU325" s="350">
        <f t="shared" si="130"/>
        <v>8572575.7738311328</v>
      </c>
      <c r="AV325" s="350">
        <f t="shared" si="131"/>
        <v>8488370.583421234</v>
      </c>
      <c r="AW325" s="350">
        <f t="shared" si="132"/>
        <v>8379892.4245312084</v>
      </c>
      <c r="AX325" s="350">
        <f t="shared" si="133"/>
        <v>8232801.4010433424</v>
      </c>
      <c r="AY325" s="350">
        <f t="shared" si="134"/>
        <v>42322908.313707829</v>
      </c>
      <c r="AZ325" s="365"/>
      <c r="BA325" s="377">
        <f t="shared" si="135"/>
        <v>0</v>
      </c>
      <c r="BB325" s="377">
        <f t="shared" si="136"/>
        <v>0</v>
      </c>
      <c r="BC325" s="377">
        <f t="shared" si="137"/>
        <v>0</v>
      </c>
      <c r="BD325" s="377">
        <f t="shared" si="138"/>
        <v>0</v>
      </c>
      <c r="BE325" s="377">
        <f t="shared" si="139"/>
        <v>0</v>
      </c>
      <c r="BF325" s="377">
        <f t="shared" si="140"/>
        <v>0</v>
      </c>
      <c r="BG325" s="328"/>
    </row>
    <row r="326" spans="2:59">
      <c r="B326" s="332">
        <v>311</v>
      </c>
      <c r="C326" s="350">
        <v>2037425.0219678786</v>
      </c>
      <c r="D326" s="350">
        <v>2030082.7906134927</v>
      </c>
      <c r="E326" s="350">
        <v>2022142.5273677581</v>
      </c>
      <c r="F326" s="350">
        <v>2012616.4818659746</v>
      </c>
      <c r="G326" s="350">
        <v>2000629.6148537844</v>
      </c>
      <c r="H326" s="348">
        <v>10102896.436668888</v>
      </c>
      <c r="I326" s="369"/>
      <c r="J326" s="350">
        <v>7752191.9280276792</v>
      </c>
      <c r="K326" s="350">
        <v>7601790.0432452261</v>
      </c>
      <c r="L326" s="350">
        <v>7446492.096507946</v>
      </c>
      <c r="M326" s="350">
        <v>7274317.8909217473</v>
      </c>
      <c r="N326" s="350">
        <v>7075178.2059343634</v>
      </c>
      <c r="O326" s="348">
        <v>37149970.164636962</v>
      </c>
      <c r="P326" s="369"/>
      <c r="Q326" s="350">
        <f t="shared" si="141"/>
        <v>5714766.9060598006</v>
      </c>
      <c r="R326" s="350">
        <f t="shared" si="142"/>
        <v>5571707.2526317332</v>
      </c>
      <c r="S326" s="350">
        <f t="shared" si="143"/>
        <v>5424349.5691401884</v>
      </c>
      <c r="T326" s="350">
        <f t="shared" si="144"/>
        <v>5261701.4090557732</v>
      </c>
      <c r="U326" s="350">
        <f t="shared" si="145"/>
        <v>5074548.591080579</v>
      </c>
      <c r="V326" s="350">
        <f t="shared" si="146"/>
        <v>27047073.727968074</v>
      </c>
      <c r="W326" s="365"/>
      <c r="X326" s="377">
        <f t="shared" si="124"/>
        <v>0</v>
      </c>
      <c r="Y326" s="377">
        <f t="shared" si="125"/>
        <v>0</v>
      </c>
      <c r="Z326" s="377">
        <f t="shared" si="126"/>
        <v>0</v>
      </c>
      <c r="AA326" s="377">
        <f t="shared" si="127"/>
        <v>0</v>
      </c>
      <c r="AB326" s="377">
        <f t="shared" si="128"/>
        <v>0</v>
      </c>
      <c r="AC326" s="377">
        <f t="shared" si="129"/>
        <v>0</v>
      </c>
      <c r="AD326" s="376"/>
      <c r="AE326" s="332">
        <v>311</v>
      </c>
      <c r="AF326" s="350">
        <v>394144.18444731709</v>
      </c>
      <c r="AG326" s="350">
        <v>392723.81424571684</v>
      </c>
      <c r="AH326" s="350">
        <v>391187.75350849063</v>
      </c>
      <c r="AI326" s="350">
        <v>389344.91983617132</v>
      </c>
      <c r="AJ326" s="350">
        <v>387026.03503223625</v>
      </c>
      <c r="AK326" s="348">
        <v>1954426.7070699323</v>
      </c>
      <c r="AL326" s="369"/>
      <c r="AM326" s="350">
        <v>13691976.989693742</v>
      </c>
      <c r="AN326" s="350">
        <v>13575007.095666455</v>
      </c>
      <c r="AO326" s="350">
        <v>13446353.873385813</v>
      </c>
      <c r="AP326" s="350">
        <v>13280056.261372151</v>
      </c>
      <c r="AQ326" s="350">
        <v>13053891.42412317</v>
      </c>
      <c r="AR326" s="348">
        <v>67047285.644241333</v>
      </c>
      <c r="AS326" s="369"/>
      <c r="AT326" s="350">
        <f t="shared" si="147"/>
        <v>13297832.805246426</v>
      </c>
      <c r="AU326" s="350">
        <f t="shared" si="130"/>
        <v>13182283.281420738</v>
      </c>
      <c r="AV326" s="350">
        <f t="shared" si="131"/>
        <v>13055166.119877322</v>
      </c>
      <c r="AW326" s="350">
        <f t="shared" si="132"/>
        <v>12890711.34153598</v>
      </c>
      <c r="AX326" s="350">
        <f t="shared" si="133"/>
        <v>12666865.389090933</v>
      </c>
      <c r="AY326" s="350">
        <f t="shared" si="134"/>
        <v>65092858.9371714</v>
      </c>
      <c r="AZ326" s="365"/>
      <c r="BA326" s="377">
        <f t="shared" si="135"/>
        <v>0</v>
      </c>
      <c r="BB326" s="377">
        <f t="shared" si="136"/>
        <v>0</v>
      </c>
      <c r="BC326" s="377">
        <f t="shared" si="137"/>
        <v>0</v>
      </c>
      <c r="BD326" s="377">
        <f t="shared" si="138"/>
        <v>0</v>
      </c>
      <c r="BE326" s="377">
        <f t="shared" si="139"/>
        <v>0</v>
      </c>
      <c r="BF326" s="377">
        <f t="shared" si="140"/>
        <v>0</v>
      </c>
      <c r="BG326" s="328"/>
    </row>
    <row r="327" spans="2:59">
      <c r="B327" s="332">
        <v>312</v>
      </c>
      <c r="C327" s="350">
        <v>4466040.7635781961</v>
      </c>
      <c r="D327" s="350">
        <v>4449946.5740150195</v>
      </c>
      <c r="E327" s="350">
        <v>4432541.4970445093</v>
      </c>
      <c r="F327" s="350">
        <v>4411660.3813872701</v>
      </c>
      <c r="G327" s="350">
        <v>4385385.1388007598</v>
      </c>
      <c r="H327" s="348">
        <v>22145574.354825754</v>
      </c>
      <c r="I327" s="369"/>
      <c r="J327" s="350">
        <v>14251940.623338683</v>
      </c>
      <c r="K327" s="350">
        <v>13942013.858269809</v>
      </c>
      <c r="L327" s="350">
        <v>13623768.453361651</v>
      </c>
      <c r="M327" s="350">
        <v>13276258.944445604</v>
      </c>
      <c r="N327" s="350">
        <v>12881926.758753659</v>
      </c>
      <c r="O327" s="348">
        <v>67975908.638169408</v>
      </c>
      <c r="P327" s="369"/>
      <c r="Q327" s="350">
        <f t="shared" si="141"/>
        <v>9785899.8597604856</v>
      </c>
      <c r="R327" s="350">
        <f t="shared" si="142"/>
        <v>9492067.2842547894</v>
      </c>
      <c r="S327" s="350">
        <f t="shared" si="143"/>
        <v>9191226.9563171417</v>
      </c>
      <c r="T327" s="350">
        <f t="shared" si="144"/>
        <v>8864598.5630583353</v>
      </c>
      <c r="U327" s="350">
        <f t="shared" si="145"/>
        <v>8496541.6199528985</v>
      </c>
      <c r="V327" s="350">
        <f t="shared" si="146"/>
        <v>45830334.283343658</v>
      </c>
      <c r="W327" s="365"/>
      <c r="X327" s="377">
        <f t="shared" si="124"/>
        <v>0</v>
      </c>
      <c r="Y327" s="377">
        <f t="shared" si="125"/>
        <v>0</v>
      </c>
      <c r="Z327" s="377">
        <f t="shared" si="126"/>
        <v>0</v>
      </c>
      <c r="AA327" s="377">
        <f t="shared" si="127"/>
        <v>0</v>
      </c>
      <c r="AB327" s="377">
        <f t="shared" si="128"/>
        <v>0</v>
      </c>
      <c r="AC327" s="377">
        <f t="shared" si="129"/>
        <v>0</v>
      </c>
      <c r="AD327" s="376"/>
      <c r="AE327" s="332">
        <v>312</v>
      </c>
      <c r="AF327" s="350">
        <v>378033.43911153683</v>
      </c>
      <c r="AG327" s="350">
        <v>376671.12690876902</v>
      </c>
      <c r="AH327" s="350">
        <v>375197.85305089882</v>
      </c>
      <c r="AI327" s="350">
        <v>373430.34568088822</v>
      </c>
      <c r="AJ327" s="350">
        <v>371206.24589221767</v>
      </c>
      <c r="AK327" s="348">
        <v>1874539.0106443106</v>
      </c>
      <c r="AL327" s="369"/>
      <c r="AM327" s="350">
        <v>12471629.297140403</v>
      </c>
      <c r="AN327" s="350">
        <v>12364202.371780584</v>
      </c>
      <c r="AO327" s="350">
        <v>12246151.456367262</v>
      </c>
      <c r="AP327" s="350">
        <v>12093857.862792721</v>
      </c>
      <c r="AQ327" s="350">
        <v>11887105.581385693</v>
      </c>
      <c r="AR327" s="348">
        <v>61062946.569466665</v>
      </c>
      <c r="AS327" s="369"/>
      <c r="AT327" s="350">
        <f t="shared" si="147"/>
        <v>12093595.858028866</v>
      </c>
      <c r="AU327" s="350">
        <f t="shared" si="130"/>
        <v>11987531.244871814</v>
      </c>
      <c r="AV327" s="350">
        <f t="shared" si="131"/>
        <v>11870953.603316363</v>
      </c>
      <c r="AW327" s="350">
        <f t="shared" si="132"/>
        <v>11720427.517111832</v>
      </c>
      <c r="AX327" s="350">
        <f t="shared" si="133"/>
        <v>11515899.335493475</v>
      </c>
      <c r="AY327" s="350">
        <f t="shared" si="134"/>
        <v>59188407.558822356</v>
      </c>
      <c r="AZ327" s="365"/>
      <c r="BA327" s="377">
        <f t="shared" si="135"/>
        <v>0</v>
      </c>
      <c r="BB327" s="377">
        <f t="shared" si="136"/>
        <v>0</v>
      </c>
      <c r="BC327" s="377">
        <f t="shared" si="137"/>
        <v>0</v>
      </c>
      <c r="BD327" s="377">
        <f t="shared" si="138"/>
        <v>0</v>
      </c>
      <c r="BE327" s="377">
        <f t="shared" si="139"/>
        <v>0</v>
      </c>
      <c r="BF327" s="377">
        <f t="shared" si="140"/>
        <v>0</v>
      </c>
      <c r="BG327" s="328"/>
    </row>
    <row r="328" spans="2:59">
      <c r="B328" s="332">
        <v>313</v>
      </c>
      <c r="C328" s="350">
        <v>5088835.0917290831</v>
      </c>
      <c r="D328" s="350">
        <v>5070496.5496159084</v>
      </c>
      <c r="E328" s="350">
        <v>5050664.3153953664</v>
      </c>
      <c r="F328" s="350">
        <v>5026871.3050454371</v>
      </c>
      <c r="G328" s="350">
        <v>4996931.9507949408</v>
      </c>
      <c r="H328" s="348">
        <v>25233799.212580733</v>
      </c>
      <c r="I328" s="369"/>
      <c r="J328" s="350">
        <v>20852404.320140813</v>
      </c>
      <c r="K328" s="350">
        <v>20466010.250175469</v>
      </c>
      <c r="L328" s="350">
        <v>20066075.413663797</v>
      </c>
      <c r="M328" s="350">
        <v>19619787.859165568</v>
      </c>
      <c r="N328" s="350">
        <v>19099470.800872564</v>
      </c>
      <c r="O328" s="348">
        <v>100103748.64401822</v>
      </c>
      <c r="P328" s="369"/>
      <c r="Q328" s="350">
        <f t="shared" si="141"/>
        <v>15763569.22841173</v>
      </c>
      <c r="R328" s="350">
        <f t="shared" si="142"/>
        <v>15395513.70055956</v>
      </c>
      <c r="S328" s="350">
        <f t="shared" si="143"/>
        <v>15015411.098268431</v>
      </c>
      <c r="T328" s="350">
        <f t="shared" si="144"/>
        <v>14592916.554120131</v>
      </c>
      <c r="U328" s="350">
        <f t="shared" si="145"/>
        <v>14102538.850077624</v>
      </c>
      <c r="V328" s="350">
        <f t="shared" si="146"/>
        <v>74869949.431437492</v>
      </c>
      <c r="W328" s="365"/>
      <c r="X328" s="377">
        <f t="shared" si="124"/>
        <v>0</v>
      </c>
      <c r="Y328" s="377">
        <f t="shared" si="125"/>
        <v>0</v>
      </c>
      <c r="Z328" s="377">
        <f t="shared" si="126"/>
        <v>0</v>
      </c>
      <c r="AA328" s="377">
        <f t="shared" si="127"/>
        <v>0</v>
      </c>
      <c r="AB328" s="377">
        <f t="shared" si="128"/>
        <v>0</v>
      </c>
      <c r="AC328" s="377">
        <f t="shared" si="129"/>
        <v>0</v>
      </c>
      <c r="AD328" s="376"/>
      <c r="AE328" s="332">
        <v>313</v>
      </c>
      <c r="AF328" s="350">
        <v>400049.43650465668</v>
      </c>
      <c r="AG328" s="350">
        <v>398607.78565402958</v>
      </c>
      <c r="AH328" s="350">
        <v>397048.71093819692</v>
      </c>
      <c r="AI328" s="350">
        <v>395178.26707203418</v>
      </c>
      <c r="AJ328" s="350">
        <v>392824.63965410297</v>
      </c>
      <c r="AK328" s="348">
        <v>1983708.8398230204</v>
      </c>
      <c r="AL328" s="369"/>
      <c r="AM328" s="350">
        <v>14582552.133949989</v>
      </c>
      <c r="AN328" s="350">
        <v>14458889.55919262</v>
      </c>
      <c r="AO328" s="350">
        <v>14322765.037010225</v>
      </c>
      <c r="AP328" s="350">
        <v>14146499.339520754</v>
      </c>
      <c r="AQ328" s="350">
        <v>13906397.065415535</v>
      </c>
      <c r="AR328" s="348">
        <v>71417103.135089114</v>
      </c>
      <c r="AS328" s="369"/>
      <c r="AT328" s="350">
        <f t="shared" si="147"/>
        <v>14182502.697445333</v>
      </c>
      <c r="AU328" s="350">
        <f t="shared" si="130"/>
        <v>14060281.773538591</v>
      </c>
      <c r="AV328" s="350">
        <f t="shared" si="131"/>
        <v>13925716.326072028</v>
      </c>
      <c r="AW328" s="350">
        <f t="shared" si="132"/>
        <v>13751321.072448719</v>
      </c>
      <c r="AX328" s="350">
        <f t="shared" si="133"/>
        <v>13513572.425761431</v>
      </c>
      <c r="AY328" s="350">
        <f t="shared" si="134"/>
        <v>69433394.295266092</v>
      </c>
      <c r="AZ328" s="365"/>
      <c r="BA328" s="377">
        <f t="shared" si="135"/>
        <v>0</v>
      </c>
      <c r="BB328" s="377">
        <f t="shared" si="136"/>
        <v>0</v>
      </c>
      <c r="BC328" s="377">
        <f t="shared" si="137"/>
        <v>0</v>
      </c>
      <c r="BD328" s="377">
        <f t="shared" si="138"/>
        <v>0</v>
      </c>
      <c r="BE328" s="377">
        <f t="shared" si="139"/>
        <v>0</v>
      </c>
      <c r="BF328" s="377">
        <f t="shared" si="140"/>
        <v>0</v>
      </c>
      <c r="BG328" s="328"/>
    </row>
    <row r="329" spans="2:59">
      <c r="B329" s="332">
        <v>314</v>
      </c>
      <c r="C329" s="350">
        <v>6879023.5821240414</v>
      </c>
      <c r="D329" s="350">
        <v>6854233.7704315111</v>
      </c>
      <c r="E329" s="350">
        <v>6827424.8044441771</v>
      </c>
      <c r="F329" s="350">
        <v>6795261.7108605579</v>
      </c>
      <c r="G329" s="350">
        <v>6754790.0665234346</v>
      </c>
      <c r="H329" s="348">
        <v>34110733.93438372</v>
      </c>
      <c r="I329" s="369"/>
      <c r="J329" s="350">
        <v>21281663.502733257</v>
      </c>
      <c r="K329" s="350">
        <v>20809117.450868882</v>
      </c>
      <c r="L329" s="350">
        <v>20324348.690964632</v>
      </c>
      <c r="M329" s="350">
        <v>19796395.333681628</v>
      </c>
      <c r="N329" s="350">
        <v>19199326.831483789</v>
      </c>
      <c r="O329" s="348">
        <v>101410851.80973217</v>
      </c>
      <c r="P329" s="369"/>
      <c r="Q329" s="350">
        <f t="shared" si="141"/>
        <v>14402639.920609215</v>
      </c>
      <c r="R329" s="350">
        <f t="shared" si="142"/>
        <v>13954883.680437371</v>
      </c>
      <c r="S329" s="350">
        <f t="shared" si="143"/>
        <v>13496923.886520455</v>
      </c>
      <c r="T329" s="350">
        <f t="shared" si="144"/>
        <v>13001133.62282107</v>
      </c>
      <c r="U329" s="350">
        <f t="shared" si="145"/>
        <v>12444536.764960354</v>
      </c>
      <c r="V329" s="350">
        <f t="shared" si="146"/>
        <v>67300117.875348449</v>
      </c>
      <c r="W329" s="365"/>
      <c r="X329" s="377">
        <f t="shared" si="124"/>
        <v>0</v>
      </c>
      <c r="Y329" s="377">
        <f t="shared" si="125"/>
        <v>0</v>
      </c>
      <c r="Z329" s="377">
        <f t="shared" si="126"/>
        <v>0</v>
      </c>
      <c r="AA329" s="377">
        <f t="shared" si="127"/>
        <v>0</v>
      </c>
      <c r="AB329" s="377">
        <f t="shared" si="128"/>
        <v>0</v>
      </c>
      <c r="AC329" s="377">
        <f t="shared" si="129"/>
        <v>0</v>
      </c>
      <c r="AD329" s="376"/>
      <c r="AE329" s="332">
        <v>314</v>
      </c>
      <c r="AF329" s="350">
        <v>452350.99255878344</v>
      </c>
      <c r="AG329" s="350">
        <v>450720.86354547396</v>
      </c>
      <c r="AH329" s="350">
        <v>448957.95893712825</v>
      </c>
      <c r="AI329" s="350">
        <v>446842.97748189414</v>
      </c>
      <c r="AJ329" s="350">
        <v>444181.64215314807</v>
      </c>
      <c r="AK329" s="348">
        <v>2243054.4346764279</v>
      </c>
      <c r="AL329" s="369"/>
      <c r="AM329" s="350">
        <v>14390654.699721577</v>
      </c>
      <c r="AN329" s="350">
        <v>14265948.599884698</v>
      </c>
      <c r="AO329" s="350">
        <v>14128999.083052764</v>
      </c>
      <c r="AP329" s="350">
        <v>13952577.422037277</v>
      </c>
      <c r="AQ329" s="350">
        <v>13713379.13486306</v>
      </c>
      <c r="AR329" s="348">
        <v>70451558.939559385</v>
      </c>
      <c r="AS329" s="369"/>
      <c r="AT329" s="350">
        <f t="shared" si="147"/>
        <v>13938303.707162794</v>
      </c>
      <c r="AU329" s="350">
        <f t="shared" si="130"/>
        <v>13815227.736339225</v>
      </c>
      <c r="AV329" s="350">
        <f t="shared" si="131"/>
        <v>13680041.124115635</v>
      </c>
      <c r="AW329" s="350">
        <f t="shared" si="132"/>
        <v>13505734.444555383</v>
      </c>
      <c r="AX329" s="350">
        <f t="shared" si="133"/>
        <v>13269197.492709912</v>
      </c>
      <c r="AY329" s="350">
        <f t="shared" si="134"/>
        <v>68208504.504882962</v>
      </c>
      <c r="AZ329" s="365"/>
      <c r="BA329" s="377">
        <f t="shared" si="135"/>
        <v>0</v>
      </c>
      <c r="BB329" s="377">
        <f t="shared" si="136"/>
        <v>0</v>
      </c>
      <c r="BC329" s="377">
        <f t="shared" si="137"/>
        <v>0</v>
      </c>
      <c r="BD329" s="377">
        <f t="shared" si="138"/>
        <v>0</v>
      </c>
      <c r="BE329" s="377">
        <f t="shared" si="139"/>
        <v>0</v>
      </c>
      <c r="BF329" s="377">
        <f t="shared" si="140"/>
        <v>0</v>
      </c>
      <c r="BG329" s="328"/>
    </row>
    <row r="330" spans="2:59">
      <c r="B330" s="332">
        <v>315</v>
      </c>
      <c r="C330" s="350">
        <v>4361629.1308355555</v>
      </c>
      <c r="D330" s="350">
        <v>4345911.2075670492</v>
      </c>
      <c r="E330" s="350">
        <v>4328913.0441472</v>
      </c>
      <c r="F330" s="350">
        <v>4308520.1084002377</v>
      </c>
      <c r="G330" s="350">
        <v>4282859.1550968755</v>
      </c>
      <c r="H330" s="348">
        <v>21627832.646046914</v>
      </c>
      <c r="I330" s="369"/>
      <c r="J330" s="350">
        <v>14849506.670574235</v>
      </c>
      <c r="K330" s="350">
        <v>14540117.345138509</v>
      </c>
      <c r="L330" s="350">
        <v>14221784.259893261</v>
      </c>
      <c r="M330" s="350">
        <v>13872246.688315034</v>
      </c>
      <c r="N330" s="350">
        <v>13472809.063702155</v>
      </c>
      <c r="O330" s="348">
        <v>70956464.027623191</v>
      </c>
      <c r="P330" s="369"/>
      <c r="Q330" s="350">
        <f t="shared" si="141"/>
        <v>10487877.539738679</v>
      </c>
      <c r="R330" s="350">
        <f t="shared" si="142"/>
        <v>10194206.13757146</v>
      </c>
      <c r="S330" s="350">
        <f t="shared" si="143"/>
        <v>9892871.21574606</v>
      </c>
      <c r="T330" s="350">
        <f t="shared" si="144"/>
        <v>9563726.5799147971</v>
      </c>
      <c r="U330" s="350">
        <f t="shared" si="145"/>
        <v>9189949.9086052794</v>
      </c>
      <c r="V330" s="350">
        <f t="shared" si="146"/>
        <v>49328631.381576277</v>
      </c>
      <c r="W330" s="365"/>
      <c r="X330" s="377">
        <f t="shared" si="124"/>
        <v>0</v>
      </c>
      <c r="Y330" s="377">
        <f t="shared" si="125"/>
        <v>0</v>
      </c>
      <c r="Z330" s="377">
        <f t="shared" si="126"/>
        <v>0</v>
      </c>
      <c r="AA330" s="377">
        <f t="shared" si="127"/>
        <v>0</v>
      </c>
      <c r="AB330" s="377">
        <f t="shared" si="128"/>
        <v>0</v>
      </c>
      <c r="AC330" s="377">
        <f t="shared" si="129"/>
        <v>0</v>
      </c>
      <c r="AD330" s="376"/>
      <c r="AE330" s="332">
        <v>315</v>
      </c>
      <c r="AF330" s="350">
        <v>590226.74665901938</v>
      </c>
      <c r="AG330" s="350">
        <v>588099.75730785728</v>
      </c>
      <c r="AH330" s="350">
        <v>585799.52260345593</v>
      </c>
      <c r="AI330" s="350">
        <v>583039.89867402532</v>
      </c>
      <c r="AJ330" s="350">
        <v>579567.39321102377</v>
      </c>
      <c r="AK330" s="348">
        <v>2926733.3184553818</v>
      </c>
      <c r="AL330" s="369"/>
      <c r="AM330" s="350">
        <v>19280101.126400135</v>
      </c>
      <c r="AN330" s="350">
        <v>19113758.081553757</v>
      </c>
      <c r="AO330" s="350">
        <v>18930996.744648732</v>
      </c>
      <c r="AP330" s="350">
        <v>18695313.3078596</v>
      </c>
      <c r="AQ330" s="350">
        <v>18375463.497724406</v>
      </c>
      <c r="AR330" s="348">
        <v>94395632.758186638</v>
      </c>
      <c r="AS330" s="369"/>
      <c r="AT330" s="350">
        <f t="shared" si="147"/>
        <v>18689874.379741117</v>
      </c>
      <c r="AU330" s="350">
        <f t="shared" si="130"/>
        <v>18525658.3242459</v>
      </c>
      <c r="AV330" s="350">
        <f t="shared" si="131"/>
        <v>18345197.222045276</v>
      </c>
      <c r="AW330" s="350">
        <f t="shared" si="132"/>
        <v>18112273.409185573</v>
      </c>
      <c r="AX330" s="350">
        <f t="shared" si="133"/>
        <v>17795896.104513384</v>
      </c>
      <c r="AY330" s="350">
        <f t="shared" si="134"/>
        <v>91468899.439731255</v>
      </c>
      <c r="AZ330" s="365"/>
      <c r="BA330" s="377">
        <f t="shared" si="135"/>
        <v>0</v>
      </c>
      <c r="BB330" s="377">
        <f t="shared" si="136"/>
        <v>0</v>
      </c>
      <c r="BC330" s="377">
        <f t="shared" si="137"/>
        <v>0</v>
      </c>
      <c r="BD330" s="377">
        <f t="shared" si="138"/>
        <v>0</v>
      </c>
      <c r="BE330" s="377">
        <f t="shared" si="139"/>
        <v>0</v>
      </c>
      <c r="BF330" s="377">
        <f t="shared" si="140"/>
        <v>0</v>
      </c>
      <c r="BG330" s="328"/>
    </row>
    <row r="331" spans="2:59">
      <c r="B331" s="332">
        <v>316</v>
      </c>
      <c r="C331" s="350">
        <v>4604859.6838399675</v>
      </c>
      <c r="D331" s="350">
        <v>4588265.2350682635</v>
      </c>
      <c r="E331" s="350">
        <v>4570319.1522896951</v>
      </c>
      <c r="F331" s="350">
        <v>4548788.9843548676</v>
      </c>
      <c r="G331" s="350">
        <v>4521697.0226655621</v>
      </c>
      <c r="H331" s="348">
        <v>22833930.078218356</v>
      </c>
      <c r="I331" s="369"/>
      <c r="J331" s="350">
        <v>18463873.64953956</v>
      </c>
      <c r="K331" s="350">
        <v>18117149.265367672</v>
      </c>
      <c r="L331" s="350">
        <v>17758528.857944906</v>
      </c>
      <c r="M331" s="350">
        <v>17359107.138658844</v>
      </c>
      <c r="N331" s="350">
        <v>16894513.480725739</v>
      </c>
      <c r="O331" s="348">
        <v>88593172.39223671</v>
      </c>
      <c r="P331" s="369"/>
      <c r="Q331" s="350">
        <f t="shared" si="141"/>
        <v>13859013.965699593</v>
      </c>
      <c r="R331" s="350">
        <f t="shared" si="142"/>
        <v>13528884.030299408</v>
      </c>
      <c r="S331" s="350">
        <f t="shared" si="143"/>
        <v>13188209.70565521</v>
      </c>
      <c r="T331" s="350">
        <f t="shared" si="144"/>
        <v>12810318.154303975</v>
      </c>
      <c r="U331" s="350">
        <f t="shared" si="145"/>
        <v>12372816.458060177</v>
      </c>
      <c r="V331" s="350">
        <f t="shared" si="146"/>
        <v>65759242.314018354</v>
      </c>
      <c r="W331" s="365"/>
      <c r="X331" s="377">
        <f t="shared" si="124"/>
        <v>0</v>
      </c>
      <c r="Y331" s="377">
        <f t="shared" si="125"/>
        <v>0</v>
      </c>
      <c r="Z331" s="377">
        <f t="shared" si="126"/>
        <v>0</v>
      </c>
      <c r="AA331" s="377">
        <f t="shared" si="127"/>
        <v>0</v>
      </c>
      <c r="AB331" s="377">
        <f t="shared" si="128"/>
        <v>0</v>
      </c>
      <c r="AC331" s="377">
        <f t="shared" si="129"/>
        <v>0</v>
      </c>
      <c r="AD331" s="376"/>
      <c r="AE331" s="332">
        <v>316</v>
      </c>
      <c r="AF331" s="350">
        <v>463611.34683358058</v>
      </c>
      <c r="AG331" s="350">
        <v>461940.63908715115</v>
      </c>
      <c r="AH331" s="350">
        <v>460133.85056837049</v>
      </c>
      <c r="AI331" s="350">
        <v>457966.22096852667</v>
      </c>
      <c r="AJ331" s="350">
        <v>455238.63713112532</v>
      </c>
      <c r="AK331" s="348">
        <v>2298890.6945887539</v>
      </c>
      <c r="AL331" s="369"/>
      <c r="AM331" s="350">
        <v>16609418.426479159</v>
      </c>
      <c r="AN331" s="350">
        <v>16468198.45099338</v>
      </c>
      <c r="AO331" s="350">
        <v>16312791.949614488</v>
      </c>
      <c r="AP331" s="350">
        <v>16111684.412235675</v>
      </c>
      <c r="AQ331" s="350">
        <v>15837897.888241809</v>
      </c>
      <c r="AR331" s="348">
        <v>81339991.12756452</v>
      </c>
      <c r="AS331" s="369"/>
      <c r="AT331" s="350">
        <f t="shared" si="147"/>
        <v>16145807.079645578</v>
      </c>
      <c r="AU331" s="350">
        <f t="shared" si="130"/>
        <v>16006257.811906228</v>
      </c>
      <c r="AV331" s="350">
        <f t="shared" si="131"/>
        <v>15852658.099046117</v>
      </c>
      <c r="AW331" s="350">
        <f t="shared" si="132"/>
        <v>15653718.19126715</v>
      </c>
      <c r="AX331" s="350">
        <f t="shared" si="133"/>
        <v>15382659.251110684</v>
      </c>
      <c r="AY331" s="350">
        <f t="shared" si="134"/>
        <v>79041100.432975769</v>
      </c>
      <c r="AZ331" s="365"/>
      <c r="BA331" s="377">
        <f t="shared" si="135"/>
        <v>0</v>
      </c>
      <c r="BB331" s="377">
        <f t="shared" si="136"/>
        <v>0</v>
      </c>
      <c r="BC331" s="377">
        <f t="shared" si="137"/>
        <v>0</v>
      </c>
      <c r="BD331" s="377">
        <f t="shared" si="138"/>
        <v>0</v>
      </c>
      <c r="BE331" s="377">
        <f t="shared" si="139"/>
        <v>0</v>
      </c>
      <c r="BF331" s="377">
        <f t="shared" si="140"/>
        <v>0</v>
      </c>
      <c r="BG331" s="328"/>
    </row>
    <row r="332" spans="2:59">
      <c r="B332" s="332">
        <v>317</v>
      </c>
      <c r="C332" s="350">
        <v>4804728.6226317547</v>
      </c>
      <c r="D332" s="350">
        <v>4787413.9098143335</v>
      </c>
      <c r="E332" s="350">
        <v>4768688.8967823628</v>
      </c>
      <c r="F332" s="350">
        <v>4746224.2352662776</v>
      </c>
      <c r="G332" s="350">
        <v>4717956.3763717599</v>
      </c>
      <c r="H332" s="348">
        <v>23825012.04086649</v>
      </c>
      <c r="I332" s="369"/>
      <c r="J332" s="350">
        <v>15651277.619619194</v>
      </c>
      <c r="K332" s="350">
        <v>15315551.454480307</v>
      </c>
      <c r="L332" s="350">
        <v>14970595.313041706</v>
      </c>
      <c r="M332" s="350">
        <v>14593257.621277908</v>
      </c>
      <c r="N332" s="350">
        <v>14164118.649825165</v>
      </c>
      <c r="O332" s="348">
        <v>74694800.658244282</v>
      </c>
      <c r="P332" s="369"/>
      <c r="Q332" s="350">
        <f t="shared" si="141"/>
        <v>10846548.99698744</v>
      </c>
      <c r="R332" s="350">
        <f t="shared" si="142"/>
        <v>10528137.544665974</v>
      </c>
      <c r="S332" s="350">
        <f t="shared" si="143"/>
        <v>10201906.416259343</v>
      </c>
      <c r="T332" s="350">
        <f t="shared" si="144"/>
        <v>9847033.3860116303</v>
      </c>
      <c r="U332" s="350">
        <f t="shared" si="145"/>
        <v>9446162.2734534051</v>
      </c>
      <c r="V332" s="350">
        <f t="shared" si="146"/>
        <v>50869788.617377788</v>
      </c>
      <c r="W332" s="365"/>
      <c r="X332" s="377">
        <f t="shared" si="124"/>
        <v>0</v>
      </c>
      <c r="Y332" s="377">
        <f t="shared" si="125"/>
        <v>0</v>
      </c>
      <c r="Z332" s="377">
        <f t="shared" si="126"/>
        <v>0</v>
      </c>
      <c r="AA332" s="377">
        <f t="shared" si="127"/>
        <v>0</v>
      </c>
      <c r="AB332" s="377">
        <f t="shared" si="128"/>
        <v>0</v>
      </c>
      <c r="AC332" s="377">
        <f t="shared" si="129"/>
        <v>0</v>
      </c>
      <c r="AD332" s="376"/>
      <c r="AE332" s="332">
        <v>317</v>
      </c>
      <c r="AF332" s="350">
        <v>271146.86605825374</v>
      </c>
      <c r="AG332" s="350">
        <v>270169.73904736945</v>
      </c>
      <c r="AH332" s="350">
        <v>269113.02409023256</v>
      </c>
      <c r="AI332" s="350">
        <v>267845.26829265122</v>
      </c>
      <c r="AJ332" s="350">
        <v>266250.01870595809</v>
      </c>
      <c r="AK332" s="348">
        <v>1344524.916194465</v>
      </c>
      <c r="AL332" s="369"/>
      <c r="AM332" s="350">
        <v>8384603.7225838574</v>
      </c>
      <c r="AN332" s="350">
        <v>8311592.6195771918</v>
      </c>
      <c r="AO332" s="350">
        <v>8231455.1733371355</v>
      </c>
      <c r="AP332" s="350">
        <v>8128338.1466782028</v>
      </c>
      <c r="AQ332" s="350">
        <v>7988673.7902008798</v>
      </c>
      <c r="AR332" s="348">
        <v>41044663.452377267</v>
      </c>
      <c r="AS332" s="369"/>
      <c r="AT332" s="350">
        <f t="shared" si="147"/>
        <v>8113456.8565256037</v>
      </c>
      <c r="AU332" s="350">
        <f t="shared" si="130"/>
        <v>8041422.8805298228</v>
      </c>
      <c r="AV332" s="350">
        <f t="shared" si="131"/>
        <v>7962342.1492469031</v>
      </c>
      <c r="AW332" s="350">
        <f t="shared" si="132"/>
        <v>7860492.8783855513</v>
      </c>
      <c r="AX332" s="350">
        <f t="shared" si="133"/>
        <v>7722423.7714949213</v>
      </c>
      <c r="AY332" s="350">
        <f t="shared" si="134"/>
        <v>39700138.536182806</v>
      </c>
      <c r="AZ332" s="365"/>
      <c r="BA332" s="377">
        <f t="shared" si="135"/>
        <v>0</v>
      </c>
      <c r="BB332" s="377">
        <f t="shared" si="136"/>
        <v>0</v>
      </c>
      <c r="BC332" s="377">
        <f t="shared" si="137"/>
        <v>0</v>
      </c>
      <c r="BD332" s="377">
        <f t="shared" si="138"/>
        <v>0</v>
      </c>
      <c r="BE332" s="377">
        <f t="shared" si="139"/>
        <v>0</v>
      </c>
      <c r="BF332" s="377">
        <f t="shared" si="140"/>
        <v>0</v>
      </c>
      <c r="BG332" s="328"/>
    </row>
    <row r="333" spans="2:59">
      <c r="B333" s="332">
        <v>318</v>
      </c>
      <c r="C333" s="350">
        <v>5551284.9882652471</v>
      </c>
      <c r="D333" s="350">
        <v>5531279.9239028757</v>
      </c>
      <c r="E333" s="350">
        <v>5509645.4275736101</v>
      </c>
      <c r="F333" s="350">
        <v>5483690.2180216499</v>
      </c>
      <c r="G333" s="350">
        <v>5451030.113142387</v>
      </c>
      <c r="H333" s="348">
        <v>27526930.670905769</v>
      </c>
      <c r="I333" s="369"/>
      <c r="J333" s="350">
        <v>20786135.083770379</v>
      </c>
      <c r="K333" s="350">
        <v>20378762.667701878</v>
      </c>
      <c r="L333" s="350">
        <v>19958345.971743006</v>
      </c>
      <c r="M333" s="350">
        <v>19492894.507310454</v>
      </c>
      <c r="N333" s="350">
        <v>18955477.129104219</v>
      </c>
      <c r="O333" s="348">
        <v>99571615.359629929</v>
      </c>
      <c r="P333" s="369"/>
      <c r="Q333" s="350">
        <f t="shared" si="141"/>
        <v>15234850.095505133</v>
      </c>
      <c r="R333" s="350">
        <f t="shared" si="142"/>
        <v>14847482.743799001</v>
      </c>
      <c r="S333" s="350">
        <f t="shared" si="143"/>
        <v>14448700.544169396</v>
      </c>
      <c r="T333" s="350">
        <f t="shared" si="144"/>
        <v>14009204.289288804</v>
      </c>
      <c r="U333" s="350">
        <f t="shared" si="145"/>
        <v>13504447.015961833</v>
      </c>
      <c r="V333" s="350">
        <f t="shared" si="146"/>
        <v>72044684.68872416</v>
      </c>
      <c r="W333" s="365"/>
      <c r="X333" s="377">
        <f t="shared" si="124"/>
        <v>0</v>
      </c>
      <c r="Y333" s="377">
        <f t="shared" si="125"/>
        <v>0</v>
      </c>
      <c r="Z333" s="377">
        <f t="shared" si="126"/>
        <v>0</v>
      </c>
      <c r="AA333" s="377">
        <f t="shared" si="127"/>
        <v>0</v>
      </c>
      <c r="AB333" s="377">
        <f t="shared" si="128"/>
        <v>0</v>
      </c>
      <c r="AC333" s="377">
        <f t="shared" si="129"/>
        <v>0</v>
      </c>
      <c r="AD333" s="376"/>
      <c r="AE333" s="332">
        <v>318</v>
      </c>
      <c r="AF333" s="350">
        <v>429714.06709402957</v>
      </c>
      <c r="AG333" s="350">
        <v>428165.51435573492</v>
      </c>
      <c r="AH333" s="350">
        <v>426490.83048941713</v>
      </c>
      <c r="AI333" s="350">
        <v>424481.68869928608</v>
      </c>
      <c r="AJ333" s="350">
        <v>421953.53413164045</v>
      </c>
      <c r="AK333" s="348">
        <v>2130805.6347701084</v>
      </c>
      <c r="AL333" s="369"/>
      <c r="AM333" s="350">
        <v>11861086.670273961</v>
      </c>
      <c r="AN333" s="350">
        <v>11755662.356686072</v>
      </c>
      <c r="AO333" s="350">
        <v>11640200.641661625</v>
      </c>
      <c r="AP333" s="350">
        <v>11492344.249639969</v>
      </c>
      <c r="AQ333" s="350">
        <v>11292963.281291835</v>
      </c>
      <c r="AR333" s="348">
        <v>58042257.199553467</v>
      </c>
      <c r="AS333" s="369"/>
      <c r="AT333" s="350">
        <f t="shared" si="147"/>
        <v>11431372.603179932</v>
      </c>
      <c r="AU333" s="350">
        <f t="shared" si="130"/>
        <v>11327496.842330337</v>
      </c>
      <c r="AV333" s="350">
        <f t="shared" si="131"/>
        <v>11213709.811172208</v>
      </c>
      <c r="AW333" s="350">
        <f t="shared" si="132"/>
        <v>11067862.560940683</v>
      </c>
      <c r="AX333" s="350">
        <f t="shared" si="133"/>
        <v>10871009.747160194</v>
      </c>
      <c r="AY333" s="350">
        <f t="shared" si="134"/>
        <v>55911451.564783357</v>
      </c>
      <c r="AZ333" s="365"/>
      <c r="BA333" s="377">
        <f t="shared" si="135"/>
        <v>0</v>
      </c>
      <c r="BB333" s="377">
        <f t="shared" si="136"/>
        <v>0</v>
      </c>
      <c r="BC333" s="377">
        <f t="shared" si="137"/>
        <v>0</v>
      </c>
      <c r="BD333" s="377">
        <f t="shared" si="138"/>
        <v>0</v>
      </c>
      <c r="BE333" s="377">
        <f t="shared" si="139"/>
        <v>0</v>
      </c>
      <c r="BF333" s="377">
        <f t="shared" si="140"/>
        <v>0</v>
      </c>
      <c r="BG333" s="328"/>
    </row>
    <row r="334" spans="2:59">
      <c r="B334" s="332">
        <v>319</v>
      </c>
      <c r="C334" s="350">
        <v>4960274.7144056289</v>
      </c>
      <c r="D334" s="350">
        <v>4942399.4629770881</v>
      </c>
      <c r="E334" s="350">
        <v>4923068.2549184486</v>
      </c>
      <c r="F334" s="350">
        <v>4899876.3327022698</v>
      </c>
      <c r="G334" s="350">
        <v>4870693.3430440379</v>
      </c>
      <c r="H334" s="348">
        <v>24596312.108047474</v>
      </c>
      <c r="I334" s="369"/>
      <c r="J334" s="350">
        <v>16519497.098279087</v>
      </c>
      <c r="K334" s="350">
        <v>16170296.593794312</v>
      </c>
      <c r="L334" s="350">
        <v>15811248.951538309</v>
      </c>
      <c r="M334" s="350">
        <v>15417752.011064112</v>
      </c>
      <c r="N334" s="350">
        <v>14969156.270090541</v>
      </c>
      <c r="O334" s="348">
        <v>78887950.924766362</v>
      </c>
      <c r="P334" s="369"/>
      <c r="Q334" s="350">
        <f t="shared" si="141"/>
        <v>11559222.383873459</v>
      </c>
      <c r="R334" s="350">
        <f t="shared" si="142"/>
        <v>11227897.130817223</v>
      </c>
      <c r="S334" s="350">
        <f t="shared" si="143"/>
        <v>10888180.696619861</v>
      </c>
      <c r="T334" s="350">
        <f t="shared" si="144"/>
        <v>10517875.678361842</v>
      </c>
      <c r="U334" s="350">
        <f t="shared" si="145"/>
        <v>10098462.927046504</v>
      </c>
      <c r="V334" s="350">
        <f t="shared" si="146"/>
        <v>54291638.816718891</v>
      </c>
      <c r="W334" s="365"/>
      <c r="X334" s="377">
        <f t="shared" si="124"/>
        <v>0</v>
      </c>
      <c r="Y334" s="377">
        <f t="shared" si="125"/>
        <v>0</v>
      </c>
      <c r="Z334" s="377">
        <f t="shared" si="126"/>
        <v>0</v>
      </c>
      <c r="AA334" s="377">
        <f t="shared" si="127"/>
        <v>0</v>
      </c>
      <c r="AB334" s="377">
        <f t="shared" si="128"/>
        <v>0</v>
      </c>
      <c r="AC334" s="377">
        <f t="shared" si="129"/>
        <v>0</v>
      </c>
      <c r="AD334" s="376"/>
      <c r="AE334" s="332">
        <v>319</v>
      </c>
      <c r="AF334" s="350">
        <v>863019.32004235836</v>
      </c>
      <c r="AG334" s="350">
        <v>859909.27307487011</v>
      </c>
      <c r="AH334" s="350">
        <v>856545.90975430375</v>
      </c>
      <c r="AI334" s="350">
        <v>852510.83547034243</v>
      </c>
      <c r="AJ334" s="350">
        <v>847433.39816258464</v>
      </c>
      <c r="AK334" s="348">
        <v>4279418.7365044588</v>
      </c>
      <c r="AL334" s="369"/>
      <c r="AM334" s="350">
        <v>20070066.829120707</v>
      </c>
      <c r="AN334" s="350">
        <v>19885373.643260513</v>
      </c>
      <c r="AO334" s="350">
        <v>19683824.992879119</v>
      </c>
      <c r="AP334" s="350">
        <v>19427793.92111301</v>
      </c>
      <c r="AQ334" s="350">
        <v>19085097.597646311</v>
      </c>
      <c r="AR334" s="348">
        <v>98152156.984019667</v>
      </c>
      <c r="AS334" s="369"/>
      <c r="AT334" s="350">
        <f t="shared" si="147"/>
        <v>19207047.50907835</v>
      </c>
      <c r="AU334" s="350">
        <f t="shared" si="130"/>
        <v>19025464.370185643</v>
      </c>
      <c r="AV334" s="350">
        <f t="shared" si="131"/>
        <v>18827279.083124816</v>
      </c>
      <c r="AW334" s="350">
        <f t="shared" si="132"/>
        <v>18575283.085642669</v>
      </c>
      <c r="AX334" s="350">
        <f t="shared" si="133"/>
        <v>18237664.199483726</v>
      </c>
      <c r="AY334" s="350">
        <f t="shared" si="134"/>
        <v>93872738.247515202</v>
      </c>
      <c r="AZ334" s="365"/>
      <c r="BA334" s="377">
        <f t="shared" si="135"/>
        <v>0</v>
      </c>
      <c r="BB334" s="377">
        <f t="shared" si="136"/>
        <v>0</v>
      </c>
      <c r="BC334" s="377">
        <f t="shared" si="137"/>
        <v>0</v>
      </c>
      <c r="BD334" s="377">
        <f t="shared" si="138"/>
        <v>0</v>
      </c>
      <c r="BE334" s="377">
        <f t="shared" si="139"/>
        <v>0</v>
      </c>
      <c r="BF334" s="377">
        <f t="shared" si="140"/>
        <v>0</v>
      </c>
      <c r="BG334" s="328"/>
    </row>
    <row r="335" spans="2:59">
      <c r="B335" s="332">
        <v>320</v>
      </c>
      <c r="C335" s="350">
        <v>4989650.8014981057</v>
      </c>
      <c r="D335" s="350">
        <v>4971669.688000828</v>
      </c>
      <c r="E335" s="350">
        <v>4952223.9953048984</v>
      </c>
      <c r="F335" s="350">
        <v>4928894.7242590496</v>
      </c>
      <c r="G335" s="350">
        <v>4899538.9050510097</v>
      </c>
      <c r="H335" s="348">
        <v>24741978.11411389</v>
      </c>
      <c r="I335" s="369"/>
      <c r="J335" s="350">
        <v>15993903.27312394</v>
      </c>
      <c r="K335" s="350">
        <v>15647127.972097151</v>
      </c>
      <c r="L335" s="350">
        <v>15290996.186880926</v>
      </c>
      <c r="M335" s="350">
        <v>14901969.013758883</v>
      </c>
      <c r="N335" s="350">
        <v>14460311.174891001</v>
      </c>
      <c r="O335" s="348">
        <v>76294307.620751902</v>
      </c>
      <c r="P335" s="369"/>
      <c r="Q335" s="350">
        <f t="shared" si="141"/>
        <v>11004252.471625835</v>
      </c>
      <c r="R335" s="350">
        <f t="shared" si="142"/>
        <v>10675458.284096323</v>
      </c>
      <c r="S335" s="350">
        <f t="shared" si="143"/>
        <v>10338772.191576026</v>
      </c>
      <c r="T335" s="350">
        <f t="shared" si="144"/>
        <v>9973074.2894998342</v>
      </c>
      <c r="U335" s="350">
        <f t="shared" si="145"/>
        <v>9560772.2698399909</v>
      </c>
      <c r="V335" s="350">
        <f t="shared" si="146"/>
        <v>51552329.506638013</v>
      </c>
      <c r="W335" s="365"/>
      <c r="X335" s="377">
        <f t="shared" si="124"/>
        <v>0</v>
      </c>
      <c r="Y335" s="377">
        <f t="shared" si="125"/>
        <v>0</v>
      </c>
      <c r="Z335" s="377">
        <f t="shared" si="126"/>
        <v>0</v>
      </c>
      <c r="AA335" s="377">
        <f t="shared" si="127"/>
        <v>0</v>
      </c>
      <c r="AB335" s="377">
        <f t="shared" si="128"/>
        <v>0</v>
      </c>
      <c r="AC335" s="377">
        <f t="shared" si="129"/>
        <v>0</v>
      </c>
      <c r="AD335" s="376"/>
      <c r="AE335" s="332">
        <v>320</v>
      </c>
      <c r="AF335" s="350">
        <v>393160.38597048324</v>
      </c>
      <c r="AG335" s="350">
        <v>391743.5610654928</v>
      </c>
      <c r="AH335" s="350">
        <v>390211.33439273643</v>
      </c>
      <c r="AI335" s="350">
        <v>388373.10050149064</v>
      </c>
      <c r="AJ335" s="350">
        <v>386060.00371987867</v>
      </c>
      <c r="AK335" s="348">
        <v>1949548.3856500818</v>
      </c>
      <c r="AL335" s="369"/>
      <c r="AM335" s="350">
        <v>11720451.490588054</v>
      </c>
      <c r="AN335" s="350">
        <v>11617736.742081953</v>
      </c>
      <c r="AO335" s="350">
        <v>11505073.799777867</v>
      </c>
      <c r="AP335" s="350">
        <v>11360323.336270176</v>
      </c>
      <c r="AQ335" s="350">
        <v>11164539.044816144</v>
      </c>
      <c r="AR335" s="348">
        <v>57368124.413534194</v>
      </c>
      <c r="AS335" s="369"/>
      <c r="AT335" s="350">
        <f t="shared" si="147"/>
        <v>11327291.104617571</v>
      </c>
      <c r="AU335" s="350">
        <f t="shared" si="130"/>
        <v>11225993.18101646</v>
      </c>
      <c r="AV335" s="350">
        <f t="shared" si="131"/>
        <v>11114862.465385132</v>
      </c>
      <c r="AW335" s="350">
        <f t="shared" si="132"/>
        <v>10971950.235768685</v>
      </c>
      <c r="AX335" s="350">
        <f t="shared" si="133"/>
        <v>10778479.041096264</v>
      </c>
      <c r="AY335" s="350">
        <f t="shared" si="134"/>
        <v>55418576.027884111</v>
      </c>
      <c r="AZ335" s="365"/>
      <c r="BA335" s="377">
        <f t="shared" si="135"/>
        <v>0</v>
      </c>
      <c r="BB335" s="377">
        <f t="shared" si="136"/>
        <v>0</v>
      </c>
      <c r="BC335" s="377">
        <f t="shared" si="137"/>
        <v>0</v>
      </c>
      <c r="BD335" s="377">
        <f t="shared" si="138"/>
        <v>0</v>
      </c>
      <c r="BE335" s="377">
        <f t="shared" si="139"/>
        <v>0</v>
      </c>
      <c r="BF335" s="377">
        <f t="shared" si="140"/>
        <v>0</v>
      </c>
      <c r="BG335" s="328"/>
    </row>
    <row r="336" spans="2:59">
      <c r="B336" s="332">
        <v>321</v>
      </c>
      <c r="C336" s="350">
        <v>6539174.3198603615</v>
      </c>
      <c r="D336" s="350">
        <v>6515609.2167496216</v>
      </c>
      <c r="E336" s="350">
        <v>6490124.7130502975</v>
      </c>
      <c r="F336" s="350">
        <v>6459550.5955031784</v>
      </c>
      <c r="G336" s="350">
        <v>6421078.4004056705</v>
      </c>
      <c r="H336" s="348">
        <v>32425537.245569129</v>
      </c>
      <c r="I336" s="369"/>
      <c r="J336" s="350">
        <v>20345581.936962672</v>
      </c>
      <c r="K336" s="350">
        <v>19895550.319726717</v>
      </c>
      <c r="L336" s="350">
        <v>19433798.301672816</v>
      </c>
      <c r="M336" s="350">
        <v>18930670.01199057</v>
      </c>
      <c r="N336" s="350">
        <v>18361324.250111826</v>
      </c>
      <c r="O336" s="348">
        <v>96966924.820464581</v>
      </c>
      <c r="P336" s="369"/>
      <c r="Q336" s="350">
        <f t="shared" si="141"/>
        <v>13806407.61710231</v>
      </c>
      <c r="R336" s="350">
        <f t="shared" si="142"/>
        <v>13379941.102977095</v>
      </c>
      <c r="S336" s="350">
        <f t="shared" si="143"/>
        <v>12943673.588622518</v>
      </c>
      <c r="T336" s="350">
        <f t="shared" si="144"/>
        <v>12471119.416487392</v>
      </c>
      <c r="U336" s="350">
        <f t="shared" si="145"/>
        <v>11940245.849706154</v>
      </c>
      <c r="V336" s="350">
        <f t="shared" si="146"/>
        <v>64541387.574895456</v>
      </c>
      <c r="W336" s="365"/>
      <c r="X336" s="377">
        <f t="shared" ref="X336:X399" si="148">IF(Q336&lt;Q$8,1,0)</f>
        <v>0</v>
      </c>
      <c r="Y336" s="377">
        <f t="shared" ref="Y336:Y399" si="149">IF(R336&lt;R$8,1,0)</f>
        <v>0</v>
      </c>
      <c r="Z336" s="377">
        <f t="shared" ref="Z336:Z399" si="150">IF(S336&lt;S$8,1,0)</f>
        <v>0</v>
      </c>
      <c r="AA336" s="377">
        <f t="shared" ref="AA336:AA399" si="151">IF(T336&lt;T$8,1,0)</f>
        <v>0</v>
      </c>
      <c r="AB336" s="377">
        <f t="shared" ref="AB336:AB399" si="152">IF(U336&lt;U$8,1,0)</f>
        <v>0</v>
      </c>
      <c r="AC336" s="377">
        <f t="shared" ref="AC336:AC399" si="153">IF(V336&lt;V$8,1,0)</f>
        <v>0</v>
      </c>
      <c r="AD336" s="376"/>
      <c r="AE336" s="332">
        <v>321</v>
      </c>
      <c r="AF336" s="350">
        <v>387194.77062942996</v>
      </c>
      <c r="AG336" s="350">
        <v>385799.44390352973</v>
      </c>
      <c r="AH336" s="350">
        <v>384290.4664574787</v>
      </c>
      <c r="AI336" s="350">
        <v>382480.12499052932</v>
      </c>
      <c r="AJ336" s="350">
        <v>380202.12596072076</v>
      </c>
      <c r="AK336" s="348">
        <v>1919966.9319416885</v>
      </c>
      <c r="AL336" s="369"/>
      <c r="AM336" s="350">
        <v>13679387.44021472</v>
      </c>
      <c r="AN336" s="350">
        <v>13562830.710861851</v>
      </c>
      <c r="AO336" s="350">
        <v>13434595.155258669</v>
      </c>
      <c r="AP336" s="350">
        <v>13268733.712477349</v>
      </c>
      <c r="AQ336" s="350">
        <v>13043034.929231511</v>
      </c>
      <c r="AR336" s="348">
        <v>66988581.948044099</v>
      </c>
      <c r="AS336" s="369"/>
      <c r="AT336" s="350">
        <f t="shared" si="147"/>
        <v>13292192.669585289</v>
      </c>
      <c r="AU336" s="350">
        <f t="shared" ref="AU336:AU399" si="154">AN336-AG336</f>
        <v>13177031.266958321</v>
      </c>
      <c r="AV336" s="350">
        <f t="shared" ref="AV336:AV399" si="155">AO336-AH336</f>
        <v>13050304.68880119</v>
      </c>
      <c r="AW336" s="350">
        <f t="shared" ref="AW336:AW399" si="156">AP336-AI336</f>
        <v>12886253.58748682</v>
      </c>
      <c r="AX336" s="350">
        <f t="shared" ref="AX336:AX399" si="157">AQ336-AJ336</f>
        <v>12662832.803270791</v>
      </c>
      <c r="AY336" s="350">
        <f t="shared" ref="AY336:AY399" si="158">AR336-AK336</f>
        <v>65068615.016102411</v>
      </c>
      <c r="AZ336" s="365"/>
      <c r="BA336" s="377">
        <f t="shared" ref="BA336:BA399" si="159">IF(AT336&lt;AT$8,1,0)</f>
        <v>0</v>
      </c>
      <c r="BB336" s="377">
        <f t="shared" ref="BB336:BB399" si="160">IF(AU336&lt;AU$8,1,0)</f>
        <v>0</v>
      </c>
      <c r="BC336" s="377">
        <f t="shared" ref="BC336:BC399" si="161">IF(AV336&lt;AV$8,1,0)</f>
        <v>0</v>
      </c>
      <c r="BD336" s="377">
        <f t="shared" ref="BD336:BD399" si="162">IF(AW336&lt;AW$8,1,0)</f>
        <v>0</v>
      </c>
      <c r="BE336" s="377">
        <f t="shared" ref="BE336:BE399" si="163">IF(AX336&lt;AX$8,1,0)</f>
        <v>0</v>
      </c>
      <c r="BF336" s="377">
        <f t="shared" ref="BF336:BF399" si="164">IF(AY336&lt;AY$8,1,0)</f>
        <v>0</v>
      </c>
      <c r="BG336" s="328"/>
    </row>
    <row r="337" spans="2:59">
      <c r="B337" s="332">
        <v>322</v>
      </c>
      <c r="C337" s="350">
        <v>5159155.6378220571</v>
      </c>
      <c r="D337" s="350">
        <v>5140563.6828407701</v>
      </c>
      <c r="E337" s="350">
        <v>5120457.3950273134</v>
      </c>
      <c r="F337" s="350">
        <v>5096335.5987271946</v>
      </c>
      <c r="G337" s="350">
        <v>5065982.5246955268</v>
      </c>
      <c r="H337" s="348">
        <v>25582494.839112859</v>
      </c>
      <c r="I337" s="369"/>
      <c r="J337" s="350">
        <v>17007694.014802348</v>
      </c>
      <c r="K337" s="350">
        <v>16645747.555069363</v>
      </c>
      <c r="L337" s="350">
        <v>16273712.488688532</v>
      </c>
      <c r="M337" s="350">
        <v>15866337.948128702</v>
      </c>
      <c r="N337" s="350">
        <v>15402436.035158549</v>
      </c>
      <c r="O337" s="348">
        <v>81195928.041847482</v>
      </c>
      <c r="P337" s="369"/>
      <c r="Q337" s="350">
        <f t="shared" ref="Q337:Q400" si="165">J337-C337</f>
        <v>11848538.37698029</v>
      </c>
      <c r="R337" s="350">
        <f t="shared" ref="R337:R400" si="166">K337-D337</f>
        <v>11505183.872228593</v>
      </c>
      <c r="S337" s="350">
        <f t="shared" ref="S337:S400" si="167">L337-E337</f>
        <v>11153255.093661219</v>
      </c>
      <c r="T337" s="350">
        <f t="shared" ref="T337:T400" si="168">M337-F337</f>
        <v>10770002.349401508</v>
      </c>
      <c r="U337" s="350">
        <f t="shared" ref="U337:U400" si="169">N337-G337</f>
        <v>10336453.510463022</v>
      </c>
      <c r="V337" s="350">
        <f t="shared" ref="V337:V400" si="170">O337-H337</f>
        <v>55613433.202734619</v>
      </c>
      <c r="W337" s="365"/>
      <c r="X337" s="377">
        <f t="shared" si="148"/>
        <v>0</v>
      </c>
      <c r="Y337" s="377">
        <f t="shared" si="149"/>
        <v>0</v>
      </c>
      <c r="Z337" s="377">
        <f t="shared" si="150"/>
        <v>0</v>
      </c>
      <c r="AA337" s="377">
        <f t="shared" si="151"/>
        <v>0</v>
      </c>
      <c r="AB337" s="377">
        <f t="shared" si="152"/>
        <v>0</v>
      </c>
      <c r="AC337" s="377">
        <f t="shared" si="153"/>
        <v>0</v>
      </c>
      <c r="AD337" s="376"/>
      <c r="AE337" s="332">
        <v>322</v>
      </c>
      <c r="AF337" s="350">
        <v>550468.10012942972</v>
      </c>
      <c r="AG337" s="350">
        <v>548484.38828689244</v>
      </c>
      <c r="AH337" s="350">
        <v>546339.10118367174</v>
      </c>
      <c r="AI337" s="350">
        <v>543765.37007083371</v>
      </c>
      <c r="AJ337" s="350">
        <v>540526.77829957346</v>
      </c>
      <c r="AK337" s="348">
        <v>2729583.7379704011</v>
      </c>
      <c r="AL337" s="369"/>
      <c r="AM337" s="350">
        <v>15552748.218316054</v>
      </c>
      <c r="AN337" s="350">
        <v>15415114.215536647</v>
      </c>
      <c r="AO337" s="350">
        <v>15264306.448502807</v>
      </c>
      <c r="AP337" s="350">
        <v>15070989.665397836</v>
      </c>
      <c r="AQ337" s="350">
        <v>14810062.098847391</v>
      </c>
      <c r="AR337" s="348">
        <v>76113220.646600738</v>
      </c>
      <c r="AS337" s="369"/>
      <c r="AT337" s="350">
        <f t="shared" ref="AT337:AT400" si="171">AM337-AF337</f>
        <v>15002280.118186625</v>
      </c>
      <c r="AU337" s="350">
        <f t="shared" si="154"/>
        <v>14866629.827249754</v>
      </c>
      <c r="AV337" s="350">
        <f t="shared" si="155"/>
        <v>14717967.347319135</v>
      </c>
      <c r="AW337" s="350">
        <f t="shared" si="156"/>
        <v>14527224.295327002</v>
      </c>
      <c r="AX337" s="350">
        <f t="shared" si="157"/>
        <v>14269535.320547817</v>
      </c>
      <c r="AY337" s="350">
        <f t="shared" si="158"/>
        <v>73383636.908630341</v>
      </c>
      <c r="AZ337" s="365"/>
      <c r="BA337" s="377">
        <f t="shared" si="159"/>
        <v>0</v>
      </c>
      <c r="BB337" s="377">
        <f t="shared" si="160"/>
        <v>0</v>
      </c>
      <c r="BC337" s="377">
        <f t="shared" si="161"/>
        <v>0</v>
      </c>
      <c r="BD337" s="377">
        <f t="shared" si="162"/>
        <v>0</v>
      </c>
      <c r="BE337" s="377">
        <f t="shared" si="163"/>
        <v>0</v>
      </c>
      <c r="BF337" s="377">
        <f t="shared" si="164"/>
        <v>0</v>
      </c>
      <c r="BG337" s="328"/>
    </row>
    <row r="338" spans="2:59">
      <c r="B338" s="332">
        <v>323</v>
      </c>
      <c r="C338" s="350">
        <v>4812229.7867687661</v>
      </c>
      <c r="D338" s="350">
        <v>4794888.0421430934</v>
      </c>
      <c r="E338" s="350">
        <v>4776133.795535774</v>
      </c>
      <c r="F338" s="350">
        <v>4753634.0620881505</v>
      </c>
      <c r="G338" s="350">
        <v>4725322.0712839998</v>
      </c>
      <c r="H338" s="348">
        <v>23862207.757819783</v>
      </c>
      <c r="I338" s="369"/>
      <c r="J338" s="350">
        <v>15611477.128707819</v>
      </c>
      <c r="K338" s="350">
        <v>15275689.793775249</v>
      </c>
      <c r="L338" s="350">
        <v>14930714.636382576</v>
      </c>
      <c r="M338" s="350">
        <v>14553488.504173245</v>
      </c>
      <c r="N338" s="350">
        <v>14124668.148011636</v>
      </c>
      <c r="O338" s="348">
        <v>74496038.211050525</v>
      </c>
      <c r="P338" s="369"/>
      <c r="Q338" s="350">
        <f t="shared" si="165"/>
        <v>10799247.341939053</v>
      </c>
      <c r="R338" s="350">
        <f t="shared" si="166"/>
        <v>10480801.751632156</v>
      </c>
      <c r="S338" s="350">
        <f t="shared" si="167"/>
        <v>10154580.840846803</v>
      </c>
      <c r="T338" s="350">
        <f t="shared" si="168"/>
        <v>9799854.4420850947</v>
      </c>
      <c r="U338" s="350">
        <f t="shared" si="169"/>
        <v>9399346.0767276362</v>
      </c>
      <c r="V338" s="350">
        <f t="shared" si="170"/>
        <v>50633830.453230739</v>
      </c>
      <c r="W338" s="365"/>
      <c r="X338" s="377">
        <f t="shared" si="148"/>
        <v>0</v>
      </c>
      <c r="Y338" s="377">
        <f t="shared" si="149"/>
        <v>0</v>
      </c>
      <c r="Z338" s="377">
        <f t="shared" si="150"/>
        <v>0</v>
      </c>
      <c r="AA338" s="377">
        <f t="shared" si="151"/>
        <v>0</v>
      </c>
      <c r="AB338" s="377">
        <f t="shared" si="152"/>
        <v>0</v>
      </c>
      <c r="AC338" s="377">
        <f t="shared" si="153"/>
        <v>0</v>
      </c>
      <c r="AD338" s="376"/>
      <c r="AE338" s="332">
        <v>323</v>
      </c>
      <c r="AF338" s="350">
        <v>374070.08202507062</v>
      </c>
      <c r="AG338" s="350">
        <v>372722.05249987642</v>
      </c>
      <c r="AH338" s="350">
        <v>371264.22465757193</v>
      </c>
      <c r="AI338" s="350">
        <v>369515.24808969558</v>
      </c>
      <c r="AJ338" s="350">
        <v>367314.46608391521</v>
      </c>
      <c r="AK338" s="348">
        <v>1854886.0733561297</v>
      </c>
      <c r="AL338" s="369"/>
      <c r="AM338" s="350">
        <v>11381156.788821185</v>
      </c>
      <c r="AN338" s="350">
        <v>11281773.180377057</v>
      </c>
      <c r="AO338" s="350">
        <v>11172722.064484905</v>
      </c>
      <c r="AP338" s="350">
        <v>11032493.472852739</v>
      </c>
      <c r="AQ338" s="350">
        <v>10842678.981628191</v>
      </c>
      <c r="AR338" s="348">
        <v>55710824.488164082</v>
      </c>
      <c r="AS338" s="369"/>
      <c r="AT338" s="350">
        <f t="shared" si="171"/>
        <v>11007086.706796115</v>
      </c>
      <c r="AU338" s="350">
        <f t="shared" si="154"/>
        <v>10909051.12787718</v>
      </c>
      <c r="AV338" s="350">
        <f t="shared" si="155"/>
        <v>10801457.839827333</v>
      </c>
      <c r="AW338" s="350">
        <f t="shared" si="156"/>
        <v>10662978.224763043</v>
      </c>
      <c r="AX338" s="350">
        <f t="shared" si="157"/>
        <v>10475364.515544275</v>
      </c>
      <c r="AY338" s="350">
        <f t="shared" si="158"/>
        <v>53855938.414807953</v>
      </c>
      <c r="AZ338" s="365"/>
      <c r="BA338" s="377">
        <f t="shared" si="159"/>
        <v>0</v>
      </c>
      <c r="BB338" s="377">
        <f t="shared" si="160"/>
        <v>0</v>
      </c>
      <c r="BC338" s="377">
        <f t="shared" si="161"/>
        <v>0</v>
      </c>
      <c r="BD338" s="377">
        <f t="shared" si="162"/>
        <v>0</v>
      </c>
      <c r="BE338" s="377">
        <f t="shared" si="163"/>
        <v>0</v>
      </c>
      <c r="BF338" s="377">
        <f t="shared" si="164"/>
        <v>0</v>
      </c>
      <c r="BG338" s="328"/>
    </row>
    <row r="339" spans="2:59">
      <c r="B339" s="332">
        <v>324</v>
      </c>
      <c r="C339" s="350">
        <v>5235242.1191954538</v>
      </c>
      <c r="D339" s="350">
        <v>5216375.9727503527</v>
      </c>
      <c r="E339" s="350">
        <v>5195973.1603114353</v>
      </c>
      <c r="F339" s="350">
        <v>5171495.6192473024</v>
      </c>
      <c r="G339" s="350">
        <v>5140694.9024686301</v>
      </c>
      <c r="H339" s="348">
        <v>25959781.773973174</v>
      </c>
      <c r="I339" s="369"/>
      <c r="J339" s="350">
        <v>14471910.356833769</v>
      </c>
      <c r="K339" s="350">
        <v>14124710.079040745</v>
      </c>
      <c r="L339" s="350">
        <v>13769726.215486564</v>
      </c>
      <c r="M339" s="350">
        <v>13386739.334639851</v>
      </c>
      <c r="N339" s="350">
        <v>12958882.112656994</v>
      </c>
      <c r="O339" s="348">
        <v>68711968.098657921</v>
      </c>
      <c r="P339" s="369"/>
      <c r="Q339" s="350">
        <f t="shared" si="165"/>
        <v>9236668.2376383152</v>
      </c>
      <c r="R339" s="350">
        <f t="shared" si="166"/>
        <v>8908334.1062903926</v>
      </c>
      <c r="S339" s="350">
        <f t="shared" si="167"/>
        <v>8573753.0551751293</v>
      </c>
      <c r="T339" s="350">
        <f t="shared" si="168"/>
        <v>8215243.7153925486</v>
      </c>
      <c r="U339" s="350">
        <f t="shared" si="169"/>
        <v>7818187.2101883637</v>
      </c>
      <c r="V339" s="350">
        <f t="shared" si="170"/>
        <v>42752186.324684747</v>
      </c>
      <c r="W339" s="365"/>
      <c r="X339" s="377">
        <f t="shared" si="148"/>
        <v>0</v>
      </c>
      <c r="Y339" s="377">
        <f t="shared" si="149"/>
        <v>0</v>
      </c>
      <c r="Z339" s="377">
        <f t="shared" si="150"/>
        <v>0</v>
      </c>
      <c r="AA339" s="377">
        <f t="shared" si="151"/>
        <v>0</v>
      </c>
      <c r="AB339" s="377">
        <f t="shared" si="152"/>
        <v>0</v>
      </c>
      <c r="AC339" s="377">
        <f t="shared" si="153"/>
        <v>0</v>
      </c>
      <c r="AD339" s="376"/>
      <c r="AE339" s="332">
        <v>324</v>
      </c>
      <c r="AF339" s="350">
        <v>403929.3458544389</v>
      </c>
      <c r="AG339" s="350">
        <v>402473.7130453235</v>
      </c>
      <c r="AH339" s="350">
        <v>400899.51752687257</v>
      </c>
      <c r="AI339" s="350">
        <v>399010.933021123</v>
      </c>
      <c r="AJ339" s="350">
        <v>396634.47877182666</v>
      </c>
      <c r="AK339" s="348">
        <v>2002947.9882195848</v>
      </c>
      <c r="AL339" s="369"/>
      <c r="AM339" s="350">
        <v>13985302.745045369</v>
      </c>
      <c r="AN339" s="350">
        <v>13865764.750216618</v>
      </c>
      <c r="AO339" s="350">
        <v>13734294.40383587</v>
      </c>
      <c r="AP339" s="350">
        <v>13564376.485713771</v>
      </c>
      <c r="AQ339" s="350">
        <v>13333313.91958862</v>
      </c>
      <c r="AR339" s="348">
        <v>68483052.30440025</v>
      </c>
      <c r="AS339" s="369"/>
      <c r="AT339" s="350">
        <f t="shared" si="171"/>
        <v>13581373.399190931</v>
      </c>
      <c r="AU339" s="350">
        <f t="shared" si="154"/>
        <v>13463291.037171295</v>
      </c>
      <c r="AV339" s="350">
        <f t="shared" si="155"/>
        <v>13333394.886308998</v>
      </c>
      <c r="AW339" s="350">
        <f t="shared" si="156"/>
        <v>13165365.552692648</v>
      </c>
      <c r="AX339" s="350">
        <f t="shared" si="157"/>
        <v>12936679.440816794</v>
      </c>
      <c r="AY339" s="350">
        <f t="shared" si="158"/>
        <v>66480104.316180669</v>
      </c>
      <c r="AZ339" s="365"/>
      <c r="BA339" s="377">
        <f t="shared" si="159"/>
        <v>0</v>
      </c>
      <c r="BB339" s="377">
        <f t="shared" si="160"/>
        <v>0</v>
      </c>
      <c r="BC339" s="377">
        <f t="shared" si="161"/>
        <v>0</v>
      </c>
      <c r="BD339" s="377">
        <f t="shared" si="162"/>
        <v>0</v>
      </c>
      <c r="BE339" s="377">
        <f t="shared" si="163"/>
        <v>0</v>
      </c>
      <c r="BF339" s="377">
        <f t="shared" si="164"/>
        <v>0</v>
      </c>
      <c r="BG339" s="328"/>
    </row>
    <row r="340" spans="2:59">
      <c r="B340" s="332">
        <v>325</v>
      </c>
      <c r="C340" s="350">
        <v>2419323.070478715</v>
      </c>
      <c r="D340" s="350">
        <v>2410604.6000992251</v>
      </c>
      <c r="E340" s="350">
        <v>2401176.0018200479</v>
      </c>
      <c r="F340" s="350">
        <v>2389864.3798440723</v>
      </c>
      <c r="G340" s="350">
        <v>2375630.6762266788</v>
      </c>
      <c r="H340" s="348">
        <v>11996598.728468738</v>
      </c>
      <c r="I340" s="369"/>
      <c r="J340" s="350">
        <v>9846610.2538672276</v>
      </c>
      <c r="K340" s="350">
        <v>9663394.4715182893</v>
      </c>
      <c r="L340" s="350">
        <v>9473800.1608570702</v>
      </c>
      <c r="M340" s="350">
        <v>9262357.8520630132</v>
      </c>
      <c r="N340" s="350">
        <v>9016020.8937809058</v>
      </c>
      <c r="O340" s="348">
        <v>47262183.632086501</v>
      </c>
      <c r="P340" s="369"/>
      <c r="Q340" s="350">
        <f t="shared" si="165"/>
        <v>7427287.1833885126</v>
      </c>
      <c r="R340" s="350">
        <f t="shared" si="166"/>
        <v>7252789.8714190647</v>
      </c>
      <c r="S340" s="350">
        <f t="shared" si="167"/>
        <v>7072624.1590370219</v>
      </c>
      <c r="T340" s="350">
        <f t="shared" si="168"/>
        <v>6872493.472218941</v>
      </c>
      <c r="U340" s="350">
        <f t="shared" si="169"/>
        <v>6640390.2175542265</v>
      </c>
      <c r="V340" s="350">
        <f t="shared" si="170"/>
        <v>35265584.903617762</v>
      </c>
      <c r="W340" s="365"/>
      <c r="X340" s="377">
        <f t="shared" si="148"/>
        <v>0</v>
      </c>
      <c r="Y340" s="377">
        <f t="shared" si="149"/>
        <v>0</v>
      </c>
      <c r="Z340" s="377">
        <f t="shared" si="150"/>
        <v>0</v>
      </c>
      <c r="AA340" s="377">
        <f t="shared" si="151"/>
        <v>0</v>
      </c>
      <c r="AB340" s="377">
        <f t="shared" si="152"/>
        <v>0</v>
      </c>
      <c r="AC340" s="377">
        <f t="shared" si="153"/>
        <v>0</v>
      </c>
      <c r="AD340" s="376"/>
      <c r="AE340" s="332">
        <v>325</v>
      </c>
      <c r="AF340" s="350">
        <v>453257.00132676703</v>
      </c>
      <c r="AG340" s="350">
        <v>451623.60734620143</v>
      </c>
      <c r="AH340" s="350">
        <v>449857.17183583806</v>
      </c>
      <c r="AI340" s="350">
        <v>447737.95430778858</v>
      </c>
      <c r="AJ340" s="350">
        <v>445071.28862013534</v>
      </c>
      <c r="AK340" s="348">
        <v>2247547.0234367303</v>
      </c>
      <c r="AL340" s="369"/>
      <c r="AM340" s="350">
        <v>16585980.872468093</v>
      </c>
      <c r="AN340" s="350">
        <v>16445410.22346279</v>
      </c>
      <c r="AO340" s="350">
        <v>16290663.87711327</v>
      </c>
      <c r="AP340" s="350">
        <v>16090257.258377681</v>
      </c>
      <c r="AQ340" s="350">
        <v>15817237.156095387</v>
      </c>
      <c r="AR340" s="348">
        <v>81229549.387517214</v>
      </c>
      <c r="AS340" s="369"/>
      <c r="AT340" s="350">
        <f t="shared" si="171"/>
        <v>16132723.871141326</v>
      </c>
      <c r="AU340" s="350">
        <f t="shared" si="154"/>
        <v>15993786.616116589</v>
      </c>
      <c r="AV340" s="350">
        <f t="shared" si="155"/>
        <v>15840806.705277432</v>
      </c>
      <c r="AW340" s="350">
        <f t="shared" si="156"/>
        <v>15642519.304069892</v>
      </c>
      <c r="AX340" s="350">
        <f t="shared" si="157"/>
        <v>15372165.867475253</v>
      </c>
      <c r="AY340" s="350">
        <f t="shared" si="158"/>
        <v>78982002.364080489</v>
      </c>
      <c r="AZ340" s="365"/>
      <c r="BA340" s="377">
        <f t="shared" si="159"/>
        <v>0</v>
      </c>
      <c r="BB340" s="377">
        <f t="shared" si="160"/>
        <v>0</v>
      </c>
      <c r="BC340" s="377">
        <f t="shared" si="161"/>
        <v>0</v>
      </c>
      <c r="BD340" s="377">
        <f t="shared" si="162"/>
        <v>0</v>
      </c>
      <c r="BE340" s="377">
        <f t="shared" si="163"/>
        <v>0</v>
      </c>
      <c r="BF340" s="377">
        <f t="shared" si="164"/>
        <v>0</v>
      </c>
      <c r="BG340" s="328"/>
    </row>
    <row r="341" spans="2:59">
      <c r="B341" s="332">
        <v>326</v>
      </c>
      <c r="C341" s="350">
        <v>4270395.1794204526</v>
      </c>
      <c r="D341" s="350">
        <v>4255006.0342770042</v>
      </c>
      <c r="E341" s="350">
        <v>4238363.4282805556</v>
      </c>
      <c r="F341" s="350">
        <v>4218397.0597756356</v>
      </c>
      <c r="G341" s="350">
        <v>4193272.8669571094</v>
      </c>
      <c r="H341" s="348">
        <v>21175434.568710756</v>
      </c>
      <c r="I341" s="369"/>
      <c r="J341" s="350">
        <v>15439570.765532201</v>
      </c>
      <c r="K341" s="350">
        <v>15130161.553129788</v>
      </c>
      <c r="L341" s="350">
        <v>14811202.551675163</v>
      </c>
      <c r="M341" s="350">
        <v>14459152.066118404</v>
      </c>
      <c r="N341" s="350">
        <v>14054208.116338361</v>
      </c>
      <c r="O341" s="348">
        <v>73894295.05279392</v>
      </c>
      <c r="P341" s="369"/>
      <c r="Q341" s="350">
        <f t="shared" si="165"/>
        <v>11169175.586111749</v>
      </c>
      <c r="R341" s="350">
        <f t="shared" si="166"/>
        <v>10875155.518852785</v>
      </c>
      <c r="S341" s="350">
        <f t="shared" si="167"/>
        <v>10572839.123394608</v>
      </c>
      <c r="T341" s="350">
        <f t="shared" si="168"/>
        <v>10240755.006342769</v>
      </c>
      <c r="U341" s="350">
        <f t="shared" si="169"/>
        <v>9860935.2493812516</v>
      </c>
      <c r="V341" s="350">
        <f t="shared" si="170"/>
        <v>52718860.484083161</v>
      </c>
      <c r="W341" s="365"/>
      <c r="X341" s="377">
        <f t="shared" si="148"/>
        <v>0</v>
      </c>
      <c r="Y341" s="377">
        <f t="shared" si="149"/>
        <v>0</v>
      </c>
      <c r="Z341" s="377">
        <f t="shared" si="150"/>
        <v>0</v>
      </c>
      <c r="AA341" s="377">
        <f t="shared" si="151"/>
        <v>0</v>
      </c>
      <c r="AB341" s="377">
        <f t="shared" si="152"/>
        <v>0</v>
      </c>
      <c r="AC341" s="377">
        <f t="shared" si="153"/>
        <v>0</v>
      </c>
      <c r="AD341" s="376"/>
      <c r="AE341" s="332">
        <v>326</v>
      </c>
      <c r="AF341" s="350">
        <v>576977.39707007783</v>
      </c>
      <c r="AG341" s="350">
        <v>574898.15415813576</v>
      </c>
      <c r="AH341" s="350">
        <v>572649.55488690932</v>
      </c>
      <c r="AI341" s="350">
        <v>569951.87871295062</v>
      </c>
      <c r="AJ341" s="350">
        <v>566557.32369711075</v>
      </c>
      <c r="AK341" s="348">
        <v>2861034.3085251842</v>
      </c>
      <c r="AL341" s="369"/>
      <c r="AM341" s="350">
        <v>16324382.813812485</v>
      </c>
      <c r="AN341" s="350">
        <v>16179957.426247332</v>
      </c>
      <c r="AO341" s="350">
        <v>16021703.911334028</v>
      </c>
      <c r="AP341" s="350">
        <v>15818830.375825351</v>
      </c>
      <c r="AQ341" s="350">
        <v>15544988.550823383</v>
      </c>
      <c r="AR341" s="348">
        <v>79889863.078042582</v>
      </c>
      <c r="AS341" s="369"/>
      <c r="AT341" s="350">
        <f t="shared" si="171"/>
        <v>15747405.416742407</v>
      </c>
      <c r="AU341" s="350">
        <f t="shared" si="154"/>
        <v>15605059.272089196</v>
      </c>
      <c r="AV341" s="350">
        <f t="shared" si="155"/>
        <v>15449054.356447119</v>
      </c>
      <c r="AW341" s="350">
        <f t="shared" si="156"/>
        <v>15248878.497112401</v>
      </c>
      <c r="AX341" s="350">
        <f t="shared" si="157"/>
        <v>14978431.227126272</v>
      </c>
      <c r="AY341" s="350">
        <f t="shared" si="158"/>
        <v>77028828.769517392</v>
      </c>
      <c r="AZ341" s="365"/>
      <c r="BA341" s="377">
        <f t="shared" si="159"/>
        <v>0</v>
      </c>
      <c r="BB341" s="377">
        <f t="shared" si="160"/>
        <v>0</v>
      </c>
      <c r="BC341" s="377">
        <f t="shared" si="161"/>
        <v>0</v>
      </c>
      <c r="BD341" s="377">
        <f t="shared" si="162"/>
        <v>0</v>
      </c>
      <c r="BE341" s="377">
        <f t="shared" si="163"/>
        <v>0</v>
      </c>
      <c r="BF341" s="377">
        <f t="shared" si="164"/>
        <v>0</v>
      </c>
      <c r="BG341" s="328"/>
    </row>
    <row r="342" spans="2:59">
      <c r="B342" s="332">
        <v>327</v>
      </c>
      <c r="C342" s="350">
        <v>5151428.0243401388</v>
      </c>
      <c r="D342" s="350">
        <v>5132863.9172184737</v>
      </c>
      <c r="E342" s="350">
        <v>5112787.7454999154</v>
      </c>
      <c r="F342" s="350">
        <v>5088702.0799024496</v>
      </c>
      <c r="G342" s="350">
        <v>5058394.4700592197</v>
      </c>
      <c r="H342" s="348">
        <v>25544176.237020198</v>
      </c>
      <c r="I342" s="369"/>
      <c r="J342" s="350">
        <v>17869034.455817584</v>
      </c>
      <c r="K342" s="350">
        <v>17501238.535255499</v>
      </c>
      <c r="L342" s="350">
        <v>17122588.216100585</v>
      </c>
      <c r="M342" s="350">
        <v>16706150.72873202</v>
      </c>
      <c r="N342" s="350">
        <v>16229295.481900692</v>
      </c>
      <c r="O342" s="348">
        <v>85428307.417806387</v>
      </c>
      <c r="P342" s="369"/>
      <c r="Q342" s="350">
        <f t="shared" si="165"/>
        <v>12717606.431477446</v>
      </c>
      <c r="R342" s="350">
        <f t="shared" si="166"/>
        <v>12368374.618037026</v>
      </c>
      <c r="S342" s="350">
        <f t="shared" si="167"/>
        <v>12009800.470600668</v>
      </c>
      <c r="T342" s="350">
        <f t="shared" si="168"/>
        <v>11617448.64882957</v>
      </c>
      <c r="U342" s="350">
        <f t="shared" si="169"/>
        <v>11170901.011841472</v>
      </c>
      <c r="V342" s="350">
        <f t="shared" si="170"/>
        <v>59884131.180786192</v>
      </c>
      <c r="W342" s="365"/>
      <c r="X342" s="377">
        <f t="shared" si="148"/>
        <v>0</v>
      </c>
      <c r="Y342" s="377">
        <f t="shared" si="149"/>
        <v>0</v>
      </c>
      <c r="Z342" s="377">
        <f t="shared" si="150"/>
        <v>0</v>
      </c>
      <c r="AA342" s="377">
        <f t="shared" si="151"/>
        <v>0</v>
      </c>
      <c r="AB342" s="377">
        <f t="shared" si="152"/>
        <v>0</v>
      </c>
      <c r="AC342" s="377">
        <f t="shared" si="153"/>
        <v>0</v>
      </c>
      <c r="AD342" s="376"/>
      <c r="AE342" s="332">
        <v>327</v>
      </c>
      <c r="AF342" s="350">
        <v>341441.43964657641</v>
      </c>
      <c r="AG342" s="350">
        <v>340210.99336422019</v>
      </c>
      <c r="AH342" s="350">
        <v>338880.32603434828</v>
      </c>
      <c r="AI342" s="350">
        <v>337283.90572184697</v>
      </c>
      <c r="AJ342" s="350">
        <v>335275.08915909508</v>
      </c>
      <c r="AK342" s="348">
        <v>1693091.7539260867</v>
      </c>
      <c r="AL342" s="369"/>
      <c r="AM342" s="350">
        <v>7805229.390784597</v>
      </c>
      <c r="AN342" s="350">
        <v>7733132.6397737116</v>
      </c>
      <c r="AO342" s="350">
        <v>7654486.3234061701</v>
      </c>
      <c r="AP342" s="350">
        <v>7554666.0669256225</v>
      </c>
      <c r="AQ342" s="350">
        <v>7421163.9882639786</v>
      </c>
      <c r="AR342" s="348">
        <v>38168678.40915408</v>
      </c>
      <c r="AS342" s="369"/>
      <c r="AT342" s="350">
        <f t="shared" si="171"/>
        <v>7463787.9511380205</v>
      </c>
      <c r="AU342" s="350">
        <f t="shared" si="154"/>
        <v>7392921.6464094911</v>
      </c>
      <c r="AV342" s="350">
        <f t="shared" si="155"/>
        <v>7315605.9973718217</v>
      </c>
      <c r="AW342" s="350">
        <f t="shared" si="156"/>
        <v>7217382.1612037756</v>
      </c>
      <c r="AX342" s="350">
        <f t="shared" si="157"/>
        <v>7085888.8991048839</v>
      </c>
      <c r="AY342" s="350">
        <f t="shared" si="158"/>
        <v>36475586.655227996</v>
      </c>
      <c r="AZ342" s="365"/>
      <c r="BA342" s="377">
        <f t="shared" si="159"/>
        <v>0</v>
      </c>
      <c r="BB342" s="377">
        <f t="shared" si="160"/>
        <v>0</v>
      </c>
      <c r="BC342" s="377">
        <f t="shared" si="161"/>
        <v>0</v>
      </c>
      <c r="BD342" s="377">
        <f t="shared" si="162"/>
        <v>0</v>
      </c>
      <c r="BE342" s="377">
        <f t="shared" si="163"/>
        <v>0</v>
      </c>
      <c r="BF342" s="377">
        <f t="shared" si="164"/>
        <v>0</v>
      </c>
      <c r="BG342" s="328"/>
    </row>
    <row r="343" spans="2:59">
      <c r="B343" s="332">
        <v>328</v>
      </c>
      <c r="C343" s="350">
        <v>5896599.4762128247</v>
      </c>
      <c r="D343" s="350">
        <v>5875350.0083346432</v>
      </c>
      <c r="E343" s="350">
        <v>5852369.7506118016</v>
      </c>
      <c r="F343" s="350">
        <v>5824800.0121868066</v>
      </c>
      <c r="G343" s="350">
        <v>5790108.3042793199</v>
      </c>
      <c r="H343" s="348">
        <v>29239227.551625397</v>
      </c>
      <c r="I343" s="369"/>
      <c r="J343" s="350">
        <v>20745750.053087547</v>
      </c>
      <c r="K343" s="350">
        <v>20322647.385732993</v>
      </c>
      <c r="L343" s="350">
        <v>19886863.156448048</v>
      </c>
      <c r="M343" s="350">
        <v>19407002.62432</v>
      </c>
      <c r="N343" s="350">
        <v>18856676.29136122</v>
      </c>
      <c r="O343" s="348">
        <v>99218939.51094982</v>
      </c>
      <c r="P343" s="369"/>
      <c r="Q343" s="350">
        <f t="shared" si="165"/>
        <v>14849150.576874722</v>
      </c>
      <c r="R343" s="350">
        <f t="shared" si="166"/>
        <v>14447297.377398349</v>
      </c>
      <c r="S343" s="350">
        <f t="shared" si="167"/>
        <v>14034493.405836247</v>
      </c>
      <c r="T343" s="350">
        <f t="shared" si="168"/>
        <v>13582202.612133194</v>
      </c>
      <c r="U343" s="350">
        <f t="shared" si="169"/>
        <v>13066567.9870819</v>
      </c>
      <c r="V343" s="350">
        <f t="shared" si="170"/>
        <v>69979711.959324419</v>
      </c>
      <c r="W343" s="365"/>
      <c r="X343" s="377">
        <f t="shared" si="148"/>
        <v>0</v>
      </c>
      <c r="Y343" s="377">
        <f t="shared" si="149"/>
        <v>0</v>
      </c>
      <c r="Z343" s="377">
        <f t="shared" si="150"/>
        <v>0</v>
      </c>
      <c r="AA343" s="377">
        <f t="shared" si="151"/>
        <v>0</v>
      </c>
      <c r="AB343" s="377">
        <f t="shared" si="152"/>
        <v>0</v>
      </c>
      <c r="AC343" s="377">
        <f t="shared" si="153"/>
        <v>0</v>
      </c>
      <c r="AD343" s="376"/>
      <c r="AE343" s="332">
        <v>328</v>
      </c>
      <c r="AF343" s="350">
        <v>561332.74873047031</v>
      </c>
      <c r="AG343" s="350">
        <v>559309.88415212545</v>
      </c>
      <c r="AH343" s="350">
        <v>557122.25528465083</v>
      </c>
      <c r="AI343" s="350">
        <v>554497.72616166831</v>
      </c>
      <c r="AJ343" s="350">
        <v>551195.21395333193</v>
      </c>
      <c r="AK343" s="348">
        <v>2783457.8282822473</v>
      </c>
      <c r="AL343" s="369"/>
      <c r="AM343" s="350">
        <v>17467138.952814627</v>
      </c>
      <c r="AN343" s="350">
        <v>17315203.16046324</v>
      </c>
      <c r="AO343" s="350">
        <v>17148418.141835816</v>
      </c>
      <c r="AP343" s="350">
        <v>16933752.513375517</v>
      </c>
      <c r="AQ343" s="350">
        <v>16642936.549304636</v>
      </c>
      <c r="AR343" s="348">
        <v>85507449.317793831</v>
      </c>
      <c r="AS343" s="369"/>
      <c r="AT343" s="350">
        <f t="shared" si="171"/>
        <v>16905806.204084158</v>
      </c>
      <c r="AU343" s="350">
        <f t="shared" si="154"/>
        <v>16755893.276311114</v>
      </c>
      <c r="AV343" s="350">
        <f t="shared" si="155"/>
        <v>16591295.886551166</v>
      </c>
      <c r="AW343" s="350">
        <f t="shared" si="156"/>
        <v>16379254.787213849</v>
      </c>
      <c r="AX343" s="350">
        <f t="shared" si="157"/>
        <v>16091741.335351305</v>
      </c>
      <c r="AY343" s="350">
        <f t="shared" si="158"/>
        <v>82723991.489511579</v>
      </c>
      <c r="AZ343" s="365"/>
      <c r="BA343" s="377">
        <f t="shared" si="159"/>
        <v>0</v>
      </c>
      <c r="BB343" s="377">
        <f t="shared" si="160"/>
        <v>0</v>
      </c>
      <c r="BC343" s="377">
        <f t="shared" si="161"/>
        <v>0</v>
      </c>
      <c r="BD343" s="377">
        <f t="shared" si="162"/>
        <v>0</v>
      </c>
      <c r="BE343" s="377">
        <f t="shared" si="163"/>
        <v>0</v>
      </c>
      <c r="BF343" s="377">
        <f t="shared" si="164"/>
        <v>0</v>
      </c>
      <c r="BG343" s="328"/>
    </row>
    <row r="344" spans="2:59">
      <c r="B344" s="332">
        <v>329</v>
      </c>
      <c r="C344" s="350">
        <v>4786170.8347050054</v>
      </c>
      <c r="D344" s="350">
        <v>4768922.9982491247</v>
      </c>
      <c r="E344" s="350">
        <v>4750270.308723446</v>
      </c>
      <c r="F344" s="350">
        <v>4727892.4147351449</v>
      </c>
      <c r="G344" s="350">
        <v>4699733.7376429103</v>
      </c>
      <c r="H344" s="348">
        <v>23732990.294055633</v>
      </c>
      <c r="I344" s="369"/>
      <c r="J344" s="350">
        <v>18029709.239188723</v>
      </c>
      <c r="K344" s="350">
        <v>17677701.865875818</v>
      </c>
      <c r="L344" s="350">
        <v>17314352.558429886</v>
      </c>
      <c r="M344" s="350">
        <v>16911869.649175666</v>
      </c>
      <c r="N344" s="350">
        <v>16446853.500830285</v>
      </c>
      <c r="O344" s="348">
        <v>86380486.813500375</v>
      </c>
      <c r="P344" s="369"/>
      <c r="Q344" s="350">
        <f t="shared" si="165"/>
        <v>13243538.404483717</v>
      </c>
      <c r="R344" s="350">
        <f t="shared" si="166"/>
        <v>12908778.867626693</v>
      </c>
      <c r="S344" s="350">
        <f t="shared" si="167"/>
        <v>12564082.24970644</v>
      </c>
      <c r="T344" s="350">
        <f t="shared" si="168"/>
        <v>12183977.23444052</v>
      </c>
      <c r="U344" s="350">
        <f t="shared" si="169"/>
        <v>11747119.763187375</v>
      </c>
      <c r="V344" s="350">
        <f t="shared" si="170"/>
        <v>62647496.519444741</v>
      </c>
      <c r="W344" s="365"/>
      <c r="X344" s="377">
        <f t="shared" si="148"/>
        <v>0</v>
      </c>
      <c r="Y344" s="377">
        <f t="shared" si="149"/>
        <v>0</v>
      </c>
      <c r="Z344" s="377">
        <f t="shared" si="150"/>
        <v>0</v>
      </c>
      <c r="AA344" s="377">
        <f t="shared" si="151"/>
        <v>0</v>
      </c>
      <c r="AB344" s="377">
        <f t="shared" si="152"/>
        <v>0</v>
      </c>
      <c r="AC344" s="377">
        <f t="shared" si="153"/>
        <v>0</v>
      </c>
      <c r="AD344" s="376"/>
      <c r="AE344" s="332">
        <v>329</v>
      </c>
      <c r="AF344" s="350">
        <v>413018.14338383276</v>
      </c>
      <c r="AG344" s="350">
        <v>411529.7574409949</v>
      </c>
      <c r="AH344" s="350">
        <v>409920.14101419522</v>
      </c>
      <c r="AI344" s="350">
        <v>407989.06154647749</v>
      </c>
      <c r="AJ344" s="350">
        <v>405559.13479826169</v>
      </c>
      <c r="AK344" s="348">
        <v>2048016.2381837619</v>
      </c>
      <c r="AL344" s="369"/>
      <c r="AM344" s="350">
        <v>11235951.951388957</v>
      </c>
      <c r="AN344" s="350">
        <v>11135807.840337832</v>
      </c>
      <c r="AO344" s="350">
        <v>11026160.984860828</v>
      </c>
      <c r="AP344" s="350">
        <v>10885841.361071235</v>
      </c>
      <c r="AQ344" s="350">
        <v>10696735.483538449</v>
      </c>
      <c r="AR344" s="348">
        <v>54980497.621197306</v>
      </c>
      <c r="AS344" s="369"/>
      <c r="AT344" s="350">
        <f t="shared" si="171"/>
        <v>10822933.808005124</v>
      </c>
      <c r="AU344" s="350">
        <f t="shared" si="154"/>
        <v>10724278.082896836</v>
      </c>
      <c r="AV344" s="350">
        <f t="shared" si="155"/>
        <v>10616240.843846632</v>
      </c>
      <c r="AW344" s="350">
        <f t="shared" si="156"/>
        <v>10477852.299524758</v>
      </c>
      <c r="AX344" s="350">
        <f t="shared" si="157"/>
        <v>10291176.348740187</v>
      </c>
      <c r="AY344" s="350">
        <f t="shared" si="158"/>
        <v>52932481.383013546</v>
      </c>
      <c r="AZ344" s="365"/>
      <c r="BA344" s="377">
        <f t="shared" si="159"/>
        <v>0</v>
      </c>
      <c r="BB344" s="377">
        <f t="shared" si="160"/>
        <v>0</v>
      </c>
      <c r="BC344" s="377">
        <f t="shared" si="161"/>
        <v>0</v>
      </c>
      <c r="BD344" s="377">
        <f t="shared" si="162"/>
        <v>0</v>
      </c>
      <c r="BE344" s="377">
        <f t="shared" si="163"/>
        <v>0</v>
      </c>
      <c r="BF344" s="377">
        <f t="shared" si="164"/>
        <v>0</v>
      </c>
      <c r="BG344" s="328"/>
    </row>
    <row r="345" spans="2:59">
      <c r="B345" s="332">
        <v>330</v>
      </c>
      <c r="C345" s="350">
        <v>3999673.0321162157</v>
      </c>
      <c r="D345" s="350">
        <v>3985259.4834324308</v>
      </c>
      <c r="E345" s="350">
        <v>3969671.9371770145</v>
      </c>
      <c r="F345" s="350">
        <v>3950971.3386836303</v>
      </c>
      <c r="G345" s="350">
        <v>3927439.8966863621</v>
      </c>
      <c r="H345" s="348">
        <v>19833015.688095652</v>
      </c>
      <c r="I345" s="369"/>
      <c r="J345" s="350">
        <v>14271627.419330314</v>
      </c>
      <c r="K345" s="350">
        <v>13983196.510060564</v>
      </c>
      <c r="L345" s="350">
        <v>13685987.781587139</v>
      </c>
      <c r="M345" s="350">
        <v>13358318.769532552</v>
      </c>
      <c r="N345" s="350">
        <v>12981957.325547583</v>
      </c>
      <c r="O345" s="348">
        <v>68281087.806058154</v>
      </c>
      <c r="P345" s="369"/>
      <c r="Q345" s="350">
        <f t="shared" si="165"/>
        <v>10271954.387214098</v>
      </c>
      <c r="R345" s="350">
        <f t="shared" si="166"/>
        <v>9997937.0266281329</v>
      </c>
      <c r="S345" s="350">
        <f t="shared" si="167"/>
        <v>9716315.8444101252</v>
      </c>
      <c r="T345" s="350">
        <f t="shared" si="168"/>
        <v>9407347.4308489226</v>
      </c>
      <c r="U345" s="350">
        <f t="shared" si="169"/>
        <v>9054517.4288612213</v>
      </c>
      <c r="V345" s="350">
        <f t="shared" si="170"/>
        <v>48448072.117962502</v>
      </c>
      <c r="W345" s="365"/>
      <c r="X345" s="377">
        <f t="shared" si="148"/>
        <v>0</v>
      </c>
      <c r="Y345" s="377">
        <f t="shared" si="149"/>
        <v>0</v>
      </c>
      <c r="Z345" s="377">
        <f t="shared" si="150"/>
        <v>0</v>
      </c>
      <c r="AA345" s="377">
        <f t="shared" si="151"/>
        <v>0</v>
      </c>
      <c r="AB345" s="377">
        <f t="shared" si="152"/>
        <v>0</v>
      </c>
      <c r="AC345" s="377">
        <f t="shared" si="153"/>
        <v>0</v>
      </c>
      <c r="AD345" s="376"/>
      <c r="AE345" s="332">
        <v>330</v>
      </c>
      <c r="AF345" s="350">
        <v>464479.10290180612</v>
      </c>
      <c r="AG345" s="350">
        <v>462805.26803867635</v>
      </c>
      <c r="AH345" s="350">
        <v>460995.09769649577</v>
      </c>
      <c r="AI345" s="350">
        <v>458823.41087555129</v>
      </c>
      <c r="AJ345" s="350">
        <v>456090.7217329354</v>
      </c>
      <c r="AK345" s="348">
        <v>2303193.6012454648</v>
      </c>
      <c r="AL345" s="369"/>
      <c r="AM345" s="350">
        <v>12153283.182119586</v>
      </c>
      <c r="AN345" s="350">
        <v>12044139.932395929</v>
      </c>
      <c r="AO345" s="350">
        <v>11924734.918621581</v>
      </c>
      <c r="AP345" s="350">
        <v>11772196.327172965</v>
      </c>
      <c r="AQ345" s="350">
        <v>11566956.220738603</v>
      </c>
      <c r="AR345" s="348">
        <v>59461310.581048667</v>
      </c>
      <c r="AS345" s="369"/>
      <c r="AT345" s="350">
        <f t="shared" si="171"/>
        <v>11688804.07921778</v>
      </c>
      <c r="AU345" s="350">
        <f t="shared" si="154"/>
        <v>11581334.664357252</v>
      </c>
      <c r="AV345" s="350">
        <f t="shared" si="155"/>
        <v>11463739.820925085</v>
      </c>
      <c r="AW345" s="350">
        <f t="shared" si="156"/>
        <v>11313372.916297413</v>
      </c>
      <c r="AX345" s="350">
        <f t="shared" si="157"/>
        <v>11110865.499005668</v>
      </c>
      <c r="AY345" s="350">
        <f t="shared" si="158"/>
        <v>57158116.979803205</v>
      </c>
      <c r="AZ345" s="365"/>
      <c r="BA345" s="377">
        <f t="shared" si="159"/>
        <v>0</v>
      </c>
      <c r="BB345" s="377">
        <f t="shared" si="160"/>
        <v>0</v>
      </c>
      <c r="BC345" s="377">
        <f t="shared" si="161"/>
        <v>0</v>
      </c>
      <c r="BD345" s="377">
        <f t="shared" si="162"/>
        <v>0</v>
      </c>
      <c r="BE345" s="377">
        <f t="shared" si="163"/>
        <v>0</v>
      </c>
      <c r="BF345" s="377">
        <f t="shared" si="164"/>
        <v>0</v>
      </c>
      <c r="BG345" s="328"/>
    </row>
    <row r="346" spans="2:59">
      <c r="B346" s="332">
        <v>331</v>
      </c>
      <c r="C346" s="350">
        <v>4136637.8800034286</v>
      </c>
      <c r="D346" s="350">
        <v>4121730.7535978802</v>
      </c>
      <c r="E346" s="350">
        <v>4105609.4272347735</v>
      </c>
      <c r="F346" s="350">
        <v>4086268.445238167</v>
      </c>
      <c r="G346" s="350">
        <v>4061931.1922788918</v>
      </c>
      <c r="H346" s="348">
        <v>20512177.698353142</v>
      </c>
      <c r="I346" s="369"/>
      <c r="J346" s="350">
        <v>13408598.349306639</v>
      </c>
      <c r="K346" s="350">
        <v>13120032.939570928</v>
      </c>
      <c r="L346" s="350">
        <v>12823579.430820338</v>
      </c>
      <c r="M346" s="350">
        <v>12499434.189412676</v>
      </c>
      <c r="N346" s="350">
        <v>12130988.154704027</v>
      </c>
      <c r="O346" s="348">
        <v>63982633.06381461</v>
      </c>
      <c r="P346" s="369"/>
      <c r="Q346" s="350">
        <f t="shared" si="165"/>
        <v>9271960.4693032112</v>
      </c>
      <c r="R346" s="350">
        <f t="shared" si="166"/>
        <v>8998302.1859730482</v>
      </c>
      <c r="S346" s="350">
        <f t="shared" si="167"/>
        <v>8717970.0035855658</v>
      </c>
      <c r="T346" s="350">
        <f t="shared" si="168"/>
        <v>8413165.7441745084</v>
      </c>
      <c r="U346" s="350">
        <f t="shared" si="169"/>
        <v>8069056.9624251351</v>
      </c>
      <c r="V346" s="350">
        <f t="shared" si="170"/>
        <v>43470455.365461469</v>
      </c>
      <c r="W346" s="365"/>
      <c r="X346" s="377">
        <f t="shared" si="148"/>
        <v>0</v>
      </c>
      <c r="Y346" s="377">
        <f t="shared" si="149"/>
        <v>0</v>
      </c>
      <c r="Z346" s="377">
        <f t="shared" si="150"/>
        <v>0</v>
      </c>
      <c r="AA346" s="377">
        <f t="shared" si="151"/>
        <v>0</v>
      </c>
      <c r="AB346" s="377">
        <f t="shared" si="152"/>
        <v>0</v>
      </c>
      <c r="AC346" s="377">
        <f t="shared" si="153"/>
        <v>0</v>
      </c>
      <c r="AD346" s="376"/>
      <c r="AE346" s="332">
        <v>331</v>
      </c>
      <c r="AF346" s="350">
        <v>727308.47144058754</v>
      </c>
      <c r="AG346" s="350">
        <v>724687.48318053165</v>
      </c>
      <c r="AH346" s="350">
        <v>721853.01287520817</v>
      </c>
      <c r="AI346" s="350">
        <v>718452.45898091875</v>
      </c>
      <c r="AJ346" s="350">
        <v>714173.45492923725</v>
      </c>
      <c r="AK346" s="348">
        <v>3606474.8814064832</v>
      </c>
      <c r="AL346" s="369"/>
      <c r="AM346" s="350">
        <v>18373294.561649486</v>
      </c>
      <c r="AN346" s="350">
        <v>18207127.113996558</v>
      </c>
      <c r="AO346" s="350">
        <v>18025469.75436018</v>
      </c>
      <c r="AP346" s="350">
        <v>17793782.574677765</v>
      </c>
      <c r="AQ346" s="350">
        <v>17482517.334753685</v>
      </c>
      <c r="AR346" s="348">
        <v>89882191.339437664</v>
      </c>
      <c r="AS346" s="369"/>
      <c r="AT346" s="350">
        <f t="shared" si="171"/>
        <v>17645986.090208899</v>
      </c>
      <c r="AU346" s="350">
        <f t="shared" si="154"/>
        <v>17482439.630816028</v>
      </c>
      <c r="AV346" s="350">
        <f t="shared" si="155"/>
        <v>17303616.741484974</v>
      </c>
      <c r="AW346" s="350">
        <f t="shared" si="156"/>
        <v>17075330.115696847</v>
      </c>
      <c r="AX346" s="350">
        <f t="shared" si="157"/>
        <v>16768343.879824448</v>
      </c>
      <c r="AY346" s="350">
        <f t="shared" si="158"/>
        <v>86275716.458031178</v>
      </c>
      <c r="AZ346" s="365"/>
      <c r="BA346" s="377">
        <f t="shared" si="159"/>
        <v>0</v>
      </c>
      <c r="BB346" s="377">
        <f t="shared" si="160"/>
        <v>0</v>
      </c>
      <c r="BC346" s="377">
        <f t="shared" si="161"/>
        <v>0</v>
      </c>
      <c r="BD346" s="377">
        <f t="shared" si="162"/>
        <v>0</v>
      </c>
      <c r="BE346" s="377">
        <f t="shared" si="163"/>
        <v>0</v>
      </c>
      <c r="BF346" s="377">
        <f t="shared" si="164"/>
        <v>0</v>
      </c>
      <c r="BG346" s="328"/>
    </row>
    <row r="347" spans="2:59">
      <c r="B347" s="332">
        <v>332</v>
      </c>
      <c r="C347" s="350">
        <v>5677446.1466474794</v>
      </c>
      <c r="D347" s="350">
        <v>5656986.4376219716</v>
      </c>
      <c r="E347" s="350">
        <v>5634860.2653791662</v>
      </c>
      <c r="F347" s="350">
        <v>5608315.1853179373</v>
      </c>
      <c r="G347" s="350">
        <v>5574912.8312705699</v>
      </c>
      <c r="H347" s="348">
        <v>28152520.866237126</v>
      </c>
      <c r="I347" s="369"/>
      <c r="J347" s="350">
        <v>20306207.358775318</v>
      </c>
      <c r="K347" s="350">
        <v>19896440.543011896</v>
      </c>
      <c r="L347" s="350">
        <v>19474171.58435794</v>
      </c>
      <c r="M347" s="350">
        <v>19008529.721124217</v>
      </c>
      <c r="N347" s="350">
        <v>18473555.101543196</v>
      </c>
      <c r="O347" s="348">
        <v>97158904.308812559</v>
      </c>
      <c r="P347" s="369"/>
      <c r="Q347" s="350">
        <f t="shared" si="165"/>
        <v>14628761.212127838</v>
      </c>
      <c r="R347" s="350">
        <f t="shared" si="166"/>
        <v>14239454.105389925</v>
      </c>
      <c r="S347" s="350">
        <f t="shared" si="167"/>
        <v>13839311.318978773</v>
      </c>
      <c r="T347" s="350">
        <f t="shared" si="168"/>
        <v>13400214.53580628</v>
      </c>
      <c r="U347" s="350">
        <f t="shared" si="169"/>
        <v>12898642.270272626</v>
      </c>
      <c r="V347" s="350">
        <f t="shared" si="170"/>
        <v>69006383.442575425</v>
      </c>
      <c r="W347" s="365"/>
      <c r="X347" s="377">
        <f t="shared" si="148"/>
        <v>0</v>
      </c>
      <c r="Y347" s="377">
        <f t="shared" si="149"/>
        <v>0</v>
      </c>
      <c r="Z347" s="377">
        <f t="shared" si="150"/>
        <v>0</v>
      </c>
      <c r="AA347" s="377">
        <f t="shared" si="151"/>
        <v>0</v>
      </c>
      <c r="AB347" s="377">
        <f t="shared" si="152"/>
        <v>0</v>
      </c>
      <c r="AC347" s="377">
        <f t="shared" si="153"/>
        <v>0</v>
      </c>
      <c r="AD347" s="376"/>
      <c r="AE347" s="332">
        <v>332</v>
      </c>
      <c r="AF347" s="350">
        <v>376141.58767425793</v>
      </c>
      <c r="AG347" s="350">
        <v>374786.09310197516</v>
      </c>
      <c r="AH347" s="350">
        <v>373320.19217722974</v>
      </c>
      <c r="AI347" s="350">
        <v>371561.530218795</v>
      </c>
      <c r="AJ347" s="350">
        <v>369348.56083803682</v>
      </c>
      <c r="AK347" s="348">
        <v>1865157.9640102945</v>
      </c>
      <c r="AL347" s="369"/>
      <c r="AM347" s="350">
        <v>11854696.734866204</v>
      </c>
      <c r="AN347" s="350">
        <v>11751804.041670421</v>
      </c>
      <c r="AO347" s="350">
        <v>11638828.818456793</v>
      </c>
      <c r="AP347" s="350">
        <v>11493345.906051632</v>
      </c>
      <c r="AQ347" s="350">
        <v>11296162.414219635</v>
      </c>
      <c r="AR347" s="348">
        <v>58034837.915264681</v>
      </c>
      <c r="AS347" s="369"/>
      <c r="AT347" s="350">
        <f t="shared" si="171"/>
        <v>11478555.147191945</v>
      </c>
      <c r="AU347" s="350">
        <f t="shared" si="154"/>
        <v>11377017.948568447</v>
      </c>
      <c r="AV347" s="350">
        <f t="shared" si="155"/>
        <v>11265508.626279563</v>
      </c>
      <c r="AW347" s="350">
        <f t="shared" si="156"/>
        <v>11121784.375832837</v>
      </c>
      <c r="AX347" s="350">
        <f t="shared" si="157"/>
        <v>10926813.853381598</v>
      </c>
      <c r="AY347" s="350">
        <f t="shared" si="158"/>
        <v>56169679.951254383</v>
      </c>
      <c r="AZ347" s="365"/>
      <c r="BA347" s="377">
        <f t="shared" si="159"/>
        <v>0</v>
      </c>
      <c r="BB347" s="377">
        <f t="shared" si="160"/>
        <v>0</v>
      </c>
      <c r="BC347" s="377">
        <f t="shared" si="161"/>
        <v>0</v>
      </c>
      <c r="BD347" s="377">
        <f t="shared" si="162"/>
        <v>0</v>
      </c>
      <c r="BE347" s="377">
        <f t="shared" si="163"/>
        <v>0</v>
      </c>
      <c r="BF347" s="377">
        <f t="shared" si="164"/>
        <v>0</v>
      </c>
      <c r="BG347" s="328"/>
    </row>
    <row r="348" spans="2:59">
      <c r="B348" s="332">
        <v>333</v>
      </c>
      <c r="C348" s="350">
        <v>4580770.328427217</v>
      </c>
      <c r="D348" s="350">
        <v>4564262.6900258129</v>
      </c>
      <c r="E348" s="350">
        <v>4546410.4884067168</v>
      </c>
      <c r="F348" s="350">
        <v>4524992.9510194166</v>
      </c>
      <c r="G348" s="350">
        <v>4498042.7152324757</v>
      </c>
      <c r="H348" s="348">
        <v>22714479.17311164</v>
      </c>
      <c r="I348" s="369"/>
      <c r="J348" s="350">
        <v>14516344.584485438</v>
      </c>
      <c r="K348" s="350">
        <v>14199189.134557229</v>
      </c>
      <c r="L348" s="350">
        <v>13873590.915056355</v>
      </c>
      <c r="M348" s="350">
        <v>13518263.64135243</v>
      </c>
      <c r="N348" s="350">
        <v>13115366.791568581</v>
      </c>
      <c r="O348" s="348">
        <v>69222755.067020029</v>
      </c>
      <c r="P348" s="369"/>
      <c r="Q348" s="350">
        <f t="shared" si="165"/>
        <v>9935574.2560582198</v>
      </c>
      <c r="R348" s="350">
        <f t="shared" si="166"/>
        <v>9634926.4445314147</v>
      </c>
      <c r="S348" s="350">
        <f t="shared" si="167"/>
        <v>9327180.4266496375</v>
      </c>
      <c r="T348" s="350">
        <f t="shared" si="168"/>
        <v>8993270.6903330125</v>
      </c>
      <c r="U348" s="350">
        <f t="shared" si="169"/>
        <v>8617324.0763361044</v>
      </c>
      <c r="V348" s="350">
        <f t="shared" si="170"/>
        <v>46508275.893908389</v>
      </c>
      <c r="W348" s="365"/>
      <c r="X348" s="377">
        <f t="shared" si="148"/>
        <v>0</v>
      </c>
      <c r="Y348" s="377">
        <f t="shared" si="149"/>
        <v>0</v>
      </c>
      <c r="Z348" s="377">
        <f t="shared" si="150"/>
        <v>0</v>
      </c>
      <c r="AA348" s="377">
        <f t="shared" si="151"/>
        <v>0</v>
      </c>
      <c r="AB348" s="377">
        <f t="shared" si="152"/>
        <v>0</v>
      </c>
      <c r="AC348" s="377">
        <f t="shared" si="153"/>
        <v>0</v>
      </c>
      <c r="AD348" s="376"/>
      <c r="AE348" s="332">
        <v>333</v>
      </c>
      <c r="AF348" s="350">
        <v>390287.2763876433</v>
      </c>
      <c r="AG348" s="350">
        <v>388880.80525520205</v>
      </c>
      <c r="AH348" s="350">
        <v>387359.77567984851</v>
      </c>
      <c r="AI348" s="350">
        <v>385534.97510385234</v>
      </c>
      <c r="AJ348" s="350">
        <v>383238.78180683969</v>
      </c>
      <c r="AK348" s="348">
        <v>1935301.6142333858</v>
      </c>
      <c r="AL348" s="369"/>
      <c r="AM348" s="350">
        <v>10684189.410373924</v>
      </c>
      <c r="AN348" s="350">
        <v>10589076.681053258</v>
      </c>
      <c r="AO348" s="350">
        <v>10484925.537371647</v>
      </c>
      <c r="AP348" s="350">
        <v>10351601.879831091</v>
      </c>
      <c r="AQ348" s="350">
        <v>10171878.354764583</v>
      </c>
      <c r="AR348" s="348">
        <v>52281671.863394499</v>
      </c>
      <c r="AS348" s="369"/>
      <c r="AT348" s="350">
        <f t="shared" si="171"/>
        <v>10293902.133986281</v>
      </c>
      <c r="AU348" s="350">
        <f t="shared" si="154"/>
        <v>10200195.875798056</v>
      </c>
      <c r="AV348" s="350">
        <f t="shared" si="155"/>
        <v>10097565.761691798</v>
      </c>
      <c r="AW348" s="350">
        <f t="shared" si="156"/>
        <v>9966066.9047272392</v>
      </c>
      <c r="AX348" s="350">
        <f t="shared" si="157"/>
        <v>9788639.572957743</v>
      </c>
      <c r="AY348" s="350">
        <f t="shared" si="158"/>
        <v>50346370.249161109</v>
      </c>
      <c r="AZ348" s="365"/>
      <c r="BA348" s="377">
        <f t="shared" si="159"/>
        <v>0</v>
      </c>
      <c r="BB348" s="377">
        <f t="shared" si="160"/>
        <v>0</v>
      </c>
      <c r="BC348" s="377">
        <f t="shared" si="161"/>
        <v>0</v>
      </c>
      <c r="BD348" s="377">
        <f t="shared" si="162"/>
        <v>0</v>
      </c>
      <c r="BE348" s="377">
        <f t="shared" si="163"/>
        <v>0</v>
      </c>
      <c r="BF348" s="377">
        <f t="shared" si="164"/>
        <v>0</v>
      </c>
      <c r="BG348" s="328"/>
    </row>
    <row r="349" spans="2:59">
      <c r="B349" s="332">
        <v>334</v>
      </c>
      <c r="C349" s="350">
        <v>5505909.4992973572</v>
      </c>
      <c r="D349" s="350">
        <v>5486067.9537561573</v>
      </c>
      <c r="E349" s="350">
        <v>5464610.2950152317</v>
      </c>
      <c r="F349" s="350">
        <v>5438867.2400053591</v>
      </c>
      <c r="G349" s="350">
        <v>5406474.0946195796</v>
      </c>
      <c r="H349" s="348">
        <v>27301929.082693685</v>
      </c>
      <c r="I349" s="369"/>
      <c r="J349" s="350">
        <v>17441791.590106115</v>
      </c>
      <c r="K349" s="350">
        <v>17060628.328845676</v>
      </c>
      <c r="L349" s="350">
        <v>16669322.727357909</v>
      </c>
      <c r="M349" s="350">
        <v>16242301.699670907</v>
      </c>
      <c r="N349" s="350">
        <v>15758132.092581926</v>
      </c>
      <c r="O349" s="348">
        <v>83172176.438562542</v>
      </c>
      <c r="P349" s="369"/>
      <c r="Q349" s="350">
        <f t="shared" si="165"/>
        <v>11935882.090808757</v>
      </c>
      <c r="R349" s="350">
        <f t="shared" si="166"/>
        <v>11574560.375089519</v>
      </c>
      <c r="S349" s="350">
        <f t="shared" si="167"/>
        <v>11204712.432342678</v>
      </c>
      <c r="T349" s="350">
        <f t="shared" si="168"/>
        <v>10803434.459665548</v>
      </c>
      <c r="U349" s="350">
        <f t="shared" si="169"/>
        <v>10351657.997962346</v>
      </c>
      <c r="V349" s="350">
        <f t="shared" si="170"/>
        <v>55870247.355868861</v>
      </c>
      <c r="W349" s="365"/>
      <c r="X349" s="377">
        <f t="shared" si="148"/>
        <v>0</v>
      </c>
      <c r="Y349" s="377">
        <f t="shared" si="149"/>
        <v>0</v>
      </c>
      <c r="Z349" s="377">
        <f t="shared" si="150"/>
        <v>0</v>
      </c>
      <c r="AA349" s="377">
        <f t="shared" si="151"/>
        <v>0</v>
      </c>
      <c r="AB349" s="377">
        <f t="shared" si="152"/>
        <v>0</v>
      </c>
      <c r="AC349" s="377">
        <f t="shared" si="153"/>
        <v>0</v>
      </c>
      <c r="AD349" s="376"/>
      <c r="AE349" s="332">
        <v>334</v>
      </c>
      <c r="AF349" s="350">
        <v>377803.227738716</v>
      </c>
      <c r="AG349" s="350">
        <v>376441.74514446955</v>
      </c>
      <c r="AH349" s="350">
        <v>374969.36846754223</v>
      </c>
      <c r="AI349" s="350">
        <v>373202.93745812838</v>
      </c>
      <c r="AJ349" s="350">
        <v>370980.19208156184</v>
      </c>
      <c r="AK349" s="348">
        <v>1873397.4708904179</v>
      </c>
      <c r="AL349" s="369"/>
      <c r="AM349" s="350">
        <v>10543643.001211505</v>
      </c>
      <c r="AN349" s="350">
        <v>10450122.454842577</v>
      </c>
      <c r="AO349" s="350">
        <v>10347675.427512176</v>
      </c>
      <c r="AP349" s="350">
        <v>10216421.662593752</v>
      </c>
      <c r="AQ349" s="350">
        <v>10039350.325920761</v>
      </c>
      <c r="AR349" s="348">
        <v>51597212.872080773</v>
      </c>
      <c r="AS349" s="369"/>
      <c r="AT349" s="350">
        <f t="shared" si="171"/>
        <v>10165839.77347279</v>
      </c>
      <c r="AU349" s="350">
        <f t="shared" si="154"/>
        <v>10073680.709698107</v>
      </c>
      <c r="AV349" s="350">
        <f t="shared" si="155"/>
        <v>9972706.0590446349</v>
      </c>
      <c r="AW349" s="350">
        <f t="shared" si="156"/>
        <v>9843218.7251356244</v>
      </c>
      <c r="AX349" s="350">
        <f t="shared" si="157"/>
        <v>9668370.1338391993</v>
      </c>
      <c r="AY349" s="350">
        <f t="shared" si="158"/>
        <v>49723815.401190355</v>
      </c>
      <c r="AZ349" s="365"/>
      <c r="BA349" s="377">
        <f t="shared" si="159"/>
        <v>0</v>
      </c>
      <c r="BB349" s="377">
        <f t="shared" si="160"/>
        <v>0</v>
      </c>
      <c r="BC349" s="377">
        <f t="shared" si="161"/>
        <v>0</v>
      </c>
      <c r="BD349" s="377">
        <f t="shared" si="162"/>
        <v>0</v>
      </c>
      <c r="BE349" s="377">
        <f t="shared" si="163"/>
        <v>0</v>
      </c>
      <c r="BF349" s="377">
        <f t="shared" si="164"/>
        <v>0</v>
      </c>
      <c r="BG349" s="328"/>
    </row>
    <row r="350" spans="2:59">
      <c r="B350" s="332">
        <v>335</v>
      </c>
      <c r="C350" s="350">
        <v>5187307.6426035296</v>
      </c>
      <c r="D350" s="350">
        <v>5168614.2367565827</v>
      </c>
      <c r="E350" s="350">
        <v>5148398.2348056985</v>
      </c>
      <c r="F350" s="350">
        <v>5124144.8129116921</v>
      </c>
      <c r="G350" s="350">
        <v>5093626.1110243713</v>
      </c>
      <c r="H350" s="348">
        <v>25722091.038101878</v>
      </c>
      <c r="I350" s="369"/>
      <c r="J350" s="350">
        <v>19954457.481650665</v>
      </c>
      <c r="K350" s="350">
        <v>19569966.477131456</v>
      </c>
      <c r="L350" s="350">
        <v>19172818.705622125</v>
      </c>
      <c r="M350" s="350">
        <v>18732091.081078872</v>
      </c>
      <c r="N350" s="350">
        <v>18221735.067134496</v>
      </c>
      <c r="O350" s="348">
        <v>95651068.812617615</v>
      </c>
      <c r="P350" s="369"/>
      <c r="Q350" s="350">
        <f t="shared" si="165"/>
        <v>14767149.839047136</v>
      </c>
      <c r="R350" s="350">
        <f t="shared" si="166"/>
        <v>14401352.240374874</v>
      </c>
      <c r="S350" s="350">
        <f t="shared" si="167"/>
        <v>14024420.470816426</v>
      </c>
      <c r="T350" s="350">
        <f t="shared" si="168"/>
        <v>13607946.268167179</v>
      </c>
      <c r="U350" s="350">
        <f t="shared" si="169"/>
        <v>13128108.956110124</v>
      </c>
      <c r="V350" s="350">
        <f t="shared" si="170"/>
        <v>69928977.774515733</v>
      </c>
      <c r="W350" s="365"/>
      <c r="X350" s="377">
        <f t="shared" si="148"/>
        <v>0</v>
      </c>
      <c r="Y350" s="377">
        <f t="shared" si="149"/>
        <v>0</v>
      </c>
      <c r="Z350" s="377">
        <f t="shared" si="150"/>
        <v>0</v>
      </c>
      <c r="AA350" s="377">
        <f t="shared" si="151"/>
        <v>0</v>
      </c>
      <c r="AB350" s="377">
        <f t="shared" si="152"/>
        <v>0</v>
      </c>
      <c r="AC350" s="377">
        <f t="shared" si="153"/>
        <v>0</v>
      </c>
      <c r="AD350" s="376"/>
      <c r="AE350" s="332">
        <v>335</v>
      </c>
      <c r="AF350" s="350">
        <v>337291.0238630317</v>
      </c>
      <c r="AG350" s="350">
        <v>336075.53435826057</v>
      </c>
      <c r="AH350" s="350">
        <v>334761.04205006798</v>
      </c>
      <c r="AI350" s="350">
        <v>333184.02713858965</v>
      </c>
      <c r="AJ350" s="350">
        <v>331199.62888890749</v>
      </c>
      <c r="AK350" s="348">
        <v>1672511.2562988573</v>
      </c>
      <c r="AL350" s="369"/>
      <c r="AM350" s="350">
        <v>12409832.684428114</v>
      </c>
      <c r="AN350" s="350">
        <v>12304741.447782753</v>
      </c>
      <c r="AO350" s="350">
        <v>12189042.03736374</v>
      </c>
      <c r="AP350" s="350">
        <v>12039174.551870069</v>
      </c>
      <c r="AQ350" s="350">
        <v>11834969.740509911</v>
      </c>
      <c r="AR350" s="348">
        <v>60777760.461954586</v>
      </c>
      <c r="AS350" s="369"/>
      <c r="AT350" s="350">
        <f t="shared" si="171"/>
        <v>12072541.660565082</v>
      </c>
      <c r="AU350" s="350">
        <f t="shared" si="154"/>
        <v>11968665.913424492</v>
      </c>
      <c r="AV350" s="350">
        <f t="shared" si="155"/>
        <v>11854280.995313672</v>
      </c>
      <c r="AW350" s="350">
        <f t="shared" si="156"/>
        <v>11705990.52473148</v>
      </c>
      <c r="AX350" s="350">
        <f t="shared" si="157"/>
        <v>11503770.111621004</v>
      </c>
      <c r="AY350" s="350">
        <f t="shared" si="158"/>
        <v>59105249.205655731</v>
      </c>
      <c r="AZ350" s="365"/>
      <c r="BA350" s="377">
        <f t="shared" si="159"/>
        <v>0</v>
      </c>
      <c r="BB350" s="377">
        <f t="shared" si="160"/>
        <v>0</v>
      </c>
      <c r="BC350" s="377">
        <f t="shared" si="161"/>
        <v>0</v>
      </c>
      <c r="BD350" s="377">
        <f t="shared" si="162"/>
        <v>0</v>
      </c>
      <c r="BE350" s="377">
        <f t="shared" si="163"/>
        <v>0</v>
      </c>
      <c r="BF350" s="377">
        <f t="shared" si="164"/>
        <v>0</v>
      </c>
      <c r="BG350" s="328"/>
    </row>
    <row r="351" spans="2:59">
      <c r="B351" s="332">
        <v>336</v>
      </c>
      <c r="C351" s="350">
        <v>9305645.1023334004</v>
      </c>
      <c r="D351" s="350">
        <v>9272110.5189713351</v>
      </c>
      <c r="E351" s="350">
        <v>9235844.5111490972</v>
      </c>
      <c r="F351" s="350">
        <v>9192335.6714556217</v>
      </c>
      <c r="G351" s="350">
        <v>9137587.3842295371</v>
      </c>
      <c r="H351" s="348">
        <v>46143523.188138992</v>
      </c>
      <c r="I351" s="369"/>
      <c r="J351" s="350">
        <v>26800319.91975667</v>
      </c>
      <c r="K351" s="350">
        <v>26175412.600799579</v>
      </c>
      <c r="L351" s="350">
        <v>25535722.027145766</v>
      </c>
      <c r="M351" s="350">
        <v>24843220.601042196</v>
      </c>
      <c r="N351" s="350">
        <v>24066136.857571114</v>
      </c>
      <c r="O351" s="348">
        <v>127420812.00631532</v>
      </c>
      <c r="P351" s="369"/>
      <c r="Q351" s="350">
        <f t="shared" si="165"/>
        <v>17494674.817423269</v>
      </c>
      <c r="R351" s="350">
        <f t="shared" si="166"/>
        <v>16903302.081828244</v>
      </c>
      <c r="S351" s="350">
        <f t="shared" si="167"/>
        <v>16299877.515996668</v>
      </c>
      <c r="T351" s="350">
        <f t="shared" si="168"/>
        <v>15650884.929586574</v>
      </c>
      <c r="U351" s="350">
        <f t="shared" si="169"/>
        <v>14928549.473341577</v>
      </c>
      <c r="V351" s="350">
        <f t="shared" si="170"/>
        <v>81277288.818176329</v>
      </c>
      <c r="W351" s="365"/>
      <c r="X351" s="377">
        <f t="shared" si="148"/>
        <v>0</v>
      </c>
      <c r="Y351" s="377">
        <f t="shared" si="149"/>
        <v>0</v>
      </c>
      <c r="Z351" s="377">
        <f t="shared" si="150"/>
        <v>0</v>
      </c>
      <c r="AA351" s="377">
        <f t="shared" si="151"/>
        <v>0</v>
      </c>
      <c r="AB351" s="377">
        <f t="shared" si="152"/>
        <v>0</v>
      </c>
      <c r="AC351" s="377">
        <f t="shared" si="153"/>
        <v>0</v>
      </c>
      <c r="AD351" s="376"/>
      <c r="AE351" s="332">
        <v>336</v>
      </c>
      <c r="AF351" s="350">
        <v>440860.46663321252</v>
      </c>
      <c r="AG351" s="350">
        <v>439271.74581839831</v>
      </c>
      <c r="AH351" s="350">
        <v>437553.62214662554</v>
      </c>
      <c r="AI351" s="350">
        <v>435492.36501087621</v>
      </c>
      <c r="AJ351" s="350">
        <v>432898.63236919092</v>
      </c>
      <c r="AK351" s="348">
        <v>2186076.8319783034</v>
      </c>
      <c r="AL351" s="369"/>
      <c r="AM351" s="350">
        <v>13392563.502369512</v>
      </c>
      <c r="AN351" s="350">
        <v>13275584.1266819</v>
      </c>
      <c r="AO351" s="350">
        <v>13147229.337026831</v>
      </c>
      <c r="AP351" s="350">
        <v>12982188.699976813</v>
      </c>
      <c r="AQ351" s="350">
        <v>12758801.381947182</v>
      </c>
      <c r="AR351" s="348">
        <v>65556367.048002236</v>
      </c>
      <c r="AS351" s="369"/>
      <c r="AT351" s="350">
        <f t="shared" si="171"/>
        <v>12951703.0357363</v>
      </c>
      <c r="AU351" s="350">
        <f t="shared" si="154"/>
        <v>12836312.380863501</v>
      </c>
      <c r="AV351" s="350">
        <f t="shared" si="155"/>
        <v>12709675.714880206</v>
      </c>
      <c r="AW351" s="350">
        <f t="shared" si="156"/>
        <v>12546696.334965937</v>
      </c>
      <c r="AX351" s="350">
        <f t="shared" si="157"/>
        <v>12325902.749577992</v>
      </c>
      <c r="AY351" s="350">
        <f t="shared" si="158"/>
        <v>63370290.216023929</v>
      </c>
      <c r="AZ351" s="365"/>
      <c r="BA351" s="377">
        <f t="shared" si="159"/>
        <v>0</v>
      </c>
      <c r="BB351" s="377">
        <f t="shared" si="160"/>
        <v>0</v>
      </c>
      <c r="BC351" s="377">
        <f t="shared" si="161"/>
        <v>0</v>
      </c>
      <c r="BD351" s="377">
        <f t="shared" si="162"/>
        <v>0</v>
      </c>
      <c r="BE351" s="377">
        <f t="shared" si="163"/>
        <v>0</v>
      </c>
      <c r="BF351" s="377">
        <f t="shared" si="164"/>
        <v>0</v>
      </c>
      <c r="BG351" s="328"/>
    </row>
    <row r="352" spans="2:59">
      <c r="B352" s="332">
        <v>337</v>
      </c>
      <c r="C352" s="350">
        <v>4376022.7689729845</v>
      </c>
      <c r="D352" s="350">
        <v>4360252.9756135084</v>
      </c>
      <c r="E352" s="350">
        <v>4343198.7172332853</v>
      </c>
      <c r="F352" s="350">
        <v>4322738.4835733417</v>
      </c>
      <c r="G352" s="350">
        <v>4296992.8475826085</v>
      </c>
      <c r="H352" s="348">
        <v>21699205.792975731</v>
      </c>
      <c r="I352" s="369"/>
      <c r="J352" s="350">
        <v>15073556.582867328</v>
      </c>
      <c r="K352" s="350">
        <v>14761884.636458805</v>
      </c>
      <c r="L352" s="350">
        <v>14441085.275321949</v>
      </c>
      <c r="M352" s="350">
        <v>14088484.860370059</v>
      </c>
      <c r="N352" s="350">
        <v>13685035.095531849</v>
      </c>
      <c r="O352" s="348">
        <v>72050046.45054999</v>
      </c>
      <c r="P352" s="369"/>
      <c r="Q352" s="350">
        <f t="shared" si="165"/>
        <v>10697533.813894343</v>
      </c>
      <c r="R352" s="350">
        <f t="shared" si="166"/>
        <v>10401631.660845296</v>
      </c>
      <c r="S352" s="350">
        <f t="shared" si="167"/>
        <v>10097886.558088664</v>
      </c>
      <c r="T352" s="350">
        <f t="shared" si="168"/>
        <v>9765746.3767967168</v>
      </c>
      <c r="U352" s="350">
        <f t="shared" si="169"/>
        <v>9388042.2479492407</v>
      </c>
      <c r="V352" s="350">
        <f t="shared" si="170"/>
        <v>50350840.657574259</v>
      </c>
      <c r="W352" s="365"/>
      <c r="X352" s="377">
        <f t="shared" si="148"/>
        <v>0</v>
      </c>
      <c r="Y352" s="377">
        <f t="shared" si="149"/>
        <v>0</v>
      </c>
      <c r="Z352" s="377">
        <f t="shared" si="150"/>
        <v>0</v>
      </c>
      <c r="AA352" s="377">
        <f t="shared" si="151"/>
        <v>0</v>
      </c>
      <c r="AB352" s="377">
        <f t="shared" si="152"/>
        <v>0</v>
      </c>
      <c r="AC352" s="377">
        <f t="shared" si="153"/>
        <v>0</v>
      </c>
      <c r="AD352" s="376"/>
      <c r="AE352" s="332">
        <v>337</v>
      </c>
      <c r="AF352" s="350">
        <v>595825.80337457277</v>
      </c>
      <c r="AG352" s="350">
        <v>593678.63680494681</v>
      </c>
      <c r="AH352" s="350">
        <v>591356.58142799558</v>
      </c>
      <c r="AI352" s="350">
        <v>588570.77893078222</v>
      </c>
      <c r="AJ352" s="350">
        <v>585065.33230551984</v>
      </c>
      <c r="AK352" s="348">
        <v>2954497.1328438171</v>
      </c>
      <c r="AL352" s="369"/>
      <c r="AM352" s="350">
        <v>19289000.220470533</v>
      </c>
      <c r="AN352" s="350">
        <v>19122333.261001181</v>
      </c>
      <c r="AO352" s="350">
        <v>18939245.477826525</v>
      </c>
      <c r="AP352" s="350">
        <v>18703224.195722122</v>
      </c>
      <c r="AQ352" s="350">
        <v>18383018.039253671</v>
      </c>
      <c r="AR352" s="348">
        <v>94436821.194274023</v>
      </c>
      <c r="AS352" s="369"/>
      <c r="AT352" s="350">
        <f t="shared" si="171"/>
        <v>18693174.417095959</v>
      </c>
      <c r="AU352" s="350">
        <f t="shared" si="154"/>
        <v>18528654.624196235</v>
      </c>
      <c r="AV352" s="350">
        <f t="shared" si="155"/>
        <v>18347888.896398529</v>
      </c>
      <c r="AW352" s="350">
        <f t="shared" si="156"/>
        <v>18114653.416791338</v>
      </c>
      <c r="AX352" s="350">
        <f t="shared" si="157"/>
        <v>17797952.70694815</v>
      </c>
      <c r="AY352" s="350">
        <f t="shared" si="158"/>
        <v>91482324.061430201</v>
      </c>
      <c r="AZ352" s="365"/>
      <c r="BA352" s="377">
        <f t="shared" si="159"/>
        <v>0</v>
      </c>
      <c r="BB352" s="377">
        <f t="shared" si="160"/>
        <v>0</v>
      </c>
      <c r="BC352" s="377">
        <f t="shared" si="161"/>
        <v>0</v>
      </c>
      <c r="BD352" s="377">
        <f t="shared" si="162"/>
        <v>0</v>
      </c>
      <c r="BE352" s="377">
        <f t="shared" si="163"/>
        <v>0</v>
      </c>
      <c r="BF352" s="377">
        <f t="shared" si="164"/>
        <v>0</v>
      </c>
      <c r="BG352" s="328"/>
    </row>
    <row r="353" spans="2:59">
      <c r="B353" s="332">
        <v>338</v>
      </c>
      <c r="C353" s="350">
        <v>6492262.0303318268</v>
      </c>
      <c r="D353" s="350">
        <v>6468865.984182382</v>
      </c>
      <c r="E353" s="350">
        <v>6443564.3072984247</v>
      </c>
      <c r="F353" s="350">
        <v>6413209.5296533043</v>
      </c>
      <c r="G353" s="350">
        <v>6375013.3355716597</v>
      </c>
      <c r="H353" s="348">
        <v>32192915.187037595</v>
      </c>
      <c r="I353" s="369"/>
      <c r="J353" s="350">
        <v>18814685.994755238</v>
      </c>
      <c r="K353" s="350">
        <v>18377864.65854913</v>
      </c>
      <c r="L353" s="350">
        <v>17930626.53740292</v>
      </c>
      <c r="M353" s="350">
        <v>17446214.19892098</v>
      </c>
      <c r="N353" s="350">
        <v>16902267.264458749</v>
      </c>
      <c r="O353" s="348">
        <v>89471658.654087007</v>
      </c>
      <c r="P353" s="369"/>
      <c r="Q353" s="350">
        <f t="shared" si="165"/>
        <v>12322423.964423411</v>
      </c>
      <c r="R353" s="350">
        <f t="shared" si="166"/>
        <v>11908998.674366748</v>
      </c>
      <c r="S353" s="350">
        <f t="shared" si="167"/>
        <v>11487062.230104495</v>
      </c>
      <c r="T353" s="350">
        <f t="shared" si="168"/>
        <v>11033004.669267677</v>
      </c>
      <c r="U353" s="350">
        <f t="shared" si="169"/>
        <v>10527253.92888709</v>
      </c>
      <c r="V353" s="350">
        <f t="shared" si="170"/>
        <v>57278743.467049412</v>
      </c>
      <c r="W353" s="365"/>
      <c r="X353" s="377">
        <f t="shared" si="148"/>
        <v>0</v>
      </c>
      <c r="Y353" s="377">
        <f t="shared" si="149"/>
        <v>0</v>
      </c>
      <c r="Z353" s="377">
        <f t="shared" si="150"/>
        <v>0</v>
      </c>
      <c r="AA353" s="377">
        <f t="shared" si="151"/>
        <v>0</v>
      </c>
      <c r="AB353" s="377">
        <f t="shared" si="152"/>
        <v>0</v>
      </c>
      <c r="AC353" s="377">
        <f t="shared" si="153"/>
        <v>0</v>
      </c>
      <c r="AD353" s="376"/>
      <c r="AE353" s="332">
        <v>338</v>
      </c>
      <c r="AF353" s="350">
        <v>309939.96290960797</v>
      </c>
      <c r="AG353" s="350">
        <v>308823.03792384616</v>
      </c>
      <c r="AH353" s="350">
        <v>307615.13831068715</v>
      </c>
      <c r="AI353" s="350">
        <v>306166.0041547484</v>
      </c>
      <c r="AJ353" s="350">
        <v>304342.52153472422</v>
      </c>
      <c r="AK353" s="348">
        <v>1536886.6648336137</v>
      </c>
      <c r="AL353" s="369"/>
      <c r="AM353" s="350">
        <v>10378787.393259088</v>
      </c>
      <c r="AN353" s="350">
        <v>10289603.626812344</v>
      </c>
      <c r="AO353" s="350">
        <v>10191574.251661504</v>
      </c>
      <c r="AP353" s="350">
        <v>10065037.012426428</v>
      </c>
      <c r="AQ353" s="350">
        <v>9893161.9136364479</v>
      </c>
      <c r="AR353" s="348">
        <v>50818164.197795808</v>
      </c>
      <c r="AS353" s="369"/>
      <c r="AT353" s="350">
        <f t="shared" si="171"/>
        <v>10068847.43034948</v>
      </c>
      <c r="AU353" s="350">
        <f t="shared" si="154"/>
        <v>9980780.588888498</v>
      </c>
      <c r="AV353" s="350">
        <f t="shared" si="155"/>
        <v>9883959.1133508161</v>
      </c>
      <c r="AW353" s="350">
        <f t="shared" si="156"/>
        <v>9758871.0082716793</v>
      </c>
      <c r="AX353" s="350">
        <f t="shared" si="157"/>
        <v>9588819.3921017237</v>
      </c>
      <c r="AY353" s="350">
        <f t="shared" si="158"/>
        <v>49281277.532962196</v>
      </c>
      <c r="AZ353" s="365"/>
      <c r="BA353" s="377">
        <f t="shared" si="159"/>
        <v>0</v>
      </c>
      <c r="BB353" s="377">
        <f t="shared" si="160"/>
        <v>0</v>
      </c>
      <c r="BC353" s="377">
        <f t="shared" si="161"/>
        <v>0</v>
      </c>
      <c r="BD353" s="377">
        <f t="shared" si="162"/>
        <v>0</v>
      </c>
      <c r="BE353" s="377">
        <f t="shared" si="163"/>
        <v>0</v>
      </c>
      <c r="BF353" s="377">
        <f t="shared" si="164"/>
        <v>0</v>
      </c>
      <c r="BG353" s="328"/>
    </row>
    <row r="354" spans="2:59">
      <c r="B354" s="332">
        <v>339</v>
      </c>
      <c r="C354" s="350">
        <v>6450747.5310564395</v>
      </c>
      <c r="D354" s="350">
        <v>6427501.089950107</v>
      </c>
      <c r="E354" s="350">
        <v>6402361.2035856545</v>
      </c>
      <c r="F354" s="350">
        <v>6372200.5283024944</v>
      </c>
      <c r="G354" s="350">
        <v>6334248.5781937707</v>
      </c>
      <c r="H354" s="348">
        <v>31987058.93108847</v>
      </c>
      <c r="I354" s="369"/>
      <c r="J354" s="350">
        <v>20785293.195181876</v>
      </c>
      <c r="K354" s="350">
        <v>20336195.096514862</v>
      </c>
      <c r="L354" s="350">
        <v>19874905.623556238</v>
      </c>
      <c r="M354" s="350">
        <v>19370783.70953232</v>
      </c>
      <c r="N354" s="350">
        <v>18798135.57615535</v>
      </c>
      <c r="O354" s="348">
        <v>99165313.200940654</v>
      </c>
      <c r="P354" s="369"/>
      <c r="Q354" s="350">
        <f t="shared" si="165"/>
        <v>14334545.664125437</v>
      </c>
      <c r="R354" s="350">
        <f t="shared" si="166"/>
        <v>13908694.006564755</v>
      </c>
      <c r="S354" s="350">
        <f t="shared" si="167"/>
        <v>13472544.419970583</v>
      </c>
      <c r="T354" s="350">
        <f t="shared" si="168"/>
        <v>12998583.181229826</v>
      </c>
      <c r="U354" s="350">
        <f t="shared" si="169"/>
        <v>12463886.997961579</v>
      </c>
      <c r="V354" s="350">
        <f t="shared" si="170"/>
        <v>67178254.269852191</v>
      </c>
      <c r="W354" s="365"/>
      <c r="X354" s="377">
        <f t="shared" si="148"/>
        <v>0</v>
      </c>
      <c r="Y354" s="377">
        <f t="shared" si="149"/>
        <v>0</v>
      </c>
      <c r="Z354" s="377">
        <f t="shared" si="150"/>
        <v>0</v>
      </c>
      <c r="AA354" s="377">
        <f t="shared" si="151"/>
        <v>0</v>
      </c>
      <c r="AB354" s="377">
        <f t="shared" si="152"/>
        <v>0</v>
      </c>
      <c r="AC354" s="377">
        <f t="shared" si="153"/>
        <v>0</v>
      </c>
      <c r="AD354" s="376"/>
      <c r="AE354" s="332">
        <v>339</v>
      </c>
      <c r="AF354" s="350">
        <v>613832.89815893327</v>
      </c>
      <c r="AG354" s="350">
        <v>611620.83975058852</v>
      </c>
      <c r="AH354" s="350">
        <v>609228.60703148379</v>
      </c>
      <c r="AI354" s="350">
        <v>606358.6117897908</v>
      </c>
      <c r="AJ354" s="350">
        <v>602747.22327801562</v>
      </c>
      <c r="AK354" s="348">
        <v>3043788.1800088119</v>
      </c>
      <c r="AL354" s="369"/>
      <c r="AM354" s="350">
        <v>20782204.177277569</v>
      </c>
      <c r="AN354" s="350">
        <v>20603939.691232279</v>
      </c>
      <c r="AO354" s="350">
        <v>20407956.570827883</v>
      </c>
      <c r="AP354" s="350">
        <v>20154873.482566461</v>
      </c>
      <c r="AQ354" s="350">
        <v>19810981.17707596</v>
      </c>
      <c r="AR354" s="348">
        <v>101759955.09898016</v>
      </c>
      <c r="AS354" s="369"/>
      <c r="AT354" s="350">
        <f t="shared" si="171"/>
        <v>20168371.279118635</v>
      </c>
      <c r="AU354" s="350">
        <f t="shared" si="154"/>
        <v>19992318.851481691</v>
      </c>
      <c r="AV354" s="350">
        <f t="shared" si="155"/>
        <v>19798727.9637964</v>
      </c>
      <c r="AW354" s="350">
        <f t="shared" si="156"/>
        <v>19548514.870776672</v>
      </c>
      <c r="AX354" s="350">
        <f t="shared" si="157"/>
        <v>19208233.953797944</v>
      </c>
      <c r="AY354" s="350">
        <f t="shared" si="158"/>
        <v>98716166.918971345</v>
      </c>
      <c r="AZ354" s="365"/>
      <c r="BA354" s="377">
        <f t="shared" si="159"/>
        <v>0</v>
      </c>
      <c r="BB354" s="377">
        <f t="shared" si="160"/>
        <v>0</v>
      </c>
      <c r="BC354" s="377">
        <f t="shared" si="161"/>
        <v>0</v>
      </c>
      <c r="BD354" s="377">
        <f t="shared" si="162"/>
        <v>0</v>
      </c>
      <c r="BE354" s="377">
        <f t="shared" si="163"/>
        <v>0</v>
      </c>
      <c r="BF354" s="377">
        <f t="shared" si="164"/>
        <v>0</v>
      </c>
      <c r="BG354" s="328"/>
    </row>
    <row r="355" spans="2:59">
      <c r="B355" s="332">
        <v>340</v>
      </c>
      <c r="C355" s="350">
        <v>6439527.258118839</v>
      </c>
      <c r="D355" s="350">
        <v>6416321.2513052383</v>
      </c>
      <c r="E355" s="350">
        <v>6391225.0926460298</v>
      </c>
      <c r="F355" s="350">
        <v>6361116.8781059105</v>
      </c>
      <c r="G355" s="350">
        <v>6323230.9406936541</v>
      </c>
      <c r="H355" s="348">
        <v>31931421.420869671</v>
      </c>
      <c r="I355" s="369"/>
      <c r="J355" s="350">
        <v>17063271.079853479</v>
      </c>
      <c r="K355" s="350">
        <v>16641519.526828658</v>
      </c>
      <c r="L355" s="350">
        <v>16210843.470861135</v>
      </c>
      <c r="M355" s="350">
        <v>15747802.826637059</v>
      </c>
      <c r="N355" s="350">
        <v>15232876.674000323</v>
      </c>
      <c r="O355" s="348">
        <v>80896313.578180656</v>
      </c>
      <c r="P355" s="369"/>
      <c r="Q355" s="350">
        <f t="shared" si="165"/>
        <v>10623743.821734641</v>
      </c>
      <c r="R355" s="350">
        <f t="shared" si="166"/>
        <v>10225198.27552342</v>
      </c>
      <c r="S355" s="350">
        <f t="shared" si="167"/>
        <v>9819618.3782151043</v>
      </c>
      <c r="T355" s="350">
        <f t="shared" si="168"/>
        <v>9386685.948531149</v>
      </c>
      <c r="U355" s="350">
        <f t="shared" si="169"/>
        <v>8909645.7333066687</v>
      </c>
      <c r="V355" s="350">
        <f t="shared" si="170"/>
        <v>48964892.157310985</v>
      </c>
      <c r="W355" s="365"/>
      <c r="X355" s="377">
        <f t="shared" si="148"/>
        <v>0</v>
      </c>
      <c r="Y355" s="377">
        <f t="shared" si="149"/>
        <v>0</v>
      </c>
      <c r="Z355" s="377">
        <f t="shared" si="150"/>
        <v>0</v>
      </c>
      <c r="AA355" s="377">
        <f t="shared" si="151"/>
        <v>0</v>
      </c>
      <c r="AB355" s="377">
        <f t="shared" si="152"/>
        <v>0</v>
      </c>
      <c r="AC355" s="377">
        <f t="shared" si="153"/>
        <v>0</v>
      </c>
      <c r="AD355" s="376"/>
      <c r="AE355" s="332">
        <v>340</v>
      </c>
      <c r="AF355" s="350">
        <v>572065.40500148805</v>
      </c>
      <c r="AG355" s="350">
        <v>570003.86334568541</v>
      </c>
      <c r="AH355" s="350">
        <v>567774.40711514291</v>
      </c>
      <c r="AI355" s="350">
        <v>565099.69711635378</v>
      </c>
      <c r="AJ355" s="350">
        <v>561734.04102688236</v>
      </c>
      <c r="AK355" s="348">
        <v>2836677.4136055526</v>
      </c>
      <c r="AL355" s="369"/>
      <c r="AM355" s="350">
        <v>21429697.094332039</v>
      </c>
      <c r="AN355" s="350">
        <v>21248703.749384273</v>
      </c>
      <c r="AO355" s="350">
        <v>21049382.035989657</v>
      </c>
      <c r="AP355" s="350">
        <v>20791032.407835234</v>
      </c>
      <c r="AQ355" s="350">
        <v>20438811.693048902</v>
      </c>
      <c r="AR355" s="348">
        <v>104957626.98059011</v>
      </c>
      <c r="AS355" s="369"/>
      <c r="AT355" s="350">
        <f t="shared" si="171"/>
        <v>20857631.689330552</v>
      </c>
      <c r="AU355" s="350">
        <f t="shared" si="154"/>
        <v>20678699.886038586</v>
      </c>
      <c r="AV355" s="350">
        <f t="shared" si="155"/>
        <v>20481607.628874514</v>
      </c>
      <c r="AW355" s="350">
        <f t="shared" si="156"/>
        <v>20225932.710718881</v>
      </c>
      <c r="AX355" s="350">
        <f t="shared" si="157"/>
        <v>19877077.652022019</v>
      </c>
      <c r="AY355" s="350">
        <f t="shared" si="158"/>
        <v>102120949.56698455</v>
      </c>
      <c r="AZ355" s="365"/>
      <c r="BA355" s="377">
        <f t="shared" si="159"/>
        <v>0</v>
      </c>
      <c r="BB355" s="377">
        <f t="shared" si="160"/>
        <v>0</v>
      </c>
      <c r="BC355" s="377">
        <f t="shared" si="161"/>
        <v>0</v>
      </c>
      <c r="BD355" s="377">
        <f t="shared" si="162"/>
        <v>0</v>
      </c>
      <c r="BE355" s="377">
        <f t="shared" si="163"/>
        <v>0</v>
      </c>
      <c r="BF355" s="377">
        <f t="shared" si="164"/>
        <v>0</v>
      </c>
      <c r="BG355" s="328"/>
    </row>
    <row r="356" spans="2:59">
      <c r="B356" s="332">
        <v>341</v>
      </c>
      <c r="C356" s="350">
        <v>4371850.784609966</v>
      </c>
      <c r="D356" s="350">
        <v>4356096.0257543698</v>
      </c>
      <c r="E356" s="350">
        <v>4339058.0264530033</v>
      </c>
      <c r="F356" s="350">
        <v>4318617.2990386626</v>
      </c>
      <c r="G356" s="350">
        <v>4292896.2082563154</v>
      </c>
      <c r="H356" s="348">
        <v>21678518.344112318</v>
      </c>
      <c r="I356" s="369"/>
      <c r="J356" s="350">
        <v>16804954.431077614</v>
      </c>
      <c r="K356" s="350">
        <v>16480997.235752452</v>
      </c>
      <c r="L356" s="350">
        <v>16146384.05582138</v>
      </c>
      <c r="M356" s="350">
        <v>15775077.451206621</v>
      </c>
      <c r="N356" s="350">
        <v>15345144.751376379</v>
      </c>
      <c r="O356" s="348">
        <v>80552557.925234437</v>
      </c>
      <c r="P356" s="369"/>
      <c r="Q356" s="350">
        <f t="shared" si="165"/>
        <v>12433103.646467648</v>
      </c>
      <c r="R356" s="350">
        <f t="shared" si="166"/>
        <v>12124901.209998082</v>
      </c>
      <c r="S356" s="350">
        <f t="shared" si="167"/>
        <v>11807326.029368376</v>
      </c>
      <c r="T356" s="350">
        <f t="shared" si="168"/>
        <v>11456460.152167957</v>
      </c>
      <c r="U356" s="350">
        <f t="shared" si="169"/>
        <v>11052248.543120064</v>
      </c>
      <c r="V356" s="350">
        <f t="shared" si="170"/>
        <v>58874039.581122115</v>
      </c>
      <c r="W356" s="365"/>
      <c r="X356" s="377">
        <f t="shared" si="148"/>
        <v>0</v>
      </c>
      <c r="Y356" s="377">
        <f t="shared" si="149"/>
        <v>0</v>
      </c>
      <c r="Z356" s="377">
        <f t="shared" si="150"/>
        <v>0</v>
      </c>
      <c r="AA356" s="377">
        <f t="shared" si="151"/>
        <v>0</v>
      </c>
      <c r="AB356" s="377">
        <f t="shared" si="152"/>
        <v>0</v>
      </c>
      <c r="AC356" s="377">
        <f t="shared" si="153"/>
        <v>0</v>
      </c>
      <c r="AD356" s="376"/>
      <c r="AE356" s="332">
        <v>341</v>
      </c>
      <c r="AF356" s="350">
        <v>449430.5358530638</v>
      </c>
      <c r="AG356" s="350">
        <v>447810.93123626575</v>
      </c>
      <c r="AH356" s="350">
        <v>446059.40824677277</v>
      </c>
      <c r="AI356" s="350">
        <v>443958.08147976763</v>
      </c>
      <c r="AJ356" s="350">
        <v>441313.92819490965</v>
      </c>
      <c r="AK356" s="348">
        <v>2228572.8850107798</v>
      </c>
      <c r="AL356" s="369"/>
      <c r="AM356" s="350">
        <v>13400028.01012297</v>
      </c>
      <c r="AN356" s="350">
        <v>13282597.215355717</v>
      </c>
      <c r="AO356" s="350">
        <v>13153792.553009912</v>
      </c>
      <c r="AP356" s="350">
        <v>12988301.956107002</v>
      </c>
      <c r="AQ356" s="350">
        <v>12764463.956769818</v>
      </c>
      <c r="AR356" s="348">
        <v>65589183.691365413</v>
      </c>
      <c r="AS356" s="369"/>
      <c r="AT356" s="350">
        <f t="shared" si="171"/>
        <v>12950597.474269906</v>
      </c>
      <c r="AU356" s="350">
        <f t="shared" si="154"/>
        <v>12834786.284119451</v>
      </c>
      <c r="AV356" s="350">
        <f t="shared" si="155"/>
        <v>12707733.14476314</v>
      </c>
      <c r="AW356" s="350">
        <f t="shared" si="156"/>
        <v>12544343.874627234</v>
      </c>
      <c r="AX356" s="350">
        <f t="shared" si="157"/>
        <v>12323150.028574908</v>
      </c>
      <c r="AY356" s="350">
        <f t="shared" si="158"/>
        <v>63360610.806354634</v>
      </c>
      <c r="AZ356" s="365"/>
      <c r="BA356" s="377">
        <f t="shared" si="159"/>
        <v>0</v>
      </c>
      <c r="BB356" s="377">
        <f t="shared" si="160"/>
        <v>0</v>
      </c>
      <c r="BC356" s="377">
        <f t="shared" si="161"/>
        <v>0</v>
      </c>
      <c r="BD356" s="377">
        <f t="shared" si="162"/>
        <v>0</v>
      </c>
      <c r="BE356" s="377">
        <f t="shared" si="163"/>
        <v>0</v>
      </c>
      <c r="BF356" s="377">
        <f t="shared" si="164"/>
        <v>0</v>
      </c>
      <c r="BG356" s="328"/>
    </row>
    <row r="357" spans="2:59">
      <c r="B357" s="332">
        <v>342</v>
      </c>
      <c r="C357" s="350">
        <v>5374756.4910703506</v>
      </c>
      <c r="D357" s="350">
        <v>5355387.5792304408</v>
      </c>
      <c r="E357" s="350">
        <v>5334441.0506658703</v>
      </c>
      <c r="F357" s="350">
        <v>5309311.2057180097</v>
      </c>
      <c r="G357" s="350">
        <v>5277689.6782572642</v>
      </c>
      <c r="H357" s="348">
        <v>26651586.004941937</v>
      </c>
      <c r="I357" s="369"/>
      <c r="J357" s="350">
        <v>19375473.28834172</v>
      </c>
      <c r="K357" s="350">
        <v>18986458.296925973</v>
      </c>
      <c r="L357" s="350">
        <v>18585473.966563549</v>
      </c>
      <c r="M357" s="350">
        <v>18143000.865541633</v>
      </c>
      <c r="N357" s="350">
        <v>17634210.659922648</v>
      </c>
      <c r="O357" s="348">
        <v>92724617.077295527</v>
      </c>
      <c r="P357" s="369"/>
      <c r="Q357" s="350">
        <f t="shared" si="165"/>
        <v>14000716.797271369</v>
      </c>
      <c r="R357" s="350">
        <f t="shared" si="166"/>
        <v>13631070.717695532</v>
      </c>
      <c r="S357" s="350">
        <f t="shared" si="167"/>
        <v>13251032.915897679</v>
      </c>
      <c r="T357" s="350">
        <f t="shared" si="168"/>
        <v>12833689.659823623</v>
      </c>
      <c r="U357" s="350">
        <f t="shared" si="169"/>
        <v>12356520.981665384</v>
      </c>
      <c r="V357" s="350">
        <f t="shared" si="170"/>
        <v>66073031.072353587</v>
      </c>
      <c r="W357" s="365"/>
      <c r="X357" s="377">
        <f t="shared" si="148"/>
        <v>0</v>
      </c>
      <c r="Y357" s="377">
        <f t="shared" si="149"/>
        <v>0</v>
      </c>
      <c r="Z357" s="377">
        <f t="shared" si="150"/>
        <v>0</v>
      </c>
      <c r="AA357" s="377">
        <f t="shared" si="151"/>
        <v>0</v>
      </c>
      <c r="AB357" s="377">
        <f t="shared" si="152"/>
        <v>0</v>
      </c>
      <c r="AC357" s="377">
        <f t="shared" si="153"/>
        <v>0</v>
      </c>
      <c r="AD357" s="376"/>
      <c r="AE357" s="332">
        <v>342</v>
      </c>
      <c r="AF357" s="350">
        <v>413108.9226811335</v>
      </c>
      <c r="AG357" s="350">
        <v>411620.20959859935</v>
      </c>
      <c r="AH357" s="350">
        <v>410010.23938625667</v>
      </c>
      <c r="AI357" s="350">
        <v>408078.73547704658</v>
      </c>
      <c r="AJ357" s="350">
        <v>405648.27464323136</v>
      </c>
      <c r="AK357" s="348">
        <v>2048466.3817862675</v>
      </c>
      <c r="AL357" s="369"/>
      <c r="AM357" s="350">
        <v>12867665.090806799</v>
      </c>
      <c r="AN357" s="350">
        <v>12755756.418229859</v>
      </c>
      <c r="AO357" s="350">
        <v>12632908.249335287</v>
      </c>
      <c r="AP357" s="350">
        <v>12474786.456635235</v>
      </c>
      <c r="AQ357" s="350">
        <v>12260564.774702473</v>
      </c>
      <c r="AR357" s="348">
        <v>62991680.98970966</v>
      </c>
      <c r="AS357" s="369"/>
      <c r="AT357" s="350">
        <f t="shared" si="171"/>
        <v>12454556.168125665</v>
      </c>
      <c r="AU357" s="350">
        <f t="shared" si="154"/>
        <v>12344136.20863126</v>
      </c>
      <c r="AV357" s="350">
        <f t="shared" si="155"/>
        <v>12222898.00994903</v>
      </c>
      <c r="AW357" s="350">
        <f t="shared" si="156"/>
        <v>12066707.721158188</v>
      </c>
      <c r="AX357" s="350">
        <f t="shared" si="157"/>
        <v>11854916.500059241</v>
      </c>
      <c r="AY357" s="350">
        <f t="shared" si="158"/>
        <v>60943214.607923396</v>
      </c>
      <c r="AZ357" s="365"/>
      <c r="BA357" s="377">
        <f t="shared" si="159"/>
        <v>0</v>
      </c>
      <c r="BB357" s="377">
        <f t="shared" si="160"/>
        <v>0</v>
      </c>
      <c r="BC357" s="377">
        <f t="shared" si="161"/>
        <v>0</v>
      </c>
      <c r="BD357" s="377">
        <f t="shared" si="162"/>
        <v>0</v>
      </c>
      <c r="BE357" s="377">
        <f t="shared" si="163"/>
        <v>0</v>
      </c>
      <c r="BF357" s="377">
        <f t="shared" si="164"/>
        <v>0</v>
      </c>
      <c r="BG357" s="328"/>
    </row>
    <row r="358" spans="2:59">
      <c r="B358" s="332">
        <v>343</v>
      </c>
      <c r="C358" s="350">
        <v>5759901.7539694663</v>
      </c>
      <c r="D358" s="350">
        <v>5739144.9011772443</v>
      </c>
      <c r="E358" s="350">
        <v>5716697.3825186621</v>
      </c>
      <c r="F358" s="350">
        <v>5689766.7786424411</v>
      </c>
      <c r="G358" s="350">
        <v>5655879.3101055976</v>
      </c>
      <c r="H358" s="348">
        <v>28561390.126413412</v>
      </c>
      <c r="I358" s="369"/>
      <c r="J358" s="350">
        <v>21558015.395977959</v>
      </c>
      <c r="K358" s="350">
        <v>21135400.708076347</v>
      </c>
      <c r="L358" s="350">
        <v>20699259.69215757</v>
      </c>
      <c r="M358" s="350">
        <v>20216417.618533809</v>
      </c>
      <c r="N358" s="350">
        <v>19658946.66892156</v>
      </c>
      <c r="O358" s="348">
        <v>103268040.08366723</v>
      </c>
      <c r="P358" s="369"/>
      <c r="Q358" s="350">
        <f t="shared" si="165"/>
        <v>15798113.642008493</v>
      </c>
      <c r="R358" s="350">
        <f t="shared" si="166"/>
        <v>15396255.806899102</v>
      </c>
      <c r="S358" s="350">
        <f t="shared" si="167"/>
        <v>14982562.309638908</v>
      </c>
      <c r="T358" s="350">
        <f t="shared" si="168"/>
        <v>14526650.839891367</v>
      </c>
      <c r="U358" s="350">
        <f t="shared" si="169"/>
        <v>14003067.358815962</v>
      </c>
      <c r="V358" s="350">
        <f t="shared" si="170"/>
        <v>74706649.957253814</v>
      </c>
      <c r="W358" s="365"/>
      <c r="X358" s="377">
        <f t="shared" si="148"/>
        <v>0</v>
      </c>
      <c r="Y358" s="377">
        <f t="shared" si="149"/>
        <v>0</v>
      </c>
      <c r="Z358" s="377">
        <f t="shared" si="150"/>
        <v>0</v>
      </c>
      <c r="AA358" s="377">
        <f t="shared" si="151"/>
        <v>0</v>
      </c>
      <c r="AB358" s="377">
        <f t="shared" si="152"/>
        <v>0</v>
      </c>
      <c r="AC358" s="377">
        <f t="shared" si="153"/>
        <v>0</v>
      </c>
      <c r="AD358" s="376"/>
      <c r="AE358" s="332">
        <v>343</v>
      </c>
      <c r="AF358" s="350">
        <v>294532.92351162666</v>
      </c>
      <c r="AG358" s="350">
        <v>293471.52059245697</v>
      </c>
      <c r="AH358" s="350">
        <v>292323.66537226381</v>
      </c>
      <c r="AI358" s="350">
        <v>290946.5673191364</v>
      </c>
      <c r="AJ358" s="350">
        <v>289213.72957208863</v>
      </c>
      <c r="AK358" s="348">
        <v>1460488.4063675725</v>
      </c>
      <c r="AL358" s="369"/>
      <c r="AM358" s="350">
        <v>10412669.104860216</v>
      </c>
      <c r="AN358" s="350">
        <v>10323955.970505742</v>
      </c>
      <c r="AO358" s="350">
        <v>10226352.795363627</v>
      </c>
      <c r="AP358" s="350">
        <v>10100108.533692582</v>
      </c>
      <c r="AQ358" s="350">
        <v>9928315.6868212447</v>
      </c>
      <c r="AR358" s="348">
        <v>50991402.091243416</v>
      </c>
      <c r="AS358" s="369"/>
      <c r="AT358" s="350">
        <f t="shared" si="171"/>
        <v>10118136.18134859</v>
      </c>
      <c r="AU358" s="350">
        <f t="shared" si="154"/>
        <v>10030484.449913286</v>
      </c>
      <c r="AV358" s="350">
        <f t="shared" si="155"/>
        <v>9934029.1299913637</v>
      </c>
      <c r="AW358" s="350">
        <f t="shared" si="156"/>
        <v>9809161.9663734455</v>
      </c>
      <c r="AX358" s="350">
        <f t="shared" si="157"/>
        <v>9639101.9572491553</v>
      </c>
      <c r="AY358" s="350">
        <f t="shared" si="158"/>
        <v>49530913.684875846</v>
      </c>
      <c r="AZ358" s="365"/>
      <c r="BA358" s="377">
        <f t="shared" si="159"/>
        <v>0</v>
      </c>
      <c r="BB358" s="377">
        <f t="shared" si="160"/>
        <v>0</v>
      </c>
      <c r="BC358" s="377">
        <f t="shared" si="161"/>
        <v>0</v>
      </c>
      <c r="BD358" s="377">
        <f t="shared" si="162"/>
        <v>0</v>
      </c>
      <c r="BE358" s="377">
        <f t="shared" si="163"/>
        <v>0</v>
      </c>
      <c r="BF358" s="377">
        <f t="shared" si="164"/>
        <v>0</v>
      </c>
      <c r="BG358" s="328"/>
    </row>
    <row r="359" spans="2:59">
      <c r="B359" s="332">
        <v>344</v>
      </c>
      <c r="C359" s="350">
        <v>7276943.7359857932</v>
      </c>
      <c r="D359" s="350">
        <v>7250719.9466996212</v>
      </c>
      <c r="E359" s="350">
        <v>7222360.2042476907</v>
      </c>
      <c r="F359" s="350">
        <v>7188336.6223266413</v>
      </c>
      <c r="G359" s="350">
        <v>7145523.8778683441</v>
      </c>
      <c r="H359" s="348">
        <v>36083884.387128092</v>
      </c>
      <c r="I359" s="369"/>
      <c r="J359" s="350">
        <v>22895375.00116669</v>
      </c>
      <c r="K359" s="350">
        <v>22392736.313872129</v>
      </c>
      <c r="L359" s="350">
        <v>21876830.927849412</v>
      </c>
      <c r="M359" s="350">
        <v>21314163.881987125</v>
      </c>
      <c r="N359" s="350">
        <v>20676668.44281593</v>
      </c>
      <c r="O359" s="348">
        <v>109155774.56769128</v>
      </c>
      <c r="P359" s="369"/>
      <c r="Q359" s="350">
        <f t="shared" si="165"/>
        <v>15618431.265180897</v>
      </c>
      <c r="R359" s="350">
        <f t="shared" si="166"/>
        <v>15142016.367172508</v>
      </c>
      <c r="S359" s="350">
        <f t="shared" si="167"/>
        <v>14654470.723601721</v>
      </c>
      <c r="T359" s="350">
        <f t="shared" si="168"/>
        <v>14125827.259660482</v>
      </c>
      <c r="U359" s="350">
        <f t="shared" si="169"/>
        <v>13531144.564947587</v>
      </c>
      <c r="V359" s="350">
        <f t="shared" si="170"/>
        <v>73071890.180563182</v>
      </c>
      <c r="W359" s="365"/>
      <c r="X359" s="377">
        <f t="shared" si="148"/>
        <v>0</v>
      </c>
      <c r="Y359" s="377">
        <f t="shared" si="149"/>
        <v>0</v>
      </c>
      <c r="Z359" s="377">
        <f t="shared" si="150"/>
        <v>0</v>
      </c>
      <c r="AA359" s="377">
        <f t="shared" si="151"/>
        <v>0</v>
      </c>
      <c r="AB359" s="377">
        <f t="shared" si="152"/>
        <v>0</v>
      </c>
      <c r="AC359" s="377">
        <f t="shared" si="153"/>
        <v>0</v>
      </c>
      <c r="AD359" s="376"/>
      <c r="AE359" s="332">
        <v>344</v>
      </c>
      <c r="AF359" s="350">
        <v>503294.51080926444</v>
      </c>
      <c r="AG359" s="350">
        <v>501480.79756931175</v>
      </c>
      <c r="AH359" s="350">
        <v>499519.35562034673</v>
      </c>
      <c r="AI359" s="350">
        <v>497166.18612499209</v>
      </c>
      <c r="AJ359" s="350">
        <v>494205.13268548495</v>
      </c>
      <c r="AK359" s="348">
        <v>2495665.9828093997</v>
      </c>
      <c r="AL359" s="369"/>
      <c r="AM359" s="350">
        <v>16430244.554203773</v>
      </c>
      <c r="AN359" s="350">
        <v>16288474.79723742</v>
      </c>
      <c r="AO359" s="350">
        <v>16132713.885965675</v>
      </c>
      <c r="AP359" s="350">
        <v>15931854.229393171</v>
      </c>
      <c r="AQ359" s="350">
        <v>15659270.302745821</v>
      </c>
      <c r="AR359" s="348">
        <v>80442557.769545853</v>
      </c>
      <c r="AS359" s="369"/>
      <c r="AT359" s="350">
        <f t="shared" si="171"/>
        <v>15926950.043394508</v>
      </c>
      <c r="AU359" s="350">
        <f t="shared" si="154"/>
        <v>15786993.999668108</v>
      </c>
      <c r="AV359" s="350">
        <f t="shared" si="155"/>
        <v>15633194.530345328</v>
      </c>
      <c r="AW359" s="350">
        <f t="shared" si="156"/>
        <v>15434688.04326818</v>
      </c>
      <c r="AX359" s="350">
        <f t="shared" si="157"/>
        <v>15165065.170060337</v>
      </c>
      <c r="AY359" s="350">
        <f t="shared" si="158"/>
        <v>77946891.786736459</v>
      </c>
      <c r="AZ359" s="365"/>
      <c r="BA359" s="377">
        <f t="shared" si="159"/>
        <v>0</v>
      </c>
      <c r="BB359" s="377">
        <f t="shared" si="160"/>
        <v>0</v>
      </c>
      <c r="BC359" s="377">
        <f t="shared" si="161"/>
        <v>0</v>
      </c>
      <c r="BD359" s="377">
        <f t="shared" si="162"/>
        <v>0</v>
      </c>
      <c r="BE359" s="377">
        <f t="shared" si="163"/>
        <v>0</v>
      </c>
      <c r="BF359" s="377">
        <f t="shared" si="164"/>
        <v>0</v>
      </c>
      <c r="BG359" s="328"/>
    </row>
    <row r="360" spans="2:59">
      <c r="B360" s="332">
        <v>345</v>
      </c>
      <c r="C360" s="350">
        <v>7220056.2703637406</v>
      </c>
      <c r="D360" s="350">
        <v>7194037.4853988383</v>
      </c>
      <c r="E360" s="350">
        <v>7165899.4450697117</v>
      </c>
      <c r="F360" s="350">
        <v>7132141.8423037967</v>
      </c>
      <c r="G360" s="350">
        <v>7089663.786228002</v>
      </c>
      <c r="H360" s="348">
        <v>35801798.829364091</v>
      </c>
      <c r="I360" s="369"/>
      <c r="J360" s="350">
        <v>28933957.476437472</v>
      </c>
      <c r="K360" s="350">
        <v>28390435.899263348</v>
      </c>
      <c r="L360" s="350">
        <v>27828276.331799924</v>
      </c>
      <c r="M360" s="350">
        <v>27202188.471839912</v>
      </c>
      <c r="N360" s="350">
        <v>26473987.600262377</v>
      </c>
      <c r="O360" s="348">
        <v>138828845.77960303</v>
      </c>
      <c r="P360" s="369"/>
      <c r="Q360" s="350">
        <f t="shared" si="165"/>
        <v>21713901.206073731</v>
      </c>
      <c r="R360" s="350">
        <f t="shared" si="166"/>
        <v>21196398.413864508</v>
      </c>
      <c r="S360" s="350">
        <f t="shared" si="167"/>
        <v>20662376.886730213</v>
      </c>
      <c r="T360" s="350">
        <f t="shared" si="168"/>
        <v>20070046.629536115</v>
      </c>
      <c r="U360" s="350">
        <f t="shared" si="169"/>
        <v>19384323.814034376</v>
      </c>
      <c r="V360" s="350">
        <f t="shared" si="170"/>
        <v>103027046.95023894</v>
      </c>
      <c r="W360" s="365"/>
      <c r="X360" s="377">
        <f t="shared" si="148"/>
        <v>0</v>
      </c>
      <c r="Y360" s="377">
        <f t="shared" si="149"/>
        <v>0</v>
      </c>
      <c r="Z360" s="377">
        <f t="shared" si="150"/>
        <v>0</v>
      </c>
      <c r="AA360" s="377">
        <f t="shared" si="151"/>
        <v>0</v>
      </c>
      <c r="AB360" s="377">
        <f t="shared" si="152"/>
        <v>0</v>
      </c>
      <c r="AC360" s="377">
        <f t="shared" si="153"/>
        <v>0</v>
      </c>
      <c r="AD360" s="376"/>
      <c r="AE360" s="332">
        <v>345</v>
      </c>
      <c r="AF360" s="350">
        <v>403979.78985972784</v>
      </c>
      <c r="AG360" s="350">
        <v>402523.97526647151</v>
      </c>
      <c r="AH360" s="350">
        <v>400949.58315738436</v>
      </c>
      <c r="AI360" s="350">
        <v>399060.76279908343</v>
      </c>
      <c r="AJ360" s="350">
        <v>396684.01177048165</v>
      </c>
      <c r="AK360" s="348">
        <v>2003198.122853149</v>
      </c>
      <c r="AL360" s="369"/>
      <c r="AM360" s="350">
        <v>13977759.15893331</v>
      </c>
      <c r="AN360" s="350">
        <v>13858273.193055531</v>
      </c>
      <c r="AO360" s="350">
        <v>13726861.566073973</v>
      </c>
      <c r="AP360" s="350">
        <v>13557023.762008151</v>
      </c>
      <c r="AQ360" s="350">
        <v>13326075.315964025</v>
      </c>
      <c r="AR360" s="348">
        <v>68445992.996034995</v>
      </c>
      <c r="AS360" s="369"/>
      <c r="AT360" s="350">
        <f t="shared" si="171"/>
        <v>13573779.369073583</v>
      </c>
      <c r="AU360" s="350">
        <f t="shared" si="154"/>
        <v>13455749.21778906</v>
      </c>
      <c r="AV360" s="350">
        <f t="shared" si="155"/>
        <v>13325911.982916588</v>
      </c>
      <c r="AW360" s="350">
        <f t="shared" si="156"/>
        <v>13157962.999209067</v>
      </c>
      <c r="AX360" s="350">
        <f t="shared" si="157"/>
        <v>12929391.304193543</v>
      </c>
      <c r="AY360" s="350">
        <f t="shared" si="158"/>
        <v>66442794.873181842</v>
      </c>
      <c r="AZ360" s="365"/>
      <c r="BA360" s="377">
        <f t="shared" si="159"/>
        <v>0</v>
      </c>
      <c r="BB360" s="377">
        <f t="shared" si="160"/>
        <v>0</v>
      </c>
      <c r="BC360" s="377">
        <f t="shared" si="161"/>
        <v>0</v>
      </c>
      <c r="BD360" s="377">
        <f t="shared" si="162"/>
        <v>0</v>
      </c>
      <c r="BE360" s="377">
        <f t="shared" si="163"/>
        <v>0</v>
      </c>
      <c r="BF360" s="377">
        <f t="shared" si="164"/>
        <v>0</v>
      </c>
      <c r="BG360" s="328"/>
    </row>
    <row r="361" spans="2:59">
      <c r="B361" s="332">
        <v>346</v>
      </c>
      <c r="C361" s="350">
        <v>4288752.1363565903</v>
      </c>
      <c r="D361" s="350">
        <v>4273296.8385825744</v>
      </c>
      <c r="E361" s="350">
        <v>4256582.6917593991</v>
      </c>
      <c r="F361" s="350">
        <v>4236530.4947183803</v>
      </c>
      <c r="G361" s="350">
        <v>4211298.3016548529</v>
      </c>
      <c r="H361" s="348">
        <v>21266460.463071797</v>
      </c>
      <c r="I361" s="369"/>
      <c r="J361" s="350">
        <v>15694339.607540511</v>
      </c>
      <c r="K361" s="350">
        <v>15382242.488272604</v>
      </c>
      <c r="L361" s="350">
        <v>15060388.629768314</v>
      </c>
      <c r="M361" s="350">
        <v>14704769.792650197</v>
      </c>
      <c r="N361" s="350">
        <v>14295185.63985303</v>
      </c>
      <c r="O361" s="348">
        <v>75136926.158084661</v>
      </c>
      <c r="P361" s="369"/>
      <c r="Q361" s="350">
        <f t="shared" si="165"/>
        <v>11405587.47118392</v>
      </c>
      <c r="R361" s="350">
        <f t="shared" si="166"/>
        <v>11108945.649690028</v>
      </c>
      <c r="S361" s="350">
        <f t="shared" si="167"/>
        <v>10803805.938008916</v>
      </c>
      <c r="T361" s="350">
        <f t="shared" si="168"/>
        <v>10468239.297931816</v>
      </c>
      <c r="U361" s="350">
        <f t="shared" si="169"/>
        <v>10083887.338198178</v>
      </c>
      <c r="V361" s="350">
        <f t="shared" si="170"/>
        <v>53870465.695012867</v>
      </c>
      <c r="W361" s="365"/>
      <c r="X361" s="377">
        <f t="shared" si="148"/>
        <v>0</v>
      </c>
      <c r="Y361" s="377">
        <f t="shared" si="149"/>
        <v>0</v>
      </c>
      <c r="Z361" s="377">
        <f t="shared" si="150"/>
        <v>0</v>
      </c>
      <c r="AA361" s="377">
        <f t="shared" si="151"/>
        <v>0</v>
      </c>
      <c r="AB361" s="377">
        <f t="shared" si="152"/>
        <v>0</v>
      </c>
      <c r="AC361" s="377">
        <f t="shared" si="153"/>
        <v>0</v>
      </c>
      <c r="AD361" s="376"/>
      <c r="AE361" s="332">
        <v>346</v>
      </c>
      <c r="AF361" s="350">
        <v>363993.52249566058</v>
      </c>
      <c r="AG361" s="350">
        <v>362681.80568407464</v>
      </c>
      <c r="AH361" s="350">
        <v>361263.24826125166</v>
      </c>
      <c r="AI361" s="350">
        <v>359561.38496799587</v>
      </c>
      <c r="AJ361" s="350">
        <v>357419.88680221798</v>
      </c>
      <c r="AK361" s="348">
        <v>1804919.8482112007</v>
      </c>
      <c r="AL361" s="369"/>
      <c r="AM361" s="350">
        <v>10875752.216653429</v>
      </c>
      <c r="AN361" s="350">
        <v>10780478.757931255</v>
      </c>
      <c r="AO361" s="350">
        <v>10675973.289262049</v>
      </c>
      <c r="AP361" s="350">
        <v>10541690.830458477</v>
      </c>
      <c r="AQ361" s="350">
        <v>10360049.402654018</v>
      </c>
      <c r="AR361" s="348">
        <v>53233944.496959224</v>
      </c>
      <c r="AS361" s="369"/>
      <c r="AT361" s="350">
        <f t="shared" si="171"/>
        <v>10511758.694157768</v>
      </c>
      <c r="AU361" s="350">
        <f t="shared" si="154"/>
        <v>10417796.95224718</v>
      </c>
      <c r="AV361" s="350">
        <f t="shared" si="155"/>
        <v>10314710.041000796</v>
      </c>
      <c r="AW361" s="350">
        <f t="shared" si="156"/>
        <v>10182129.445490481</v>
      </c>
      <c r="AX361" s="350">
        <f t="shared" si="157"/>
        <v>10002629.515851799</v>
      </c>
      <c r="AY361" s="350">
        <f t="shared" si="158"/>
        <v>51429024.648748025</v>
      </c>
      <c r="AZ361" s="365"/>
      <c r="BA361" s="377">
        <f t="shared" si="159"/>
        <v>0</v>
      </c>
      <c r="BB361" s="377">
        <f t="shared" si="160"/>
        <v>0</v>
      </c>
      <c r="BC361" s="377">
        <f t="shared" si="161"/>
        <v>0</v>
      </c>
      <c r="BD361" s="377">
        <f t="shared" si="162"/>
        <v>0</v>
      </c>
      <c r="BE361" s="377">
        <f t="shared" si="163"/>
        <v>0</v>
      </c>
      <c r="BF361" s="377">
        <f t="shared" si="164"/>
        <v>0</v>
      </c>
      <c r="BG361" s="328"/>
    </row>
    <row r="362" spans="2:59">
      <c r="B362" s="332">
        <v>347</v>
      </c>
      <c r="C362" s="350">
        <v>5633043.7862288617</v>
      </c>
      <c r="D362" s="350">
        <v>5612744.0891789393</v>
      </c>
      <c r="E362" s="350">
        <v>5590790.9620428998</v>
      </c>
      <c r="F362" s="350">
        <v>5564453.4866302703</v>
      </c>
      <c r="G362" s="350">
        <v>5531312.3668288877</v>
      </c>
      <c r="H362" s="348">
        <v>27932344.690909855</v>
      </c>
      <c r="I362" s="369"/>
      <c r="J362" s="350">
        <v>16802424.436650775</v>
      </c>
      <c r="K362" s="350">
        <v>16419970.764028445</v>
      </c>
      <c r="L362" s="350">
        <v>16028058.207737926</v>
      </c>
      <c r="M362" s="350">
        <v>15602544.05391584</v>
      </c>
      <c r="N362" s="350">
        <v>15123232.865883715</v>
      </c>
      <c r="O362" s="348">
        <v>79976230.328216702</v>
      </c>
      <c r="P362" s="369"/>
      <c r="Q362" s="350">
        <f t="shared" si="165"/>
        <v>11169380.650421914</v>
      </c>
      <c r="R362" s="350">
        <f t="shared" si="166"/>
        <v>10807226.674849506</v>
      </c>
      <c r="S362" s="350">
        <f t="shared" si="167"/>
        <v>10437267.245695027</v>
      </c>
      <c r="T362" s="350">
        <f t="shared" si="168"/>
        <v>10038090.567285569</v>
      </c>
      <c r="U362" s="350">
        <f t="shared" si="169"/>
        <v>9591920.4990548268</v>
      </c>
      <c r="V362" s="350">
        <f t="shared" si="170"/>
        <v>52043885.637306847</v>
      </c>
      <c r="W362" s="365"/>
      <c r="X362" s="377">
        <f t="shared" si="148"/>
        <v>0</v>
      </c>
      <c r="Y362" s="377">
        <f t="shared" si="149"/>
        <v>0</v>
      </c>
      <c r="Z362" s="377">
        <f t="shared" si="150"/>
        <v>0</v>
      </c>
      <c r="AA362" s="377">
        <f t="shared" si="151"/>
        <v>0</v>
      </c>
      <c r="AB362" s="377">
        <f t="shared" si="152"/>
        <v>0</v>
      </c>
      <c r="AC362" s="377">
        <f t="shared" si="153"/>
        <v>0</v>
      </c>
      <c r="AD362" s="376"/>
      <c r="AE362" s="332">
        <v>347</v>
      </c>
      <c r="AF362" s="350">
        <v>477330.80130804225</v>
      </c>
      <c r="AG362" s="350">
        <v>475610.65301399963</v>
      </c>
      <c r="AH362" s="350">
        <v>473750.39696687274</v>
      </c>
      <c r="AI362" s="350">
        <v>471518.62162121048</v>
      </c>
      <c r="AJ362" s="350">
        <v>468710.32154910499</v>
      </c>
      <c r="AK362" s="348">
        <v>2366920.7944592303</v>
      </c>
      <c r="AL362" s="369"/>
      <c r="AM362" s="350">
        <v>14844842.335251065</v>
      </c>
      <c r="AN362" s="350">
        <v>14715703.768877363</v>
      </c>
      <c r="AO362" s="350">
        <v>14573945.507674646</v>
      </c>
      <c r="AP362" s="350">
        <v>14391495.488509323</v>
      </c>
      <c r="AQ362" s="350">
        <v>14144328.417095421</v>
      </c>
      <c r="AR362" s="348">
        <v>72670315.51740782</v>
      </c>
      <c r="AS362" s="369"/>
      <c r="AT362" s="350">
        <f t="shared" si="171"/>
        <v>14367511.533943024</v>
      </c>
      <c r="AU362" s="350">
        <f t="shared" si="154"/>
        <v>14240093.115863362</v>
      </c>
      <c r="AV362" s="350">
        <f t="shared" si="155"/>
        <v>14100195.110707773</v>
      </c>
      <c r="AW362" s="350">
        <f t="shared" si="156"/>
        <v>13919976.866888113</v>
      </c>
      <c r="AX362" s="350">
        <f t="shared" si="157"/>
        <v>13675618.095546316</v>
      </c>
      <c r="AY362" s="350">
        <f t="shared" si="158"/>
        <v>70303394.722948596</v>
      </c>
      <c r="AZ362" s="365"/>
      <c r="BA362" s="377">
        <f t="shared" si="159"/>
        <v>0</v>
      </c>
      <c r="BB362" s="377">
        <f t="shared" si="160"/>
        <v>0</v>
      </c>
      <c r="BC362" s="377">
        <f t="shared" si="161"/>
        <v>0</v>
      </c>
      <c r="BD362" s="377">
        <f t="shared" si="162"/>
        <v>0</v>
      </c>
      <c r="BE362" s="377">
        <f t="shared" si="163"/>
        <v>0</v>
      </c>
      <c r="BF362" s="377">
        <f t="shared" si="164"/>
        <v>0</v>
      </c>
      <c r="BG362" s="328"/>
    </row>
    <row r="363" spans="2:59">
      <c r="B363" s="332">
        <v>348</v>
      </c>
      <c r="C363" s="350">
        <v>5952812.6644150037</v>
      </c>
      <c r="D363" s="350">
        <v>5931360.6220967863</v>
      </c>
      <c r="E363" s="350">
        <v>5908161.2900485583</v>
      </c>
      <c r="F363" s="350">
        <v>5880328.7250739504</v>
      </c>
      <c r="G363" s="350">
        <v>5845306.2957882322</v>
      </c>
      <c r="H363" s="348">
        <v>29517969.597422529</v>
      </c>
      <c r="I363" s="369"/>
      <c r="J363" s="350">
        <v>21987239.881521065</v>
      </c>
      <c r="K363" s="350">
        <v>21552581.260738783</v>
      </c>
      <c r="L363" s="350">
        <v>21104201.116346039</v>
      </c>
      <c r="M363" s="350">
        <v>20608381.425989721</v>
      </c>
      <c r="N363" s="350">
        <v>20036745.820167948</v>
      </c>
      <c r="O363" s="348">
        <v>105289149.50476356</v>
      </c>
      <c r="P363" s="369"/>
      <c r="Q363" s="350">
        <f t="shared" si="165"/>
        <v>16034427.217106061</v>
      </c>
      <c r="R363" s="350">
        <f t="shared" si="166"/>
        <v>15621220.638641996</v>
      </c>
      <c r="S363" s="350">
        <f t="shared" si="167"/>
        <v>15196039.826297481</v>
      </c>
      <c r="T363" s="350">
        <f t="shared" si="168"/>
        <v>14728052.700915771</v>
      </c>
      <c r="U363" s="350">
        <f t="shared" si="169"/>
        <v>14191439.524379715</v>
      </c>
      <c r="V363" s="350">
        <f t="shared" si="170"/>
        <v>75771179.907341033</v>
      </c>
      <c r="W363" s="365"/>
      <c r="X363" s="377">
        <f t="shared" si="148"/>
        <v>0</v>
      </c>
      <c r="Y363" s="377">
        <f t="shared" si="149"/>
        <v>0</v>
      </c>
      <c r="Z363" s="377">
        <f t="shared" si="150"/>
        <v>0</v>
      </c>
      <c r="AA363" s="377">
        <f t="shared" si="151"/>
        <v>0</v>
      </c>
      <c r="AB363" s="377">
        <f t="shared" si="152"/>
        <v>0</v>
      </c>
      <c r="AC363" s="377">
        <f t="shared" si="153"/>
        <v>0</v>
      </c>
      <c r="AD363" s="376"/>
      <c r="AE363" s="332">
        <v>348</v>
      </c>
      <c r="AF363" s="350">
        <v>514951.76577932894</v>
      </c>
      <c r="AG363" s="350">
        <v>513096.0435024671</v>
      </c>
      <c r="AH363" s="350">
        <v>511089.17083964165</v>
      </c>
      <c r="AI363" s="350">
        <v>508681.49747785111</v>
      </c>
      <c r="AJ363" s="350">
        <v>505651.86042739043</v>
      </c>
      <c r="AK363" s="348">
        <v>2553470.3380266791</v>
      </c>
      <c r="AL363" s="369"/>
      <c r="AM363" s="350">
        <v>12124083.340353368</v>
      </c>
      <c r="AN363" s="350">
        <v>12012808.798772907</v>
      </c>
      <c r="AO363" s="350">
        <v>11891346.024206234</v>
      </c>
      <c r="AP363" s="350">
        <v>11736955.45792374</v>
      </c>
      <c r="AQ363" s="350">
        <v>11530187.065974025</v>
      </c>
      <c r="AR363" s="348">
        <v>59295380.687230274</v>
      </c>
      <c r="AS363" s="369"/>
      <c r="AT363" s="350">
        <f t="shared" si="171"/>
        <v>11609131.574574038</v>
      </c>
      <c r="AU363" s="350">
        <f t="shared" si="154"/>
        <v>11499712.75527044</v>
      </c>
      <c r="AV363" s="350">
        <f t="shared" si="155"/>
        <v>11380256.853366593</v>
      </c>
      <c r="AW363" s="350">
        <f t="shared" si="156"/>
        <v>11228273.960445888</v>
      </c>
      <c r="AX363" s="350">
        <f t="shared" si="157"/>
        <v>11024535.205546634</v>
      </c>
      <c r="AY363" s="350">
        <f t="shared" si="158"/>
        <v>56741910.349203594</v>
      </c>
      <c r="AZ363" s="365"/>
      <c r="BA363" s="377">
        <f t="shared" si="159"/>
        <v>0</v>
      </c>
      <c r="BB363" s="377">
        <f t="shared" si="160"/>
        <v>0</v>
      </c>
      <c r="BC363" s="377">
        <f t="shared" si="161"/>
        <v>0</v>
      </c>
      <c r="BD363" s="377">
        <f t="shared" si="162"/>
        <v>0</v>
      </c>
      <c r="BE363" s="377">
        <f t="shared" si="163"/>
        <v>0</v>
      </c>
      <c r="BF363" s="377">
        <f t="shared" si="164"/>
        <v>0</v>
      </c>
      <c r="BG363" s="328"/>
    </row>
    <row r="364" spans="2:59">
      <c r="B364" s="332">
        <v>349</v>
      </c>
      <c r="C364" s="350">
        <v>4613672.534110182</v>
      </c>
      <c r="D364" s="350">
        <v>4597046.326630854</v>
      </c>
      <c r="E364" s="350">
        <v>4579065.898367011</v>
      </c>
      <c r="F364" s="350">
        <v>4557494.5256704055</v>
      </c>
      <c r="G364" s="350">
        <v>4530350.7149741175</v>
      </c>
      <c r="H364" s="348">
        <v>22877629.99975257</v>
      </c>
      <c r="I364" s="369"/>
      <c r="J364" s="350">
        <v>16162243.811970923</v>
      </c>
      <c r="K364" s="350">
        <v>15831699.226842687</v>
      </c>
      <c r="L364" s="350">
        <v>15491293.714439994</v>
      </c>
      <c r="M364" s="350">
        <v>15116598.542583443</v>
      </c>
      <c r="N364" s="350">
        <v>14687081.91020612</v>
      </c>
      <c r="O364" s="348">
        <v>77288917.206043169</v>
      </c>
      <c r="P364" s="369"/>
      <c r="Q364" s="350">
        <f t="shared" si="165"/>
        <v>11548571.277860742</v>
      </c>
      <c r="R364" s="350">
        <f t="shared" si="166"/>
        <v>11234652.900211833</v>
      </c>
      <c r="S364" s="350">
        <f t="shared" si="167"/>
        <v>10912227.816072982</v>
      </c>
      <c r="T364" s="350">
        <f t="shared" si="168"/>
        <v>10559104.016913038</v>
      </c>
      <c r="U364" s="350">
        <f t="shared" si="169"/>
        <v>10156731.195232004</v>
      </c>
      <c r="V364" s="350">
        <f t="shared" si="170"/>
        <v>54411287.206290603</v>
      </c>
      <c r="W364" s="365"/>
      <c r="X364" s="377">
        <f t="shared" si="148"/>
        <v>0</v>
      </c>
      <c r="Y364" s="377">
        <f t="shared" si="149"/>
        <v>0</v>
      </c>
      <c r="Z364" s="377">
        <f t="shared" si="150"/>
        <v>0</v>
      </c>
      <c r="AA364" s="377">
        <f t="shared" si="151"/>
        <v>0</v>
      </c>
      <c r="AB364" s="377">
        <f t="shared" si="152"/>
        <v>0</v>
      </c>
      <c r="AC364" s="377">
        <f t="shared" si="153"/>
        <v>0</v>
      </c>
      <c r="AD364" s="376"/>
      <c r="AE364" s="332">
        <v>349</v>
      </c>
      <c r="AF364" s="350">
        <v>449335.37943241093</v>
      </c>
      <c r="AG364" s="350">
        <v>447716.11772906885</v>
      </c>
      <c r="AH364" s="350">
        <v>445964.96558366652</v>
      </c>
      <c r="AI364" s="350">
        <v>443864.08372353308</v>
      </c>
      <c r="AJ364" s="350">
        <v>441220.49027638568</v>
      </c>
      <c r="AK364" s="348">
        <v>2228101.0367450649</v>
      </c>
      <c r="AL364" s="369"/>
      <c r="AM364" s="350">
        <v>13253874.284636291</v>
      </c>
      <c r="AN364" s="350">
        <v>13137501.287801038</v>
      </c>
      <c r="AO364" s="350">
        <v>13009883.031843793</v>
      </c>
      <c r="AP364" s="350">
        <v>12845990.730430951</v>
      </c>
      <c r="AQ364" s="350">
        <v>12624405.781767834</v>
      </c>
      <c r="AR364" s="348">
        <v>64871655.116479918</v>
      </c>
      <c r="AS364" s="369"/>
      <c r="AT364" s="350">
        <f t="shared" si="171"/>
        <v>12804538.905203879</v>
      </c>
      <c r="AU364" s="350">
        <f t="shared" si="154"/>
        <v>12689785.170071969</v>
      </c>
      <c r="AV364" s="350">
        <f t="shared" si="155"/>
        <v>12563918.066260125</v>
      </c>
      <c r="AW364" s="350">
        <f t="shared" si="156"/>
        <v>12402126.646707417</v>
      </c>
      <c r="AX364" s="350">
        <f t="shared" si="157"/>
        <v>12183185.291491449</v>
      </c>
      <c r="AY364" s="350">
        <f t="shared" si="158"/>
        <v>62643554.079734854</v>
      </c>
      <c r="AZ364" s="365"/>
      <c r="BA364" s="377">
        <f t="shared" si="159"/>
        <v>0</v>
      </c>
      <c r="BB364" s="377">
        <f t="shared" si="160"/>
        <v>0</v>
      </c>
      <c r="BC364" s="377">
        <f t="shared" si="161"/>
        <v>0</v>
      </c>
      <c r="BD364" s="377">
        <f t="shared" si="162"/>
        <v>0</v>
      </c>
      <c r="BE364" s="377">
        <f t="shared" si="163"/>
        <v>0</v>
      </c>
      <c r="BF364" s="377">
        <f t="shared" si="164"/>
        <v>0</v>
      </c>
      <c r="BG364" s="328"/>
    </row>
    <row r="365" spans="2:59">
      <c r="B365" s="332">
        <v>350</v>
      </c>
      <c r="C365" s="350">
        <v>4394089.7298063282</v>
      </c>
      <c r="D365" s="350">
        <v>4378254.8288699444</v>
      </c>
      <c r="E365" s="350">
        <v>4361130.1598372934</v>
      </c>
      <c r="F365" s="350">
        <v>4340585.4535272559</v>
      </c>
      <c r="G365" s="350">
        <v>4314733.5234376034</v>
      </c>
      <c r="H365" s="348">
        <v>21788793.695478428</v>
      </c>
      <c r="I365" s="369"/>
      <c r="J365" s="350">
        <v>17638787.216238044</v>
      </c>
      <c r="K365" s="350">
        <v>17307788.479764663</v>
      </c>
      <c r="L365" s="350">
        <v>16965420.579926856</v>
      </c>
      <c r="M365" s="350">
        <v>16584062.420808066</v>
      </c>
      <c r="N365" s="350">
        <v>16140425.550973315</v>
      </c>
      <c r="O365" s="348">
        <v>84636484.247710943</v>
      </c>
      <c r="P365" s="369"/>
      <c r="Q365" s="350">
        <f t="shared" si="165"/>
        <v>13244697.486431716</v>
      </c>
      <c r="R365" s="350">
        <f t="shared" si="166"/>
        <v>12929533.650894718</v>
      </c>
      <c r="S365" s="350">
        <f t="shared" si="167"/>
        <v>12604290.420089561</v>
      </c>
      <c r="T365" s="350">
        <f t="shared" si="168"/>
        <v>12243476.967280809</v>
      </c>
      <c r="U365" s="350">
        <f t="shared" si="169"/>
        <v>11825692.02753571</v>
      </c>
      <c r="V365" s="350">
        <f t="shared" si="170"/>
        <v>62847690.552232519</v>
      </c>
      <c r="W365" s="365"/>
      <c r="X365" s="377">
        <f t="shared" si="148"/>
        <v>0</v>
      </c>
      <c r="Y365" s="377">
        <f t="shared" si="149"/>
        <v>0</v>
      </c>
      <c r="Z365" s="377">
        <f t="shared" si="150"/>
        <v>0</v>
      </c>
      <c r="AA365" s="377">
        <f t="shared" si="151"/>
        <v>0</v>
      </c>
      <c r="AB365" s="377">
        <f t="shared" si="152"/>
        <v>0</v>
      </c>
      <c r="AC365" s="377">
        <f t="shared" si="153"/>
        <v>0</v>
      </c>
      <c r="AD365" s="376"/>
      <c r="AE365" s="332">
        <v>350</v>
      </c>
      <c r="AF365" s="350">
        <v>633919.66137181653</v>
      </c>
      <c r="AG365" s="350">
        <v>631635.21666160563</v>
      </c>
      <c r="AH365" s="350">
        <v>629164.70170588105</v>
      </c>
      <c r="AI365" s="350">
        <v>626200.79016381584</v>
      </c>
      <c r="AJ365" s="350">
        <v>622471.22436613182</v>
      </c>
      <c r="AK365" s="348">
        <v>3143391.594269251</v>
      </c>
      <c r="AL365" s="369"/>
      <c r="AM365" s="350">
        <v>20821654.085183632</v>
      </c>
      <c r="AN365" s="350">
        <v>20642173.317453794</v>
      </c>
      <c r="AO365" s="350">
        <v>20444958.207452893</v>
      </c>
      <c r="AP365" s="350">
        <v>20190581.01867884</v>
      </c>
      <c r="AQ365" s="350">
        <v>19845294.513470106</v>
      </c>
      <c r="AR365" s="348">
        <v>101944661.14223927</v>
      </c>
      <c r="AS365" s="369"/>
      <c r="AT365" s="350">
        <f t="shared" si="171"/>
        <v>20187734.423811816</v>
      </c>
      <c r="AU365" s="350">
        <f t="shared" si="154"/>
        <v>20010538.100792188</v>
      </c>
      <c r="AV365" s="350">
        <f t="shared" si="155"/>
        <v>19815793.505747013</v>
      </c>
      <c r="AW365" s="350">
        <f t="shared" si="156"/>
        <v>19564380.228515025</v>
      </c>
      <c r="AX365" s="350">
        <f t="shared" si="157"/>
        <v>19222823.289103974</v>
      </c>
      <c r="AY365" s="350">
        <f t="shared" si="158"/>
        <v>98801269.547970027</v>
      </c>
      <c r="AZ365" s="365"/>
      <c r="BA365" s="377">
        <f t="shared" si="159"/>
        <v>0</v>
      </c>
      <c r="BB365" s="377">
        <f t="shared" si="160"/>
        <v>0</v>
      </c>
      <c r="BC365" s="377">
        <f t="shared" si="161"/>
        <v>0</v>
      </c>
      <c r="BD365" s="377">
        <f t="shared" si="162"/>
        <v>0</v>
      </c>
      <c r="BE365" s="377">
        <f t="shared" si="163"/>
        <v>0</v>
      </c>
      <c r="BF365" s="377">
        <f t="shared" si="164"/>
        <v>0</v>
      </c>
      <c r="BG365" s="328"/>
    </row>
    <row r="366" spans="2:59">
      <c r="B366" s="332">
        <v>351</v>
      </c>
      <c r="C366" s="350">
        <v>5062148.4787927624</v>
      </c>
      <c r="D366" s="350">
        <v>5043906.1067394093</v>
      </c>
      <c r="E366" s="350">
        <v>5024177.8757236805</v>
      </c>
      <c r="F366" s="350">
        <v>5000509.6394814504</v>
      </c>
      <c r="G366" s="350">
        <v>4970727.2916860739</v>
      </c>
      <c r="H366" s="348">
        <v>25101469.392423376</v>
      </c>
      <c r="I366" s="369"/>
      <c r="J366" s="350">
        <v>17567456.605553292</v>
      </c>
      <c r="K366" s="350">
        <v>17205976.508386437</v>
      </c>
      <c r="L366" s="350">
        <v>16833822.988306221</v>
      </c>
      <c r="M366" s="350">
        <v>16424514.319535458</v>
      </c>
      <c r="N366" s="350">
        <v>15955798.636981294</v>
      </c>
      <c r="O366" s="348">
        <v>83987569.058762714</v>
      </c>
      <c r="P366" s="369"/>
      <c r="Q366" s="350">
        <f t="shared" si="165"/>
        <v>12505308.126760529</v>
      </c>
      <c r="R366" s="350">
        <f t="shared" si="166"/>
        <v>12162070.401647028</v>
      </c>
      <c r="S366" s="350">
        <f t="shared" si="167"/>
        <v>11809645.11258254</v>
      </c>
      <c r="T366" s="350">
        <f t="shared" si="168"/>
        <v>11424004.680054009</v>
      </c>
      <c r="U366" s="350">
        <f t="shared" si="169"/>
        <v>10985071.345295221</v>
      </c>
      <c r="V366" s="350">
        <f t="shared" si="170"/>
        <v>58886099.666339338</v>
      </c>
      <c r="W366" s="365"/>
      <c r="X366" s="377">
        <f t="shared" si="148"/>
        <v>0</v>
      </c>
      <c r="Y366" s="377">
        <f t="shared" si="149"/>
        <v>0</v>
      </c>
      <c r="Z366" s="377">
        <f t="shared" si="150"/>
        <v>0</v>
      </c>
      <c r="AA366" s="377">
        <f t="shared" si="151"/>
        <v>0</v>
      </c>
      <c r="AB366" s="377">
        <f t="shared" si="152"/>
        <v>0</v>
      </c>
      <c r="AC366" s="377">
        <f t="shared" si="153"/>
        <v>0</v>
      </c>
      <c r="AD366" s="376"/>
      <c r="AE366" s="332">
        <v>351</v>
      </c>
      <c r="AF366" s="350">
        <v>463231.93162403454</v>
      </c>
      <c r="AG366" s="350">
        <v>461562.59116926882</v>
      </c>
      <c r="AH366" s="350">
        <v>459757.28130938881</v>
      </c>
      <c r="AI366" s="350">
        <v>457591.42567742674</v>
      </c>
      <c r="AJ366" s="350">
        <v>454866.07406924135</v>
      </c>
      <c r="AK366" s="348">
        <v>2297009.3038493604</v>
      </c>
      <c r="AL366" s="369"/>
      <c r="AM366" s="350">
        <v>13047703.719030626</v>
      </c>
      <c r="AN366" s="350">
        <v>12932171.919543639</v>
      </c>
      <c r="AO366" s="350">
        <v>12805589.574383516</v>
      </c>
      <c r="AP366" s="350">
        <v>12643348.529022403</v>
      </c>
      <c r="AQ366" s="350">
        <v>12424392.058678553</v>
      </c>
      <c r="AR366" s="348">
        <v>63853205.80065874</v>
      </c>
      <c r="AS366" s="369"/>
      <c r="AT366" s="350">
        <f t="shared" si="171"/>
        <v>12584471.787406592</v>
      </c>
      <c r="AU366" s="350">
        <f t="shared" si="154"/>
        <v>12470609.328374371</v>
      </c>
      <c r="AV366" s="350">
        <f t="shared" si="155"/>
        <v>12345832.293074127</v>
      </c>
      <c r="AW366" s="350">
        <f t="shared" si="156"/>
        <v>12185757.103344977</v>
      </c>
      <c r="AX366" s="350">
        <f t="shared" si="157"/>
        <v>11969525.984609311</v>
      </c>
      <c r="AY366" s="350">
        <f t="shared" si="158"/>
        <v>61556196.496809378</v>
      </c>
      <c r="AZ366" s="365"/>
      <c r="BA366" s="377">
        <f t="shared" si="159"/>
        <v>0</v>
      </c>
      <c r="BB366" s="377">
        <f t="shared" si="160"/>
        <v>0</v>
      </c>
      <c r="BC366" s="377">
        <f t="shared" si="161"/>
        <v>0</v>
      </c>
      <c r="BD366" s="377">
        <f t="shared" si="162"/>
        <v>0</v>
      </c>
      <c r="BE366" s="377">
        <f t="shared" si="163"/>
        <v>0</v>
      </c>
      <c r="BF366" s="377">
        <f t="shared" si="164"/>
        <v>0</v>
      </c>
      <c r="BG366" s="328"/>
    </row>
    <row r="367" spans="2:59">
      <c r="B367" s="332">
        <v>352</v>
      </c>
      <c r="C367" s="350">
        <v>5181491.2473410331</v>
      </c>
      <c r="D367" s="350">
        <v>5162818.8019315042</v>
      </c>
      <c r="E367" s="350">
        <v>5142625.467666069</v>
      </c>
      <c r="F367" s="350">
        <v>5118399.2405131357</v>
      </c>
      <c r="G367" s="350">
        <v>5087914.7584649492</v>
      </c>
      <c r="H367" s="348">
        <v>25693249.51591669</v>
      </c>
      <c r="I367" s="369"/>
      <c r="J367" s="350">
        <v>17117996.656356562</v>
      </c>
      <c r="K367" s="350">
        <v>16754218.915344726</v>
      </c>
      <c r="L367" s="350">
        <v>16380276.599560808</v>
      </c>
      <c r="M367" s="350">
        <v>15970738.409672052</v>
      </c>
      <c r="N367" s="350">
        <v>15504263.748779954</v>
      </c>
      <c r="O367" s="348">
        <v>81727494.329714105</v>
      </c>
      <c r="P367" s="369"/>
      <c r="Q367" s="350">
        <f t="shared" si="165"/>
        <v>11936505.409015529</v>
      </c>
      <c r="R367" s="350">
        <f t="shared" si="166"/>
        <v>11591400.113413222</v>
      </c>
      <c r="S367" s="350">
        <f t="shared" si="167"/>
        <v>11237651.131894739</v>
      </c>
      <c r="T367" s="350">
        <f t="shared" si="168"/>
        <v>10852339.169158917</v>
      </c>
      <c r="U367" s="350">
        <f t="shared" si="169"/>
        <v>10416348.990315005</v>
      </c>
      <c r="V367" s="350">
        <f t="shared" si="170"/>
        <v>56034244.813797414</v>
      </c>
      <c r="W367" s="365"/>
      <c r="X367" s="377">
        <f t="shared" si="148"/>
        <v>0</v>
      </c>
      <c r="Y367" s="377">
        <f t="shared" si="149"/>
        <v>0</v>
      </c>
      <c r="Z367" s="377">
        <f t="shared" si="150"/>
        <v>0</v>
      </c>
      <c r="AA367" s="377">
        <f t="shared" si="151"/>
        <v>0</v>
      </c>
      <c r="AB367" s="377">
        <f t="shared" si="152"/>
        <v>0</v>
      </c>
      <c r="AC367" s="377">
        <f t="shared" si="153"/>
        <v>0</v>
      </c>
      <c r="AD367" s="376"/>
      <c r="AE367" s="332">
        <v>352</v>
      </c>
      <c r="AF367" s="350">
        <v>468331.2606419755</v>
      </c>
      <c r="AG367" s="350">
        <v>466643.54382832639</v>
      </c>
      <c r="AH367" s="350">
        <v>464818.36083724274</v>
      </c>
      <c r="AI367" s="350">
        <v>462628.66313024488</v>
      </c>
      <c r="AJ367" s="350">
        <v>459873.31042845827</v>
      </c>
      <c r="AK367" s="348">
        <v>2322295.1388662476</v>
      </c>
      <c r="AL367" s="369"/>
      <c r="AM367" s="350">
        <v>13683721.923723143</v>
      </c>
      <c r="AN367" s="350">
        <v>13563369.519759219</v>
      </c>
      <c r="AO367" s="350">
        <v>13431411.342651509</v>
      </c>
      <c r="AP367" s="350">
        <v>13262013.504016409</v>
      </c>
      <c r="AQ367" s="350">
        <v>13033068.835082235</v>
      </c>
      <c r="AR367" s="348">
        <v>66973585.12523251</v>
      </c>
      <c r="AS367" s="369"/>
      <c r="AT367" s="350">
        <f t="shared" si="171"/>
        <v>13215390.663081167</v>
      </c>
      <c r="AU367" s="350">
        <f t="shared" si="154"/>
        <v>13096725.975930892</v>
      </c>
      <c r="AV367" s="350">
        <f t="shared" si="155"/>
        <v>12966592.981814265</v>
      </c>
      <c r="AW367" s="350">
        <f t="shared" si="156"/>
        <v>12799384.840886164</v>
      </c>
      <c r="AX367" s="350">
        <f t="shared" si="157"/>
        <v>12573195.524653777</v>
      </c>
      <c r="AY367" s="350">
        <f t="shared" si="158"/>
        <v>64651289.986366265</v>
      </c>
      <c r="AZ367" s="365"/>
      <c r="BA367" s="377">
        <f t="shared" si="159"/>
        <v>0</v>
      </c>
      <c r="BB367" s="377">
        <f t="shared" si="160"/>
        <v>0</v>
      </c>
      <c r="BC367" s="377">
        <f t="shared" si="161"/>
        <v>0</v>
      </c>
      <c r="BD367" s="377">
        <f t="shared" si="162"/>
        <v>0</v>
      </c>
      <c r="BE367" s="377">
        <f t="shared" si="163"/>
        <v>0</v>
      </c>
      <c r="BF367" s="377">
        <f t="shared" si="164"/>
        <v>0</v>
      </c>
      <c r="BG367" s="328"/>
    </row>
    <row r="368" spans="2:59">
      <c r="B368" s="332">
        <v>353</v>
      </c>
      <c r="C368" s="350">
        <v>3576673.5136705581</v>
      </c>
      <c r="D368" s="350">
        <v>3563784.320628691</v>
      </c>
      <c r="E368" s="350">
        <v>3549845.2902661599</v>
      </c>
      <c r="F368" s="350">
        <v>3533122.4394771084</v>
      </c>
      <c r="G368" s="350">
        <v>3512079.6480653379</v>
      </c>
      <c r="H368" s="348">
        <v>17735505.212107856</v>
      </c>
      <c r="I368" s="369"/>
      <c r="J368" s="350">
        <v>11715731.962805733</v>
      </c>
      <c r="K368" s="350">
        <v>11465347.941403707</v>
      </c>
      <c r="L368" s="350">
        <v>11208035.989998527</v>
      </c>
      <c r="M368" s="350">
        <v>10926436.231653355</v>
      </c>
      <c r="N368" s="350">
        <v>10605984.727671906</v>
      </c>
      <c r="O368" s="348">
        <v>55921536.853533231</v>
      </c>
      <c r="P368" s="369"/>
      <c r="Q368" s="350">
        <f t="shared" si="165"/>
        <v>8139058.449135175</v>
      </c>
      <c r="R368" s="350">
        <f t="shared" si="166"/>
        <v>7901563.620775016</v>
      </c>
      <c r="S368" s="350">
        <f t="shared" si="167"/>
        <v>7658190.6997323669</v>
      </c>
      <c r="T368" s="350">
        <f t="shared" si="168"/>
        <v>7393313.7921762466</v>
      </c>
      <c r="U368" s="350">
        <f t="shared" si="169"/>
        <v>7093905.0796065684</v>
      </c>
      <c r="V368" s="350">
        <f t="shared" si="170"/>
        <v>38186031.641425371</v>
      </c>
      <c r="W368" s="365"/>
      <c r="X368" s="377">
        <f t="shared" si="148"/>
        <v>0</v>
      </c>
      <c r="Y368" s="377">
        <f t="shared" si="149"/>
        <v>0</v>
      </c>
      <c r="Z368" s="377">
        <f t="shared" si="150"/>
        <v>0</v>
      </c>
      <c r="AA368" s="377">
        <f t="shared" si="151"/>
        <v>0</v>
      </c>
      <c r="AB368" s="377">
        <f t="shared" si="152"/>
        <v>0</v>
      </c>
      <c r="AC368" s="377">
        <f t="shared" si="153"/>
        <v>0</v>
      </c>
      <c r="AD368" s="376"/>
      <c r="AE368" s="332">
        <v>353</v>
      </c>
      <c r="AF368" s="350">
        <v>638710.62089472834</v>
      </c>
      <c r="AG368" s="350">
        <v>636408.91109115339</v>
      </c>
      <c r="AH368" s="350">
        <v>633919.72478340263</v>
      </c>
      <c r="AI368" s="350">
        <v>630933.41295768518</v>
      </c>
      <c r="AJ368" s="350">
        <v>627175.66030942148</v>
      </c>
      <c r="AK368" s="348">
        <v>3167148.330036391</v>
      </c>
      <c r="AL368" s="369"/>
      <c r="AM368" s="350">
        <v>16644693.816472977</v>
      </c>
      <c r="AN368" s="350">
        <v>16495095.636783507</v>
      </c>
      <c r="AO368" s="350">
        <v>16331445.760414481</v>
      </c>
      <c r="AP368" s="350">
        <v>16122423.646232996</v>
      </c>
      <c r="AQ368" s="350">
        <v>15841233.301349053</v>
      </c>
      <c r="AR368" s="348">
        <v>81434892.16125302</v>
      </c>
      <c r="AS368" s="369"/>
      <c r="AT368" s="350">
        <f t="shared" si="171"/>
        <v>16005983.195578249</v>
      </c>
      <c r="AU368" s="350">
        <f t="shared" si="154"/>
        <v>15858686.725692354</v>
      </c>
      <c r="AV368" s="350">
        <f t="shared" si="155"/>
        <v>15697526.035631079</v>
      </c>
      <c r="AW368" s="350">
        <f t="shared" si="156"/>
        <v>15491490.233275311</v>
      </c>
      <c r="AX368" s="350">
        <f t="shared" si="157"/>
        <v>15214057.641039632</v>
      </c>
      <c r="AY368" s="350">
        <f t="shared" si="158"/>
        <v>78267743.831216633</v>
      </c>
      <c r="AZ368" s="365"/>
      <c r="BA368" s="377">
        <f t="shared" si="159"/>
        <v>0</v>
      </c>
      <c r="BB368" s="377">
        <f t="shared" si="160"/>
        <v>0</v>
      </c>
      <c r="BC368" s="377">
        <f t="shared" si="161"/>
        <v>0</v>
      </c>
      <c r="BD368" s="377">
        <f t="shared" si="162"/>
        <v>0</v>
      </c>
      <c r="BE368" s="377">
        <f t="shared" si="163"/>
        <v>0</v>
      </c>
      <c r="BF368" s="377">
        <f t="shared" si="164"/>
        <v>0</v>
      </c>
      <c r="BG368" s="328"/>
    </row>
    <row r="369" spans="2:59">
      <c r="B369" s="332">
        <v>354</v>
      </c>
      <c r="C369" s="350">
        <v>4929887.5263737589</v>
      </c>
      <c r="D369" s="350">
        <v>4912121.7806999497</v>
      </c>
      <c r="E369" s="350">
        <v>4892908.9977463651</v>
      </c>
      <c r="F369" s="350">
        <v>4869859.1517944615</v>
      </c>
      <c r="G369" s="350">
        <v>4840854.9403380696</v>
      </c>
      <c r="H369" s="348">
        <v>24445632.396952607</v>
      </c>
      <c r="I369" s="369"/>
      <c r="J369" s="350">
        <v>15800885.518533453</v>
      </c>
      <c r="K369" s="350">
        <v>15458274.162556006</v>
      </c>
      <c r="L369" s="350">
        <v>15106419.667443711</v>
      </c>
      <c r="M369" s="350">
        <v>14722067.880468164</v>
      </c>
      <c r="N369" s="350">
        <v>14285722.315527193</v>
      </c>
      <c r="O369" s="348">
        <v>75373369.544528514</v>
      </c>
      <c r="P369" s="369"/>
      <c r="Q369" s="350">
        <f t="shared" si="165"/>
        <v>10870997.992159694</v>
      </c>
      <c r="R369" s="350">
        <f t="shared" si="166"/>
        <v>10546152.381856056</v>
      </c>
      <c r="S369" s="350">
        <f t="shared" si="167"/>
        <v>10213510.669697346</v>
      </c>
      <c r="T369" s="350">
        <f t="shared" si="168"/>
        <v>9852208.7286737021</v>
      </c>
      <c r="U369" s="350">
        <f t="shared" si="169"/>
        <v>9444867.3751891237</v>
      </c>
      <c r="V369" s="350">
        <f t="shared" si="170"/>
        <v>50927737.147575907</v>
      </c>
      <c r="W369" s="365"/>
      <c r="X369" s="377">
        <f t="shared" si="148"/>
        <v>0</v>
      </c>
      <c r="Y369" s="377">
        <f t="shared" si="149"/>
        <v>0</v>
      </c>
      <c r="Z369" s="377">
        <f t="shared" si="150"/>
        <v>0</v>
      </c>
      <c r="AA369" s="377">
        <f t="shared" si="151"/>
        <v>0</v>
      </c>
      <c r="AB369" s="377">
        <f t="shared" si="152"/>
        <v>0</v>
      </c>
      <c r="AC369" s="377">
        <f t="shared" si="153"/>
        <v>0</v>
      </c>
      <c r="AD369" s="376"/>
      <c r="AE369" s="332">
        <v>354</v>
      </c>
      <c r="AF369" s="350">
        <v>370837.12061178766</v>
      </c>
      <c r="AG369" s="350">
        <v>369500.74165061431</v>
      </c>
      <c r="AH369" s="350">
        <v>368055.51332211186</v>
      </c>
      <c r="AI369" s="350">
        <v>366321.6525681655</v>
      </c>
      <c r="AJ369" s="350">
        <v>364139.89117816166</v>
      </c>
      <c r="AK369" s="348">
        <v>1838854.9193308409</v>
      </c>
      <c r="AL369" s="369"/>
      <c r="AM369" s="350">
        <v>10025353.99475272</v>
      </c>
      <c r="AN369" s="350">
        <v>9935892.1473674159</v>
      </c>
      <c r="AO369" s="350">
        <v>9837953.6090590563</v>
      </c>
      <c r="AP369" s="350">
        <v>9712652.7577918619</v>
      </c>
      <c r="AQ369" s="350">
        <v>9543830.9003187492</v>
      </c>
      <c r="AR369" s="348">
        <v>49055683.409289807</v>
      </c>
      <c r="AS369" s="369"/>
      <c r="AT369" s="350">
        <f t="shared" si="171"/>
        <v>9654516.8741409332</v>
      </c>
      <c r="AU369" s="350">
        <f t="shared" si="154"/>
        <v>9566391.4057168011</v>
      </c>
      <c r="AV369" s="350">
        <f t="shared" si="155"/>
        <v>9469898.095736945</v>
      </c>
      <c r="AW369" s="350">
        <f t="shared" si="156"/>
        <v>9346331.1052236967</v>
      </c>
      <c r="AX369" s="350">
        <f t="shared" si="157"/>
        <v>9179691.0091405883</v>
      </c>
      <c r="AY369" s="350">
        <f t="shared" si="158"/>
        <v>47216828.489958964</v>
      </c>
      <c r="AZ369" s="365"/>
      <c r="BA369" s="377">
        <f t="shared" si="159"/>
        <v>0</v>
      </c>
      <c r="BB369" s="377">
        <f t="shared" si="160"/>
        <v>0</v>
      </c>
      <c r="BC369" s="377">
        <f t="shared" si="161"/>
        <v>0</v>
      </c>
      <c r="BD369" s="377">
        <f t="shared" si="162"/>
        <v>0</v>
      </c>
      <c r="BE369" s="377">
        <f t="shared" si="163"/>
        <v>0</v>
      </c>
      <c r="BF369" s="377">
        <f t="shared" si="164"/>
        <v>0</v>
      </c>
      <c r="BG369" s="328"/>
    </row>
    <row r="370" spans="2:59">
      <c r="B370" s="332">
        <v>355</v>
      </c>
      <c r="C370" s="350">
        <v>3535888.3545393683</v>
      </c>
      <c r="D370" s="350">
        <v>3523146.1382308477</v>
      </c>
      <c r="E370" s="350">
        <v>3509366.0559996734</v>
      </c>
      <c r="F370" s="350">
        <v>3492833.8975195368</v>
      </c>
      <c r="G370" s="350">
        <v>3472031.0591236101</v>
      </c>
      <c r="H370" s="348">
        <v>17533265.505413037</v>
      </c>
      <c r="I370" s="369"/>
      <c r="J370" s="350">
        <v>11241247.389121886</v>
      </c>
      <c r="K370" s="350">
        <v>10996175.431734107</v>
      </c>
      <c r="L370" s="350">
        <v>10744554.720829966</v>
      </c>
      <c r="M370" s="350">
        <v>10469884.392163936</v>
      </c>
      <c r="N370" s="350">
        <v>10158333.346860049</v>
      </c>
      <c r="O370" s="348">
        <v>53610195.280709952</v>
      </c>
      <c r="P370" s="369"/>
      <c r="Q370" s="350">
        <f t="shared" si="165"/>
        <v>7705359.034582518</v>
      </c>
      <c r="R370" s="350">
        <f t="shared" si="166"/>
        <v>7473029.2935032602</v>
      </c>
      <c r="S370" s="350">
        <f t="shared" si="167"/>
        <v>7235188.6648302916</v>
      </c>
      <c r="T370" s="350">
        <f t="shared" si="168"/>
        <v>6977050.4946443997</v>
      </c>
      <c r="U370" s="350">
        <f t="shared" si="169"/>
        <v>6686302.2877364391</v>
      </c>
      <c r="V370" s="350">
        <f t="shared" si="170"/>
        <v>36076929.775296912</v>
      </c>
      <c r="W370" s="365"/>
      <c r="X370" s="377">
        <f t="shared" si="148"/>
        <v>0</v>
      </c>
      <c r="Y370" s="377">
        <f t="shared" si="149"/>
        <v>0</v>
      </c>
      <c r="Z370" s="377">
        <f t="shared" si="150"/>
        <v>0</v>
      </c>
      <c r="AA370" s="377">
        <f t="shared" si="151"/>
        <v>0</v>
      </c>
      <c r="AB370" s="377">
        <f t="shared" si="152"/>
        <v>0</v>
      </c>
      <c r="AC370" s="377">
        <f t="shared" si="153"/>
        <v>0</v>
      </c>
      <c r="AD370" s="376"/>
      <c r="AE370" s="332">
        <v>355</v>
      </c>
      <c r="AF370" s="350">
        <v>400927.22869119514</v>
      </c>
      <c r="AG370" s="350">
        <v>399482.41455689131</v>
      </c>
      <c r="AH370" s="350">
        <v>397919.91890484706</v>
      </c>
      <c r="AI370" s="350">
        <v>396045.37089339312</v>
      </c>
      <c r="AJ370" s="350">
        <v>393686.57912433671</v>
      </c>
      <c r="AK370" s="348">
        <v>1988061.5121706636</v>
      </c>
      <c r="AL370" s="369"/>
      <c r="AM370" s="350">
        <v>14582155.071609074</v>
      </c>
      <c r="AN370" s="350">
        <v>14458454.632298667</v>
      </c>
      <c r="AO370" s="350">
        <v>14322293.426837936</v>
      </c>
      <c r="AP370" s="350">
        <v>14145994.312650833</v>
      </c>
      <c r="AQ370" s="350">
        <v>13905863.754778724</v>
      </c>
      <c r="AR370" s="348">
        <v>71414761.198175237</v>
      </c>
      <c r="AS370" s="369"/>
      <c r="AT370" s="350">
        <f t="shared" si="171"/>
        <v>14181227.842917878</v>
      </c>
      <c r="AU370" s="350">
        <f t="shared" si="154"/>
        <v>14058972.217741776</v>
      </c>
      <c r="AV370" s="350">
        <f t="shared" si="155"/>
        <v>13924373.50793309</v>
      </c>
      <c r="AW370" s="350">
        <f t="shared" si="156"/>
        <v>13749948.941757441</v>
      </c>
      <c r="AX370" s="350">
        <f t="shared" si="157"/>
        <v>13512177.175654387</v>
      </c>
      <c r="AY370" s="350">
        <f t="shared" si="158"/>
        <v>69426699.686004579</v>
      </c>
      <c r="AZ370" s="365"/>
      <c r="BA370" s="377">
        <f t="shared" si="159"/>
        <v>0</v>
      </c>
      <c r="BB370" s="377">
        <f t="shared" si="160"/>
        <v>0</v>
      </c>
      <c r="BC370" s="377">
        <f t="shared" si="161"/>
        <v>0</v>
      </c>
      <c r="BD370" s="377">
        <f t="shared" si="162"/>
        <v>0</v>
      </c>
      <c r="BE370" s="377">
        <f t="shared" si="163"/>
        <v>0</v>
      </c>
      <c r="BF370" s="377">
        <f t="shared" si="164"/>
        <v>0</v>
      </c>
      <c r="BG370" s="328"/>
    </row>
    <row r="371" spans="2:59">
      <c r="B371" s="332">
        <v>356</v>
      </c>
      <c r="C371" s="350">
        <v>5454385.461884113</v>
      </c>
      <c r="D371" s="350">
        <v>5434729.5925758667</v>
      </c>
      <c r="E371" s="350">
        <v>5413472.7335778177</v>
      </c>
      <c r="F371" s="350">
        <v>5387970.580843878</v>
      </c>
      <c r="G371" s="350">
        <v>5355880.5689612916</v>
      </c>
      <c r="H371" s="348">
        <v>27046438.937842969</v>
      </c>
      <c r="I371" s="369"/>
      <c r="J371" s="350">
        <v>16662058.949328948</v>
      </c>
      <c r="K371" s="350">
        <v>16288906.030270198</v>
      </c>
      <c r="L371" s="350">
        <v>15906248.565635853</v>
      </c>
      <c r="M371" s="350">
        <v>15489948.331673143</v>
      </c>
      <c r="N371" s="350">
        <v>15019797.767410383</v>
      </c>
      <c r="O371" s="348">
        <v>79366959.644318521</v>
      </c>
      <c r="P371" s="369"/>
      <c r="Q371" s="350">
        <f t="shared" si="165"/>
        <v>11207673.487444835</v>
      </c>
      <c r="R371" s="350">
        <f t="shared" si="166"/>
        <v>10854176.437694332</v>
      </c>
      <c r="S371" s="350">
        <f t="shared" si="167"/>
        <v>10492775.832058035</v>
      </c>
      <c r="T371" s="350">
        <f t="shared" si="168"/>
        <v>10101977.750829265</v>
      </c>
      <c r="U371" s="350">
        <f t="shared" si="169"/>
        <v>9663917.1984490901</v>
      </c>
      <c r="V371" s="350">
        <f t="shared" si="170"/>
        <v>52320520.706475556</v>
      </c>
      <c r="W371" s="365"/>
      <c r="X371" s="377">
        <f t="shared" si="148"/>
        <v>0</v>
      </c>
      <c r="Y371" s="377">
        <f t="shared" si="149"/>
        <v>0</v>
      </c>
      <c r="Z371" s="377">
        <f t="shared" si="150"/>
        <v>0</v>
      </c>
      <c r="AA371" s="377">
        <f t="shared" si="151"/>
        <v>0</v>
      </c>
      <c r="AB371" s="377">
        <f t="shared" si="152"/>
        <v>0</v>
      </c>
      <c r="AC371" s="377">
        <f t="shared" si="153"/>
        <v>0</v>
      </c>
      <c r="AD371" s="376"/>
      <c r="AE371" s="332">
        <v>356</v>
      </c>
      <c r="AF371" s="350">
        <v>418517.53750103957</v>
      </c>
      <c r="AG371" s="350">
        <v>417009.33349202393</v>
      </c>
      <c r="AH371" s="350">
        <v>415378.28479826392</v>
      </c>
      <c r="AI371" s="350">
        <v>413421.49273841252</v>
      </c>
      <c r="AJ371" s="350">
        <v>410959.21117702825</v>
      </c>
      <c r="AK371" s="348">
        <v>2075285.8597067681</v>
      </c>
      <c r="AL371" s="369"/>
      <c r="AM371" s="350">
        <v>14199934.169789569</v>
      </c>
      <c r="AN371" s="350">
        <v>14078172.409884736</v>
      </c>
      <c r="AO371" s="350">
        <v>13944303.121471075</v>
      </c>
      <c r="AP371" s="350">
        <v>13771416.727777634</v>
      </c>
      <c r="AQ371" s="350">
        <v>13536479.349796547</v>
      </c>
      <c r="AR371" s="348">
        <v>69530305.778719559</v>
      </c>
      <c r="AS371" s="369"/>
      <c r="AT371" s="350">
        <f t="shared" si="171"/>
        <v>13781416.63228853</v>
      </c>
      <c r="AU371" s="350">
        <f t="shared" si="154"/>
        <v>13661163.076392712</v>
      </c>
      <c r="AV371" s="350">
        <f t="shared" si="155"/>
        <v>13528924.836672811</v>
      </c>
      <c r="AW371" s="350">
        <f t="shared" si="156"/>
        <v>13357995.235039221</v>
      </c>
      <c r="AX371" s="350">
        <f t="shared" si="157"/>
        <v>13125520.138619518</v>
      </c>
      <c r="AY371" s="350">
        <f t="shared" si="158"/>
        <v>67455019.919012785</v>
      </c>
      <c r="AZ371" s="365"/>
      <c r="BA371" s="377">
        <f t="shared" si="159"/>
        <v>0</v>
      </c>
      <c r="BB371" s="377">
        <f t="shared" si="160"/>
        <v>0</v>
      </c>
      <c r="BC371" s="377">
        <f t="shared" si="161"/>
        <v>0</v>
      </c>
      <c r="BD371" s="377">
        <f t="shared" si="162"/>
        <v>0</v>
      </c>
      <c r="BE371" s="377">
        <f t="shared" si="163"/>
        <v>0</v>
      </c>
      <c r="BF371" s="377">
        <f t="shared" si="164"/>
        <v>0</v>
      </c>
      <c r="BG371" s="328"/>
    </row>
    <row r="372" spans="2:59">
      <c r="B372" s="332">
        <v>357</v>
      </c>
      <c r="C372" s="350">
        <v>3789574.0003490681</v>
      </c>
      <c r="D372" s="350">
        <v>3775917.5817102836</v>
      </c>
      <c r="E372" s="350">
        <v>3761148.8344790856</v>
      </c>
      <c r="F372" s="350">
        <v>3743430.5606920896</v>
      </c>
      <c r="G372" s="350">
        <v>3721135.2030297183</v>
      </c>
      <c r="H372" s="348">
        <v>18791206.180260245</v>
      </c>
      <c r="I372" s="369"/>
      <c r="J372" s="350">
        <v>14688552.982574429</v>
      </c>
      <c r="K372" s="350">
        <v>14406864.960767137</v>
      </c>
      <c r="L372" s="350">
        <v>14115832.936584011</v>
      </c>
      <c r="M372" s="350">
        <v>13792651.117643928</v>
      </c>
      <c r="N372" s="350">
        <v>13418105.469666336</v>
      </c>
      <c r="O372" s="348">
        <v>70422007.467235848</v>
      </c>
      <c r="P372" s="369"/>
      <c r="Q372" s="350">
        <f t="shared" si="165"/>
        <v>10898978.982225362</v>
      </c>
      <c r="R372" s="350">
        <f t="shared" si="166"/>
        <v>10630947.379056852</v>
      </c>
      <c r="S372" s="350">
        <f t="shared" si="167"/>
        <v>10354684.102104925</v>
      </c>
      <c r="T372" s="350">
        <f t="shared" si="168"/>
        <v>10049220.556951839</v>
      </c>
      <c r="U372" s="350">
        <f t="shared" si="169"/>
        <v>9696970.2666366175</v>
      </c>
      <c r="V372" s="350">
        <f t="shared" si="170"/>
        <v>51630801.286975607</v>
      </c>
      <c r="W372" s="365"/>
      <c r="X372" s="377">
        <f t="shared" si="148"/>
        <v>0</v>
      </c>
      <c r="Y372" s="377">
        <f t="shared" si="149"/>
        <v>0</v>
      </c>
      <c r="Z372" s="377">
        <f t="shared" si="150"/>
        <v>0</v>
      </c>
      <c r="AA372" s="377">
        <f t="shared" si="151"/>
        <v>0</v>
      </c>
      <c r="AB372" s="377">
        <f t="shared" si="152"/>
        <v>0</v>
      </c>
      <c r="AC372" s="377">
        <f t="shared" si="153"/>
        <v>0</v>
      </c>
      <c r="AD372" s="376"/>
      <c r="AE372" s="332">
        <v>357</v>
      </c>
      <c r="AF372" s="350">
        <v>539234.73418603058</v>
      </c>
      <c r="AG372" s="350">
        <v>537291.50381925586</v>
      </c>
      <c r="AH372" s="350">
        <v>535189.99544740643</v>
      </c>
      <c r="AI372" s="350">
        <v>532668.78629437613</v>
      </c>
      <c r="AJ372" s="350">
        <v>529496.2842502034</v>
      </c>
      <c r="AK372" s="348">
        <v>2673881.3039972726</v>
      </c>
      <c r="AL372" s="369"/>
      <c r="AM372" s="350">
        <v>14004412.109883795</v>
      </c>
      <c r="AN372" s="350">
        <v>13878458.715057753</v>
      </c>
      <c r="AO372" s="350">
        <v>13740684.331890514</v>
      </c>
      <c r="AP372" s="350">
        <v>13564739.429849379</v>
      </c>
      <c r="AQ372" s="350">
        <v>13328081.086737012</v>
      </c>
      <c r="AR372" s="348">
        <v>68516375.673418447</v>
      </c>
      <c r="AS372" s="369"/>
      <c r="AT372" s="350">
        <f t="shared" si="171"/>
        <v>13465177.375697764</v>
      </c>
      <c r="AU372" s="350">
        <f t="shared" si="154"/>
        <v>13341167.211238498</v>
      </c>
      <c r="AV372" s="350">
        <f t="shared" si="155"/>
        <v>13205494.336443108</v>
      </c>
      <c r="AW372" s="350">
        <f t="shared" si="156"/>
        <v>13032070.643555002</v>
      </c>
      <c r="AX372" s="350">
        <f t="shared" si="157"/>
        <v>12798584.802486809</v>
      </c>
      <c r="AY372" s="350">
        <f t="shared" si="158"/>
        <v>65842494.369421177</v>
      </c>
      <c r="AZ372" s="365"/>
      <c r="BA372" s="377">
        <f t="shared" si="159"/>
        <v>0</v>
      </c>
      <c r="BB372" s="377">
        <f t="shared" si="160"/>
        <v>0</v>
      </c>
      <c r="BC372" s="377">
        <f t="shared" si="161"/>
        <v>0</v>
      </c>
      <c r="BD372" s="377">
        <f t="shared" si="162"/>
        <v>0</v>
      </c>
      <c r="BE372" s="377">
        <f t="shared" si="163"/>
        <v>0</v>
      </c>
      <c r="BF372" s="377">
        <f t="shared" si="164"/>
        <v>0</v>
      </c>
      <c r="BG372" s="328"/>
    </row>
    <row r="373" spans="2:59">
      <c r="B373" s="332">
        <v>358</v>
      </c>
      <c r="C373" s="350">
        <v>5751031.3035432622</v>
      </c>
      <c r="D373" s="350">
        <v>5730306.4170312919</v>
      </c>
      <c r="E373" s="350">
        <v>5707893.4683376085</v>
      </c>
      <c r="F373" s="350">
        <v>5681004.3385345312</v>
      </c>
      <c r="G373" s="350">
        <v>5647169.057886051</v>
      </c>
      <c r="H373" s="348">
        <v>28517404.585332744</v>
      </c>
      <c r="I373" s="369"/>
      <c r="J373" s="350">
        <v>19379311.950534001</v>
      </c>
      <c r="K373" s="350">
        <v>18972811.526532933</v>
      </c>
      <c r="L373" s="350">
        <v>18554694.871755153</v>
      </c>
      <c r="M373" s="350">
        <v>18095998.935129233</v>
      </c>
      <c r="N373" s="350">
        <v>17572406.04634323</v>
      </c>
      <c r="O373" s="348">
        <v>92575223.330294549</v>
      </c>
      <c r="P373" s="369"/>
      <c r="Q373" s="350">
        <f t="shared" si="165"/>
        <v>13628280.646990739</v>
      </c>
      <c r="R373" s="350">
        <f t="shared" si="166"/>
        <v>13242505.109501641</v>
      </c>
      <c r="S373" s="350">
        <f t="shared" si="167"/>
        <v>12846801.403417544</v>
      </c>
      <c r="T373" s="350">
        <f t="shared" si="168"/>
        <v>12414994.596594702</v>
      </c>
      <c r="U373" s="350">
        <f t="shared" si="169"/>
        <v>11925236.988457179</v>
      </c>
      <c r="V373" s="350">
        <f t="shared" si="170"/>
        <v>64057818.744961806</v>
      </c>
      <c r="W373" s="365"/>
      <c r="X373" s="377">
        <f t="shared" si="148"/>
        <v>0</v>
      </c>
      <c r="Y373" s="377">
        <f t="shared" si="149"/>
        <v>0</v>
      </c>
      <c r="Z373" s="377">
        <f t="shared" si="150"/>
        <v>0</v>
      </c>
      <c r="AA373" s="377">
        <f t="shared" si="151"/>
        <v>0</v>
      </c>
      <c r="AB373" s="377">
        <f t="shared" si="152"/>
        <v>0</v>
      </c>
      <c r="AC373" s="377">
        <f t="shared" si="153"/>
        <v>0</v>
      </c>
      <c r="AD373" s="376"/>
      <c r="AE373" s="332">
        <v>358</v>
      </c>
      <c r="AF373" s="350">
        <v>548558.14227188833</v>
      </c>
      <c r="AG373" s="350">
        <v>546581.31330961199</v>
      </c>
      <c r="AH373" s="350">
        <v>544443.46970394987</v>
      </c>
      <c r="AI373" s="350">
        <v>541878.66865983163</v>
      </c>
      <c r="AJ373" s="350">
        <v>538651.31382273627</v>
      </c>
      <c r="AK373" s="348">
        <v>2720112.9077680176</v>
      </c>
      <c r="AL373" s="369"/>
      <c r="AM373" s="350">
        <v>13805526.052432418</v>
      </c>
      <c r="AN373" s="350">
        <v>13680573.529905919</v>
      </c>
      <c r="AO373" s="350">
        <v>13543983.985301508</v>
      </c>
      <c r="AP373" s="350">
        <v>13369807.54110329</v>
      </c>
      <c r="AQ373" s="350">
        <v>13135844.756783489</v>
      </c>
      <c r="AR373" s="348">
        <v>67535735.865526617</v>
      </c>
      <c r="AS373" s="369"/>
      <c r="AT373" s="350">
        <f t="shared" si="171"/>
        <v>13256967.91016053</v>
      </c>
      <c r="AU373" s="350">
        <f t="shared" si="154"/>
        <v>13133992.216596307</v>
      </c>
      <c r="AV373" s="350">
        <f t="shared" si="155"/>
        <v>12999540.515597558</v>
      </c>
      <c r="AW373" s="350">
        <f t="shared" si="156"/>
        <v>12827928.872443458</v>
      </c>
      <c r="AX373" s="350">
        <f t="shared" si="157"/>
        <v>12597193.442960752</v>
      </c>
      <c r="AY373" s="350">
        <f t="shared" si="158"/>
        <v>64815622.957758598</v>
      </c>
      <c r="AZ373" s="365"/>
      <c r="BA373" s="377">
        <f t="shared" si="159"/>
        <v>0</v>
      </c>
      <c r="BB373" s="377">
        <f t="shared" si="160"/>
        <v>0</v>
      </c>
      <c r="BC373" s="377">
        <f t="shared" si="161"/>
        <v>0</v>
      </c>
      <c r="BD373" s="377">
        <f t="shared" si="162"/>
        <v>0</v>
      </c>
      <c r="BE373" s="377">
        <f t="shared" si="163"/>
        <v>0</v>
      </c>
      <c r="BF373" s="377">
        <f t="shared" si="164"/>
        <v>0</v>
      </c>
      <c r="BG373" s="328"/>
    </row>
    <row r="374" spans="2:59">
      <c r="B374" s="332">
        <v>359</v>
      </c>
      <c r="C374" s="350">
        <v>7140761.3502392657</v>
      </c>
      <c r="D374" s="350">
        <v>7115028.318930326</v>
      </c>
      <c r="E374" s="350">
        <v>7087199.3071706183</v>
      </c>
      <c r="F374" s="350">
        <v>7053812.4503261596</v>
      </c>
      <c r="G374" s="350">
        <v>7011800.9133379525</v>
      </c>
      <c r="H374" s="348">
        <v>35408602.340004325</v>
      </c>
      <c r="I374" s="369"/>
      <c r="J374" s="350">
        <v>24069634.402762186</v>
      </c>
      <c r="K374" s="350">
        <v>23564850.762443576</v>
      </c>
      <c r="L374" s="350">
        <v>23045637.38438201</v>
      </c>
      <c r="M374" s="350">
        <v>22476018.107240666</v>
      </c>
      <c r="N374" s="350">
        <v>21825786.729967132</v>
      </c>
      <c r="O374" s="348">
        <v>114981927.38679557</v>
      </c>
      <c r="P374" s="369"/>
      <c r="Q374" s="350">
        <f t="shared" si="165"/>
        <v>16928873.05252292</v>
      </c>
      <c r="R374" s="350">
        <f t="shared" si="166"/>
        <v>16449822.44351325</v>
      </c>
      <c r="S374" s="350">
        <f t="shared" si="167"/>
        <v>15958438.077211391</v>
      </c>
      <c r="T374" s="350">
        <f t="shared" si="168"/>
        <v>15422205.656914506</v>
      </c>
      <c r="U374" s="350">
        <f t="shared" si="169"/>
        <v>14813985.816629179</v>
      </c>
      <c r="V374" s="350">
        <f t="shared" si="170"/>
        <v>79573325.046791241</v>
      </c>
      <c r="W374" s="365"/>
      <c r="X374" s="377">
        <f t="shared" si="148"/>
        <v>0</v>
      </c>
      <c r="Y374" s="377">
        <f t="shared" si="149"/>
        <v>0</v>
      </c>
      <c r="Z374" s="377">
        <f t="shared" si="150"/>
        <v>0</v>
      </c>
      <c r="AA374" s="377">
        <f t="shared" si="151"/>
        <v>0</v>
      </c>
      <c r="AB374" s="377">
        <f t="shared" si="152"/>
        <v>0</v>
      </c>
      <c r="AC374" s="377">
        <f t="shared" si="153"/>
        <v>0</v>
      </c>
      <c r="AD374" s="376"/>
      <c r="AE374" s="332">
        <v>359</v>
      </c>
      <c r="AF374" s="350">
        <v>366805.78315237199</v>
      </c>
      <c r="AG374" s="350">
        <v>365483.93184840103</v>
      </c>
      <c r="AH374" s="350">
        <v>364054.41446892236</v>
      </c>
      <c r="AI374" s="350">
        <v>362339.4023615066</v>
      </c>
      <c r="AJ374" s="350">
        <v>360181.35870613653</v>
      </c>
      <c r="AK374" s="348">
        <v>1818864.8905373386</v>
      </c>
      <c r="AL374" s="369"/>
      <c r="AM374" s="350">
        <v>12996016.811382849</v>
      </c>
      <c r="AN374" s="350">
        <v>12885331.356499542</v>
      </c>
      <c r="AO374" s="350">
        <v>12763549.514317237</v>
      </c>
      <c r="AP374" s="350">
        <v>12606018.873597682</v>
      </c>
      <c r="AQ374" s="350">
        <v>12391636.143932555</v>
      </c>
      <c r="AR374" s="348">
        <v>63642552.69972986</v>
      </c>
      <c r="AS374" s="369"/>
      <c r="AT374" s="350">
        <f t="shared" si="171"/>
        <v>12629211.028230477</v>
      </c>
      <c r="AU374" s="350">
        <f t="shared" si="154"/>
        <v>12519847.42465114</v>
      </c>
      <c r="AV374" s="350">
        <f t="shared" si="155"/>
        <v>12399495.099848315</v>
      </c>
      <c r="AW374" s="350">
        <f t="shared" si="156"/>
        <v>12243679.471236175</v>
      </c>
      <c r="AX374" s="350">
        <f t="shared" si="157"/>
        <v>12031454.785226418</v>
      </c>
      <c r="AY374" s="350">
        <f t="shared" si="158"/>
        <v>61823687.809192523</v>
      </c>
      <c r="AZ374" s="365"/>
      <c r="BA374" s="377">
        <f t="shared" si="159"/>
        <v>0</v>
      </c>
      <c r="BB374" s="377">
        <f t="shared" si="160"/>
        <v>0</v>
      </c>
      <c r="BC374" s="377">
        <f t="shared" si="161"/>
        <v>0</v>
      </c>
      <c r="BD374" s="377">
        <f t="shared" si="162"/>
        <v>0</v>
      </c>
      <c r="BE374" s="377">
        <f t="shared" si="163"/>
        <v>0</v>
      </c>
      <c r="BF374" s="377">
        <f t="shared" si="164"/>
        <v>0</v>
      </c>
      <c r="BG374" s="328"/>
    </row>
    <row r="375" spans="2:59">
      <c r="B375" s="332">
        <v>360</v>
      </c>
      <c r="C375" s="350">
        <v>5997859.9566153083</v>
      </c>
      <c r="D375" s="350">
        <v>5976245.5781926159</v>
      </c>
      <c r="E375" s="350">
        <v>5952870.6876061764</v>
      </c>
      <c r="F375" s="350">
        <v>5924827.502583907</v>
      </c>
      <c r="G375" s="350">
        <v>5889540.0446983436</v>
      </c>
      <c r="H375" s="348">
        <v>29741343.769696347</v>
      </c>
      <c r="I375" s="369"/>
      <c r="J375" s="350">
        <v>19325515.261444509</v>
      </c>
      <c r="K375" s="350">
        <v>18907950.628993176</v>
      </c>
      <c r="L375" s="350">
        <v>18479050.986679304</v>
      </c>
      <c r="M375" s="350">
        <v>18010327.464210499</v>
      </c>
      <c r="N375" s="350">
        <v>17477891.005846951</v>
      </c>
      <c r="O375" s="348">
        <v>92200735.347174436</v>
      </c>
      <c r="P375" s="369"/>
      <c r="Q375" s="350">
        <f t="shared" si="165"/>
        <v>13327655.304829201</v>
      </c>
      <c r="R375" s="350">
        <f t="shared" si="166"/>
        <v>12931705.05080056</v>
      </c>
      <c r="S375" s="350">
        <f t="shared" si="167"/>
        <v>12526180.299073128</v>
      </c>
      <c r="T375" s="350">
        <f t="shared" si="168"/>
        <v>12085499.961626593</v>
      </c>
      <c r="U375" s="350">
        <f t="shared" si="169"/>
        <v>11588350.961148608</v>
      </c>
      <c r="V375" s="350">
        <f t="shared" si="170"/>
        <v>62459391.577478088</v>
      </c>
      <c r="W375" s="365"/>
      <c r="X375" s="377">
        <f t="shared" si="148"/>
        <v>0</v>
      </c>
      <c r="Y375" s="377">
        <f t="shared" si="149"/>
        <v>0</v>
      </c>
      <c r="Z375" s="377">
        <f t="shared" si="150"/>
        <v>0</v>
      </c>
      <c r="AA375" s="377">
        <f t="shared" si="151"/>
        <v>0</v>
      </c>
      <c r="AB375" s="377">
        <f t="shared" si="152"/>
        <v>0</v>
      </c>
      <c r="AC375" s="377">
        <f t="shared" si="153"/>
        <v>0</v>
      </c>
      <c r="AD375" s="376"/>
      <c r="AE375" s="332">
        <v>360</v>
      </c>
      <c r="AF375" s="350">
        <v>355471.3874619609</v>
      </c>
      <c r="AG375" s="350">
        <v>354190.38171280728</v>
      </c>
      <c r="AH375" s="350">
        <v>352805.03679834842</v>
      </c>
      <c r="AI375" s="350">
        <v>351143.01901853626</v>
      </c>
      <c r="AJ375" s="350">
        <v>349051.65948274836</v>
      </c>
      <c r="AK375" s="348">
        <v>1762661.484474401</v>
      </c>
      <c r="AL375" s="369"/>
      <c r="AM375" s="350">
        <v>9837511.6429902203</v>
      </c>
      <c r="AN375" s="350">
        <v>9750116.5571575947</v>
      </c>
      <c r="AO375" s="350">
        <v>9654395.6310460921</v>
      </c>
      <c r="AP375" s="350">
        <v>9531804.4843800068</v>
      </c>
      <c r="AQ375" s="350">
        <v>9366475.6184090059</v>
      </c>
      <c r="AR375" s="348">
        <v>48140303.933982924</v>
      </c>
      <c r="AS375" s="369"/>
      <c r="AT375" s="350">
        <f t="shared" si="171"/>
        <v>9482040.25552826</v>
      </c>
      <c r="AU375" s="350">
        <f t="shared" si="154"/>
        <v>9395926.1754447874</v>
      </c>
      <c r="AV375" s="350">
        <f t="shared" si="155"/>
        <v>9301590.5942477435</v>
      </c>
      <c r="AW375" s="350">
        <f t="shared" si="156"/>
        <v>9180661.4653614704</v>
      </c>
      <c r="AX375" s="350">
        <f t="shared" si="157"/>
        <v>9017423.9589262567</v>
      </c>
      <c r="AY375" s="350">
        <f t="shared" si="158"/>
        <v>46377642.449508525</v>
      </c>
      <c r="AZ375" s="365"/>
      <c r="BA375" s="377">
        <f t="shared" si="159"/>
        <v>0</v>
      </c>
      <c r="BB375" s="377">
        <f t="shared" si="160"/>
        <v>0</v>
      </c>
      <c r="BC375" s="377">
        <f t="shared" si="161"/>
        <v>0</v>
      </c>
      <c r="BD375" s="377">
        <f t="shared" si="162"/>
        <v>0</v>
      </c>
      <c r="BE375" s="377">
        <f t="shared" si="163"/>
        <v>0</v>
      </c>
      <c r="BF375" s="377">
        <f t="shared" si="164"/>
        <v>0</v>
      </c>
      <c r="BG375" s="328"/>
    </row>
    <row r="376" spans="2:59">
      <c r="B376" s="332">
        <v>361</v>
      </c>
      <c r="C376" s="350">
        <v>7401157.0737951519</v>
      </c>
      <c r="D376" s="350">
        <v>7374485.6591712795</v>
      </c>
      <c r="E376" s="350">
        <v>7345641.8318621395</v>
      </c>
      <c r="F376" s="350">
        <v>7311037.4865288706</v>
      </c>
      <c r="G376" s="350">
        <v>7267493.9525959119</v>
      </c>
      <c r="H376" s="348">
        <v>36699816.003953353</v>
      </c>
      <c r="I376" s="369"/>
      <c r="J376" s="350">
        <v>19376051.192784794</v>
      </c>
      <c r="K376" s="350">
        <v>18893014.50984937</v>
      </c>
      <c r="L376" s="350">
        <v>18399927.821281508</v>
      </c>
      <c r="M376" s="350">
        <v>17870307.011123225</v>
      </c>
      <c r="N376" s="350">
        <v>17282107.297240201</v>
      </c>
      <c r="O376" s="348">
        <v>91821407.832279086</v>
      </c>
      <c r="P376" s="369"/>
      <c r="Q376" s="350">
        <f t="shared" si="165"/>
        <v>11974894.118989643</v>
      </c>
      <c r="R376" s="350">
        <f t="shared" si="166"/>
        <v>11518528.85067809</v>
      </c>
      <c r="S376" s="350">
        <f t="shared" si="167"/>
        <v>11054285.989419367</v>
      </c>
      <c r="T376" s="350">
        <f t="shared" si="168"/>
        <v>10559269.524594355</v>
      </c>
      <c r="U376" s="350">
        <f t="shared" si="169"/>
        <v>10014613.344644289</v>
      </c>
      <c r="V376" s="350">
        <f t="shared" si="170"/>
        <v>55121591.828325734</v>
      </c>
      <c r="W376" s="365"/>
      <c r="X376" s="377">
        <f t="shared" si="148"/>
        <v>0</v>
      </c>
      <c r="Y376" s="377">
        <f t="shared" si="149"/>
        <v>0</v>
      </c>
      <c r="Z376" s="377">
        <f t="shared" si="150"/>
        <v>0</v>
      </c>
      <c r="AA376" s="377">
        <f t="shared" si="151"/>
        <v>0</v>
      </c>
      <c r="AB376" s="377">
        <f t="shared" si="152"/>
        <v>0</v>
      </c>
      <c r="AC376" s="377">
        <f t="shared" si="153"/>
        <v>0</v>
      </c>
      <c r="AD376" s="376"/>
      <c r="AE376" s="332">
        <v>361</v>
      </c>
      <c r="AF376" s="350">
        <v>598056.0430691283</v>
      </c>
      <c r="AG376" s="350">
        <v>595900.8394254325</v>
      </c>
      <c r="AH376" s="350">
        <v>593570.09234690457</v>
      </c>
      <c r="AI376" s="350">
        <v>590773.86229305423</v>
      </c>
      <c r="AJ376" s="350">
        <v>587255.29440623091</v>
      </c>
      <c r="AK376" s="348">
        <v>2965556.1315407506</v>
      </c>
      <c r="AL376" s="369"/>
      <c r="AM376" s="350">
        <v>17147492.326326665</v>
      </c>
      <c r="AN376" s="350">
        <v>16996156.517747857</v>
      </c>
      <c r="AO376" s="350">
        <v>16830287.746371459</v>
      </c>
      <c r="AP376" s="350">
        <v>16617529.519186256</v>
      </c>
      <c r="AQ376" s="350">
        <v>16330194.020638201</v>
      </c>
      <c r="AR376" s="348">
        <v>83921660.130270436</v>
      </c>
      <c r="AS376" s="369"/>
      <c r="AT376" s="350">
        <f t="shared" si="171"/>
        <v>16549436.283257537</v>
      </c>
      <c r="AU376" s="350">
        <f t="shared" si="154"/>
        <v>16400255.678322423</v>
      </c>
      <c r="AV376" s="350">
        <f t="shared" si="155"/>
        <v>16236717.654024554</v>
      </c>
      <c r="AW376" s="350">
        <f t="shared" si="156"/>
        <v>16026755.656893203</v>
      </c>
      <c r="AX376" s="350">
        <f t="shared" si="157"/>
        <v>15742938.72623197</v>
      </c>
      <c r="AY376" s="350">
        <f t="shared" si="158"/>
        <v>80956103.998729691</v>
      </c>
      <c r="AZ376" s="365"/>
      <c r="BA376" s="377">
        <f t="shared" si="159"/>
        <v>0</v>
      </c>
      <c r="BB376" s="377">
        <f t="shared" si="160"/>
        <v>0</v>
      </c>
      <c r="BC376" s="377">
        <f t="shared" si="161"/>
        <v>0</v>
      </c>
      <c r="BD376" s="377">
        <f t="shared" si="162"/>
        <v>0</v>
      </c>
      <c r="BE376" s="377">
        <f t="shared" si="163"/>
        <v>0</v>
      </c>
      <c r="BF376" s="377">
        <f t="shared" si="164"/>
        <v>0</v>
      </c>
      <c r="BG376" s="328"/>
    </row>
    <row r="377" spans="2:59">
      <c r="B377" s="332">
        <v>362</v>
      </c>
      <c r="C377" s="350">
        <v>2627913.3481018515</v>
      </c>
      <c r="D377" s="350">
        <v>2618443.1847471255</v>
      </c>
      <c r="E377" s="350">
        <v>2608201.6673681187</v>
      </c>
      <c r="F377" s="350">
        <v>2595914.7749137478</v>
      </c>
      <c r="G377" s="350">
        <v>2580453.863477197</v>
      </c>
      <c r="H377" s="348">
        <v>13030926.83860804</v>
      </c>
      <c r="I377" s="369"/>
      <c r="J377" s="350">
        <v>8884093.1238990016</v>
      </c>
      <c r="K377" s="350">
        <v>8698136.7314613182</v>
      </c>
      <c r="L377" s="350">
        <v>8506846.9961195253</v>
      </c>
      <c r="M377" s="350">
        <v>8296933.5336394738</v>
      </c>
      <c r="N377" s="350">
        <v>8057236.6121071391</v>
      </c>
      <c r="O377" s="348">
        <v>42443246.997226462</v>
      </c>
      <c r="P377" s="369"/>
      <c r="Q377" s="350">
        <f t="shared" si="165"/>
        <v>6256179.7757971501</v>
      </c>
      <c r="R377" s="350">
        <f t="shared" si="166"/>
        <v>6079693.5467141923</v>
      </c>
      <c r="S377" s="350">
        <f t="shared" si="167"/>
        <v>5898645.3287514066</v>
      </c>
      <c r="T377" s="350">
        <f t="shared" si="168"/>
        <v>5701018.758725726</v>
      </c>
      <c r="U377" s="350">
        <f t="shared" si="169"/>
        <v>5476782.7486299425</v>
      </c>
      <c r="V377" s="350">
        <f t="shared" si="170"/>
        <v>29412320.15861842</v>
      </c>
      <c r="W377" s="365"/>
      <c r="X377" s="377">
        <f t="shared" si="148"/>
        <v>0</v>
      </c>
      <c r="Y377" s="377">
        <f t="shared" si="149"/>
        <v>0</v>
      </c>
      <c r="Z377" s="377">
        <f t="shared" si="150"/>
        <v>0</v>
      </c>
      <c r="AA377" s="377">
        <f t="shared" si="151"/>
        <v>0</v>
      </c>
      <c r="AB377" s="377">
        <f t="shared" si="152"/>
        <v>0</v>
      </c>
      <c r="AC377" s="377">
        <f t="shared" si="153"/>
        <v>0</v>
      </c>
      <c r="AD377" s="376"/>
      <c r="AE377" s="332">
        <v>362</v>
      </c>
      <c r="AF377" s="350">
        <v>502199.38396210183</v>
      </c>
      <c r="AG377" s="350">
        <v>500389.61721077445</v>
      </c>
      <c r="AH377" s="350">
        <v>498432.44319577521</v>
      </c>
      <c r="AI377" s="350">
        <v>496084.39400083112</v>
      </c>
      <c r="AJ377" s="350">
        <v>493129.78356645873</v>
      </c>
      <c r="AK377" s="348">
        <v>2490235.6219359413</v>
      </c>
      <c r="AL377" s="369"/>
      <c r="AM377" s="350">
        <v>16625917.570244372</v>
      </c>
      <c r="AN377" s="350">
        <v>16482788.336580746</v>
      </c>
      <c r="AO377" s="350">
        <v>16325494.607253479</v>
      </c>
      <c r="AP377" s="350">
        <v>16122547.698595151</v>
      </c>
      <c r="AQ377" s="350">
        <v>15846995.25282691</v>
      </c>
      <c r="AR377" s="348">
        <v>81403743.465500653</v>
      </c>
      <c r="AS377" s="369"/>
      <c r="AT377" s="350">
        <f t="shared" si="171"/>
        <v>16123718.18628227</v>
      </c>
      <c r="AU377" s="350">
        <f t="shared" si="154"/>
        <v>15982398.719369972</v>
      </c>
      <c r="AV377" s="350">
        <f t="shared" si="155"/>
        <v>15827062.164057704</v>
      </c>
      <c r="AW377" s="350">
        <f t="shared" si="156"/>
        <v>15626463.304594319</v>
      </c>
      <c r="AX377" s="350">
        <f t="shared" si="157"/>
        <v>15353865.469260452</v>
      </c>
      <c r="AY377" s="350">
        <f t="shared" si="158"/>
        <v>78913507.843564719</v>
      </c>
      <c r="AZ377" s="365"/>
      <c r="BA377" s="377">
        <f t="shared" si="159"/>
        <v>0</v>
      </c>
      <c r="BB377" s="377">
        <f t="shared" si="160"/>
        <v>0</v>
      </c>
      <c r="BC377" s="377">
        <f t="shared" si="161"/>
        <v>0</v>
      </c>
      <c r="BD377" s="377">
        <f t="shared" si="162"/>
        <v>0</v>
      </c>
      <c r="BE377" s="377">
        <f t="shared" si="163"/>
        <v>0</v>
      </c>
      <c r="BF377" s="377">
        <f t="shared" si="164"/>
        <v>0</v>
      </c>
      <c r="BG377" s="328"/>
    </row>
    <row r="378" spans="2:59">
      <c r="B378" s="332">
        <v>363</v>
      </c>
      <c r="C378" s="350">
        <v>6532810.0632077679</v>
      </c>
      <c r="D378" s="350">
        <v>6509267.8948525339</v>
      </c>
      <c r="E378" s="350">
        <v>6483808.1939668776</v>
      </c>
      <c r="F378" s="350">
        <v>6453263.8327041892</v>
      </c>
      <c r="G378" s="350">
        <v>6414829.080701421</v>
      </c>
      <c r="H378" s="348">
        <v>32393979.065432791</v>
      </c>
      <c r="I378" s="369"/>
      <c r="J378" s="350">
        <v>19057003.995443873</v>
      </c>
      <c r="K378" s="350">
        <v>18616554.905889604</v>
      </c>
      <c r="L378" s="350">
        <v>18165514.069207389</v>
      </c>
      <c r="M378" s="350">
        <v>17676714.905469865</v>
      </c>
      <c r="N378" s="350">
        <v>17127449.873145472</v>
      </c>
      <c r="O378" s="348">
        <v>90643237.749156207</v>
      </c>
      <c r="P378" s="369"/>
      <c r="Q378" s="350">
        <f t="shared" si="165"/>
        <v>12524193.932236105</v>
      </c>
      <c r="R378" s="350">
        <f t="shared" si="166"/>
        <v>12107287.01103707</v>
      </c>
      <c r="S378" s="350">
        <f t="shared" si="167"/>
        <v>11681705.875240512</v>
      </c>
      <c r="T378" s="350">
        <f t="shared" si="168"/>
        <v>11223451.072765674</v>
      </c>
      <c r="U378" s="350">
        <f t="shared" si="169"/>
        <v>10712620.79244405</v>
      </c>
      <c r="V378" s="350">
        <f t="shared" si="170"/>
        <v>58249258.68372342</v>
      </c>
      <c r="W378" s="365"/>
      <c r="X378" s="377">
        <f t="shared" si="148"/>
        <v>0</v>
      </c>
      <c r="Y378" s="377">
        <f t="shared" si="149"/>
        <v>0</v>
      </c>
      <c r="Z378" s="377">
        <f t="shared" si="150"/>
        <v>0</v>
      </c>
      <c r="AA378" s="377">
        <f t="shared" si="151"/>
        <v>0</v>
      </c>
      <c r="AB378" s="377">
        <f t="shared" si="152"/>
        <v>0</v>
      </c>
      <c r="AC378" s="377">
        <f t="shared" si="153"/>
        <v>0</v>
      </c>
      <c r="AD378" s="376"/>
      <c r="AE378" s="332">
        <v>363</v>
      </c>
      <c r="AF378" s="350">
        <v>394045.86444217572</v>
      </c>
      <c r="AG378" s="350">
        <v>392625.84855458292</v>
      </c>
      <c r="AH378" s="350">
        <v>391090.17099058512</v>
      </c>
      <c r="AI378" s="350">
        <v>389247.79701657727</v>
      </c>
      <c r="AJ378" s="350">
        <v>386929.4906628005</v>
      </c>
      <c r="AK378" s="348">
        <v>1953939.1716667218</v>
      </c>
      <c r="AL378" s="369"/>
      <c r="AM378" s="350">
        <v>10220067.991227033</v>
      </c>
      <c r="AN378" s="350">
        <v>10128125.969028221</v>
      </c>
      <c r="AO378" s="350">
        <v>10027557.784882475</v>
      </c>
      <c r="AP378" s="350">
        <v>9899135.001678234</v>
      </c>
      <c r="AQ378" s="350">
        <v>9726407.0840161368</v>
      </c>
      <c r="AR378" s="348">
        <v>50001293.830832101</v>
      </c>
      <c r="AS378" s="369"/>
      <c r="AT378" s="350">
        <f t="shared" si="171"/>
        <v>9826022.1267848574</v>
      </c>
      <c r="AU378" s="350">
        <f t="shared" si="154"/>
        <v>9735500.1204736382</v>
      </c>
      <c r="AV378" s="350">
        <f t="shared" si="155"/>
        <v>9636467.6138918903</v>
      </c>
      <c r="AW378" s="350">
        <f t="shared" si="156"/>
        <v>9509887.2046616562</v>
      </c>
      <c r="AX378" s="350">
        <f t="shared" si="157"/>
        <v>9339477.5933533367</v>
      </c>
      <c r="AY378" s="350">
        <f t="shared" si="158"/>
        <v>48047354.659165382</v>
      </c>
      <c r="AZ378" s="365"/>
      <c r="BA378" s="377">
        <f t="shared" si="159"/>
        <v>0</v>
      </c>
      <c r="BB378" s="377">
        <f t="shared" si="160"/>
        <v>0</v>
      </c>
      <c r="BC378" s="377">
        <f t="shared" si="161"/>
        <v>0</v>
      </c>
      <c r="BD378" s="377">
        <f t="shared" si="162"/>
        <v>0</v>
      </c>
      <c r="BE378" s="377">
        <f t="shared" si="163"/>
        <v>0</v>
      </c>
      <c r="BF378" s="377">
        <f t="shared" si="164"/>
        <v>0</v>
      </c>
      <c r="BG378" s="328"/>
    </row>
    <row r="379" spans="2:59">
      <c r="B379" s="332">
        <v>364</v>
      </c>
      <c r="C379" s="350">
        <v>5522603.8354200218</v>
      </c>
      <c r="D379" s="350">
        <v>5502702.1288045272</v>
      </c>
      <c r="E379" s="350">
        <v>5481179.4088112358</v>
      </c>
      <c r="F379" s="350">
        <v>5455358.2989017675</v>
      </c>
      <c r="G379" s="350">
        <v>5422866.9350368753</v>
      </c>
      <c r="H379" s="348">
        <v>27384710.606974427</v>
      </c>
      <c r="I379" s="369"/>
      <c r="J379" s="350">
        <v>20666087.282040559</v>
      </c>
      <c r="K379" s="350">
        <v>20260910.794010211</v>
      </c>
      <c r="L379" s="350">
        <v>19842768.563648336</v>
      </c>
      <c r="M379" s="350">
        <v>19379859.923710629</v>
      </c>
      <c r="N379" s="350">
        <v>18845413.910455309</v>
      </c>
      <c r="O379" s="348">
        <v>98995040.473865062</v>
      </c>
      <c r="P379" s="369"/>
      <c r="Q379" s="350">
        <f t="shared" si="165"/>
        <v>15143483.446620537</v>
      </c>
      <c r="R379" s="350">
        <f t="shared" si="166"/>
        <v>14758208.665205684</v>
      </c>
      <c r="S379" s="350">
        <f t="shared" si="167"/>
        <v>14361589.1548371</v>
      </c>
      <c r="T379" s="350">
        <f t="shared" si="168"/>
        <v>13924501.624808863</v>
      </c>
      <c r="U379" s="350">
        <f t="shared" si="169"/>
        <v>13422546.975418434</v>
      </c>
      <c r="V379" s="350">
        <f t="shared" si="170"/>
        <v>71610329.866890639</v>
      </c>
      <c r="W379" s="365"/>
      <c r="X379" s="377">
        <f t="shared" si="148"/>
        <v>0</v>
      </c>
      <c r="Y379" s="377">
        <f t="shared" si="149"/>
        <v>0</v>
      </c>
      <c r="Z379" s="377">
        <f t="shared" si="150"/>
        <v>0</v>
      </c>
      <c r="AA379" s="377">
        <f t="shared" si="151"/>
        <v>0</v>
      </c>
      <c r="AB379" s="377">
        <f t="shared" si="152"/>
        <v>0</v>
      </c>
      <c r="AC379" s="377">
        <f t="shared" si="153"/>
        <v>0</v>
      </c>
      <c r="AD379" s="376"/>
      <c r="AE379" s="332">
        <v>364</v>
      </c>
      <c r="AF379" s="350">
        <v>319892.94134519185</v>
      </c>
      <c r="AG379" s="350">
        <v>318740.14899275335</v>
      </c>
      <c r="AH379" s="350">
        <v>317493.46058098559</v>
      </c>
      <c r="AI379" s="350">
        <v>315997.79095776164</v>
      </c>
      <c r="AJ379" s="350">
        <v>314115.75156750245</v>
      </c>
      <c r="AK379" s="348">
        <v>1586240.0934441949</v>
      </c>
      <c r="AL379" s="369"/>
      <c r="AM379" s="350">
        <v>10863441.656522833</v>
      </c>
      <c r="AN379" s="350">
        <v>10770303.029080614</v>
      </c>
      <c r="AO379" s="350">
        <v>10667901.450453524</v>
      </c>
      <c r="AP379" s="350">
        <v>10535649.731250659</v>
      </c>
      <c r="AQ379" s="350">
        <v>10355925.760899073</v>
      </c>
      <c r="AR379" s="348">
        <v>53193221.628206708</v>
      </c>
      <c r="AS379" s="369"/>
      <c r="AT379" s="350">
        <f t="shared" si="171"/>
        <v>10543548.71517764</v>
      </c>
      <c r="AU379" s="350">
        <f t="shared" si="154"/>
        <v>10451562.880087862</v>
      </c>
      <c r="AV379" s="350">
        <f t="shared" si="155"/>
        <v>10350407.989872538</v>
      </c>
      <c r="AW379" s="350">
        <f t="shared" si="156"/>
        <v>10219651.940292897</v>
      </c>
      <c r="AX379" s="350">
        <f t="shared" si="157"/>
        <v>10041810.009331571</v>
      </c>
      <c r="AY379" s="350">
        <f t="shared" si="158"/>
        <v>51606981.534762509</v>
      </c>
      <c r="AZ379" s="365"/>
      <c r="BA379" s="377">
        <f t="shared" si="159"/>
        <v>0</v>
      </c>
      <c r="BB379" s="377">
        <f t="shared" si="160"/>
        <v>0</v>
      </c>
      <c r="BC379" s="377">
        <f t="shared" si="161"/>
        <v>0</v>
      </c>
      <c r="BD379" s="377">
        <f t="shared" si="162"/>
        <v>0</v>
      </c>
      <c r="BE379" s="377">
        <f t="shared" si="163"/>
        <v>0</v>
      </c>
      <c r="BF379" s="377">
        <f t="shared" si="164"/>
        <v>0</v>
      </c>
      <c r="BG379" s="328"/>
    </row>
    <row r="380" spans="2:59">
      <c r="B380" s="332">
        <v>365</v>
      </c>
      <c r="C380" s="350">
        <v>4768275.2523629591</v>
      </c>
      <c r="D380" s="350">
        <v>4751091.9058904452</v>
      </c>
      <c r="E380" s="350">
        <v>4732508.9591200594</v>
      </c>
      <c r="F380" s="350">
        <v>4710214.7364962669</v>
      </c>
      <c r="G380" s="350">
        <v>4682161.3452247754</v>
      </c>
      <c r="H380" s="348">
        <v>23644252.199094508</v>
      </c>
      <c r="I380" s="369"/>
      <c r="J380" s="350">
        <v>17910734.951551363</v>
      </c>
      <c r="K380" s="350">
        <v>17560415.358308684</v>
      </c>
      <c r="L380" s="350">
        <v>17198841.641598094</v>
      </c>
      <c r="M380" s="350">
        <v>16798426.034823492</v>
      </c>
      <c r="N380" s="350">
        <v>16335942.118065497</v>
      </c>
      <c r="O380" s="348">
        <v>85804360.104347125</v>
      </c>
      <c r="P380" s="369"/>
      <c r="Q380" s="350">
        <f t="shared" si="165"/>
        <v>13142459.699188404</v>
      </c>
      <c r="R380" s="350">
        <f t="shared" si="166"/>
        <v>12809323.452418238</v>
      </c>
      <c r="S380" s="350">
        <f t="shared" si="167"/>
        <v>12466332.682478035</v>
      </c>
      <c r="T380" s="350">
        <f t="shared" si="168"/>
        <v>12088211.298327226</v>
      </c>
      <c r="U380" s="350">
        <f t="shared" si="169"/>
        <v>11653780.772840722</v>
      </c>
      <c r="V380" s="350">
        <f t="shared" si="170"/>
        <v>62160107.905252621</v>
      </c>
      <c r="W380" s="365"/>
      <c r="X380" s="377">
        <f t="shared" si="148"/>
        <v>0</v>
      </c>
      <c r="Y380" s="377">
        <f t="shared" si="149"/>
        <v>0</v>
      </c>
      <c r="Z380" s="377">
        <f t="shared" si="150"/>
        <v>0</v>
      </c>
      <c r="AA380" s="377">
        <f t="shared" si="151"/>
        <v>0</v>
      </c>
      <c r="AB380" s="377">
        <f t="shared" si="152"/>
        <v>0</v>
      </c>
      <c r="AC380" s="377">
        <f t="shared" si="153"/>
        <v>0</v>
      </c>
      <c r="AD380" s="376"/>
      <c r="AE380" s="332">
        <v>365</v>
      </c>
      <c r="AF380" s="350">
        <v>507443.15840077726</v>
      </c>
      <c r="AG380" s="350">
        <v>505614.49475524091</v>
      </c>
      <c r="AH380" s="350">
        <v>503636.88467560353</v>
      </c>
      <c r="AI380" s="350">
        <v>501264.31804646418</v>
      </c>
      <c r="AJ380" s="350">
        <v>498278.85669676453</v>
      </c>
      <c r="AK380" s="348">
        <v>2516237.7125748503</v>
      </c>
      <c r="AL380" s="369"/>
      <c r="AM380" s="350">
        <v>17417672.685017183</v>
      </c>
      <c r="AN380" s="350">
        <v>17268593.692621782</v>
      </c>
      <c r="AO380" s="350">
        <v>17104657.976666287</v>
      </c>
      <c r="AP380" s="350">
        <v>16892849.329001196</v>
      </c>
      <c r="AQ380" s="350">
        <v>16604906.216392981</v>
      </c>
      <c r="AR380" s="348">
        <v>85288679.899699435</v>
      </c>
      <c r="AS380" s="369"/>
      <c r="AT380" s="350">
        <f t="shared" si="171"/>
        <v>16910229.526616406</v>
      </c>
      <c r="AU380" s="350">
        <f t="shared" si="154"/>
        <v>16762979.197866542</v>
      </c>
      <c r="AV380" s="350">
        <f t="shared" si="155"/>
        <v>16601021.091990683</v>
      </c>
      <c r="AW380" s="350">
        <f t="shared" si="156"/>
        <v>16391585.010954732</v>
      </c>
      <c r="AX380" s="350">
        <f t="shared" si="157"/>
        <v>16106627.359696217</v>
      </c>
      <c r="AY380" s="350">
        <f t="shared" si="158"/>
        <v>82772442.18712458</v>
      </c>
      <c r="AZ380" s="365"/>
      <c r="BA380" s="377">
        <f t="shared" si="159"/>
        <v>0</v>
      </c>
      <c r="BB380" s="377">
        <f t="shared" si="160"/>
        <v>0</v>
      </c>
      <c r="BC380" s="377">
        <f t="shared" si="161"/>
        <v>0</v>
      </c>
      <c r="BD380" s="377">
        <f t="shared" si="162"/>
        <v>0</v>
      </c>
      <c r="BE380" s="377">
        <f t="shared" si="163"/>
        <v>0</v>
      </c>
      <c r="BF380" s="377">
        <f t="shared" si="164"/>
        <v>0</v>
      </c>
      <c r="BG380" s="328"/>
    </row>
    <row r="381" spans="2:59">
      <c r="B381" s="332">
        <v>366</v>
      </c>
      <c r="C381" s="350">
        <v>2515886.1966146575</v>
      </c>
      <c r="D381" s="350">
        <v>2506819.7434604652</v>
      </c>
      <c r="E381" s="350">
        <v>2497014.8188708299</v>
      </c>
      <c r="F381" s="350">
        <v>2485251.7129268809</v>
      </c>
      <c r="G381" s="350">
        <v>2470449.8954703063</v>
      </c>
      <c r="H381" s="348">
        <v>12475422.367343141</v>
      </c>
      <c r="I381" s="369"/>
      <c r="J381" s="350">
        <v>7099782.7308141515</v>
      </c>
      <c r="K381" s="350">
        <v>6931884.1593250837</v>
      </c>
      <c r="L381" s="350">
        <v>6760117.319219402</v>
      </c>
      <c r="M381" s="350">
        <v>6574484.118712076</v>
      </c>
      <c r="N381" s="350">
        <v>6366637.5020720884</v>
      </c>
      <c r="O381" s="348">
        <v>33732905.830142796</v>
      </c>
      <c r="P381" s="369"/>
      <c r="Q381" s="350">
        <f t="shared" si="165"/>
        <v>4583896.5341994939</v>
      </c>
      <c r="R381" s="350">
        <f t="shared" si="166"/>
        <v>4425064.4158646185</v>
      </c>
      <c r="S381" s="350">
        <f t="shared" si="167"/>
        <v>4263102.5003485717</v>
      </c>
      <c r="T381" s="350">
        <f t="shared" si="168"/>
        <v>4089232.4057851951</v>
      </c>
      <c r="U381" s="350">
        <f t="shared" si="169"/>
        <v>3896187.6066017821</v>
      </c>
      <c r="V381" s="350">
        <f t="shared" si="170"/>
        <v>21257483.462799653</v>
      </c>
      <c r="W381" s="365"/>
      <c r="X381" s="377">
        <f t="shared" si="148"/>
        <v>0</v>
      </c>
      <c r="Y381" s="377">
        <f t="shared" si="149"/>
        <v>0</v>
      </c>
      <c r="Z381" s="377">
        <f t="shared" si="150"/>
        <v>0</v>
      </c>
      <c r="AA381" s="377">
        <f t="shared" si="151"/>
        <v>0</v>
      </c>
      <c r="AB381" s="377">
        <f t="shared" si="152"/>
        <v>0</v>
      </c>
      <c r="AC381" s="377">
        <f t="shared" si="153"/>
        <v>0</v>
      </c>
      <c r="AD381" s="376"/>
      <c r="AE381" s="332">
        <v>366</v>
      </c>
      <c r="AF381" s="350">
        <v>312384.2913821495</v>
      </c>
      <c r="AG381" s="350">
        <v>311258.55781449733</v>
      </c>
      <c r="AH381" s="350">
        <v>310041.13215187792</v>
      </c>
      <c r="AI381" s="350">
        <v>308580.56946041039</v>
      </c>
      <c r="AJ381" s="350">
        <v>306742.70602145127</v>
      </c>
      <c r="AK381" s="348">
        <v>1549007.2568303864</v>
      </c>
      <c r="AL381" s="369"/>
      <c r="AM381" s="350">
        <v>12313226.606843758</v>
      </c>
      <c r="AN381" s="350">
        <v>12209987.226001428</v>
      </c>
      <c r="AO381" s="350">
        <v>12096201.142803852</v>
      </c>
      <c r="AP381" s="350">
        <v>11948458.474524878</v>
      </c>
      <c r="AQ381" s="350">
        <v>11746716.363952326</v>
      </c>
      <c r="AR381" s="348">
        <v>60314589.814126246</v>
      </c>
      <c r="AS381" s="369"/>
      <c r="AT381" s="350">
        <f t="shared" si="171"/>
        <v>12000842.31546161</v>
      </c>
      <c r="AU381" s="350">
        <f t="shared" si="154"/>
        <v>11898728.668186931</v>
      </c>
      <c r="AV381" s="350">
        <f t="shared" si="155"/>
        <v>11786160.010651974</v>
      </c>
      <c r="AW381" s="350">
        <f t="shared" si="156"/>
        <v>11639877.905064467</v>
      </c>
      <c r="AX381" s="350">
        <f t="shared" si="157"/>
        <v>11439973.657930875</v>
      </c>
      <c r="AY381" s="350">
        <f t="shared" si="158"/>
        <v>58765582.557295859</v>
      </c>
      <c r="AZ381" s="365"/>
      <c r="BA381" s="377">
        <f t="shared" si="159"/>
        <v>0</v>
      </c>
      <c r="BB381" s="377">
        <f t="shared" si="160"/>
        <v>0</v>
      </c>
      <c r="BC381" s="377">
        <f t="shared" si="161"/>
        <v>0</v>
      </c>
      <c r="BD381" s="377">
        <f t="shared" si="162"/>
        <v>0</v>
      </c>
      <c r="BE381" s="377">
        <f t="shared" si="163"/>
        <v>0</v>
      </c>
      <c r="BF381" s="377">
        <f t="shared" si="164"/>
        <v>0</v>
      </c>
      <c r="BG381" s="328"/>
    </row>
    <row r="382" spans="2:59">
      <c r="B382" s="332">
        <v>367</v>
      </c>
      <c r="C382" s="350">
        <v>5125503.4357188493</v>
      </c>
      <c r="D382" s="350">
        <v>5107032.7525638957</v>
      </c>
      <c r="E382" s="350">
        <v>5087057.6142850798</v>
      </c>
      <c r="F382" s="350">
        <v>5063093.1599263875</v>
      </c>
      <c r="G382" s="350">
        <v>5032938.0732890675</v>
      </c>
      <c r="H382" s="348">
        <v>25415625.03578328</v>
      </c>
      <c r="I382" s="369"/>
      <c r="J382" s="350">
        <v>16285227.006923486</v>
      </c>
      <c r="K382" s="350">
        <v>15930048.967801766</v>
      </c>
      <c r="L382" s="350">
        <v>15565386.622320369</v>
      </c>
      <c r="M382" s="350">
        <v>15167339.694741381</v>
      </c>
      <c r="N382" s="350">
        <v>14715875.22657777</v>
      </c>
      <c r="O382" s="348">
        <v>77663877.518364772</v>
      </c>
      <c r="P382" s="369"/>
      <c r="Q382" s="350">
        <f t="shared" si="165"/>
        <v>11159723.571204636</v>
      </c>
      <c r="R382" s="350">
        <f t="shared" si="166"/>
        <v>10823016.215237871</v>
      </c>
      <c r="S382" s="350">
        <f t="shared" si="167"/>
        <v>10478329.008035289</v>
      </c>
      <c r="T382" s="350">
        <f t="shared" si="168"/>
        <v>10104246.534814995</v>
      </c>
      <c r="U382" s="350">
        <f t="shared" si="169"/>
        <v>9682937.1532887034</v>
      </c>
      <c r="V382" s="350">
        <f t="shared" si="170"/>
        <v>52248252.482581496</v>
      </c>
      <c r="W382" s="365"/>
      <c r="X382" s="377">
        <f t="shared" si="148"/>
        <v>0</v>
      </c>
      <c r="Y382" s="377">
        <f t="shared" si="149"/>
        <v>0</v>
      </c>
      <c r="Z382" s="377">
        <f t="shared" si="150"/>
        <v>0</v>
      </c>
      <c r="AA382" s="377">
        <f t="shared" si="151"/>
        <v>0</v>
      </c>
      <c r="AB382" s="377">
        <f t="shared" si="152"/>
        <v>0</v>
      </c>
      <c r="AC382" s="377">
        <f t="shared" si="153"/>
        <v>0</v>
      </c>
      <c r="AD382" s="376"/>
      <c r="AE382" s="332">
        <v>367</v>
      </c>
      <c r="AF382" s="350">
        <v>542183.98760288383</v>
      </c>
      <c r="AG382" s="350">
        <v>540230.12906541524</v>
      </c>
      <c r="AH382" s="350">
        <v>538117.1268480228</v>
      </c>
      <c r="AI382" s="350">
        <v>535582.12836682471</v>
      </c>
      <c r="AJ382" s="350">
        <v>532392.27485788055</v>
      </c>
      <c r="AK382" s="348">
        <v>2688505.646741027</v>
      </c>
      <c r="AL382" s="369"/>
      <c r="AM382" s="350">
        <v>13804424.191646503</v>
      </c>
      <c r="AN382" s="350">
        <v>13679775.347939849</v>
      </c>
      <c r="AO382" s="350">
        <v>13543484.413451595</v>
      </c>
      <c r="AP382" s="350">
        <v>13369594.096130732</v>
      </c>
      <c r="AQ382" s="350">
        <v>13135898.028577814</v>
      </c>
      <c r="AR382" s="348">
        <v>67533176.077746496</v>
      </c>
      <c r="AS382" s="369"/>
      <c r="AT382" s="350">
        <f t="shared" si="171"/>
        <v>13262240.204043619</v>
      </c>
      <c r="AU382" s="350">
        <f t="shared" si="154"/>
        <v>13139545.218874434</v>
      </c>
      <c r="AV382" s="350">
        <f t="shared" si="155"/>
        <v>13005367.286603572</v>
      </c>
      <c r="AW382" s="350">
        <f t="shared" si="156"/>
        <v>12834011.967763908</v>
      </c>
      <c r="AX382" s="350">
        <f t="shared" si="157"/>
        <v>12603505.753719933</v>
      </c>
      <c r="AY382" s="350">
        <f t="shared" si="158"/>
        <v>64844670.43100547</v>
      </c>
      <c r="AZ382" s="365"/>
      <c r="BA382" s="377">
        <f t="shared" si="159"/>
        <v>0</v>
      </c>
      <c r="BB382" s="377">
        <f t="shared" si="160"/>
        <v>0</v>
      </c>
      <c r="BC382" s="377">
        <f t="shared" si="161"/>
        <v>0</v>
      </c>
      <c r="BD382" s="377">
        <f t="shared" si="162"/>
        <v>0</v>
      </c>
      <c r="BE382" s="377">
        <f t="shared" si="163"/>
        <v>0</v>
      </c>
      <c r="BF382" s="377">
        <f t="shared" si="164"/>
        <v>0</v>
      </c>
      <c r="BG382" s="328"/>
    </row>
    <row r="383" spans="2:59">
      <c r="B383" s="332">
        <v>368</v>
      </c>
      <c r="C383" s="350">
        <v>4440709.0656201765</v>
      </c>
      <c r="D383" s="350">
        <v>4424706.1634344514</v>
      </c>
      <c r="E383" s="350">
        <v>4407399.8092871523</v>
      </c>
      <c r="F383" s="350">
        <v>4386637.1327895299</v>
      </c>
      <c r="G383" s="350">
        <v>4360510.9252307331</v>
      </c>
      <c r="H383" s="348">
        <v>22019963.096362043</v>
      </c>
      <c r="I383" s="369"/>
      <c r="J383" s="350">
        <v>14172034.183720715</v>
      </c>
      <c r="K383" s="350">
        <v>13863858.630927492</v>
      </c>
      <c r="L383" s="350">
        <v>13547410.801891901</v>
      </c>
      <c r="M383" s="350">
        <v>13201862.230077513</v>
      </c>
      <c r="N383" s="350">
        <v>12809752.387336336</v>
      </c>
      <c r="O383" s="348">
        <v>67594918.233953953</v>
      </c>
      <c r="P383" s="369"/>
      <c r="Q383" s="350">
        <f t="shared" si="165"/>
        <v>9731325.1181005388</v>
      </c>
      <c r="R383" s="350">
        <f t="shared" si="166"/>
        <v>9439152.4674930405</v>
      </c>
      <c r="S383" s="350">
        <f t="shared" si="167"/>
        <v>9140010.9926047474</v>
      </c>
      <c r="T383" s="350">
        <f t="shared" si="168"/>
        <v>8815225.0972879827</v>
      </c>
      <c r="U383" s="350">
        <f t="shared" si="169"/>
        <v>8449241.462105602</v>
      </c>
      <c r="V383" s="350">
        <f t="shared" si="170"/>
        <v>45574955.137591913</v>
      </c>
      <c r="W383" s="365"/>
      <c r="X383" s="377">
        <f t="shared" si="148"/>
        <v>0</v>
      </c>
      <c r="Y383" s="377">
        <f t="shared" si="149"/>
        <v>0</v>
      </c>
      <c r="Z383" s="377">
        <f t="shared" si="150"/>
        <v>0</v>
      </c>
      <c r="AA383" s="377">
        <f t="shared" si="151"/>
        <v>0</v>
      </c>
      <c r="AB383" s="377">
        <f t="shared" si="152"/>
        <v>0</v>
      </c>
      <c r="AC383" s="377">
        <f t="shared" si="153"/>
        <v>0</v>
      </c>
      <c r="AD383" s="376"/>
      <c r="AE383" s="332">
        <v>368</v>
      </c>
      <c r="AF383" s="350">
        <v>419086.67494445894</v>
      </c>
      <c r="AG383" s="350">
        <v>417576.41994522925</v>
      </c>
      <c r="AH383" s="350">
        <v>415943.15320610546</v>
      </c>
      <c r="AI383" s="350">
        <v>413983.70012603281</v>
      </c>
      <c r="AJ383" s="350">
        <v>411518.07013475674</v>
      </c>
      <c r="AK383" s="348">
        <v>2078108.0183565831</v>
      </c>
      <c r="AL383" s="369"/>
      <c r="AM383" s="350">
        <v>10794233.058362439</v>
      </c>
      <c r="AN383" s="350">
        <v>10696991.018410346</v>
      </c>
      <c r="AO383" s="350">
        <v>10590640.947925413</v>
      </c>
      <c r="AP383" s="350">
        <v>10454878.503441481</v>
      </c>
      <c r="AQ383" s="350">
        <v>10272332.945235956</v>
      </c>
      <c r="AR383" s="348">
        <v>52809076.473375633</v>
      </c>
      <c r="AS383" s="369"/>
      <c r="AT383" s="350">
        <f t="shared" si="171"/>
        <v>10375146.383417981</v>
      </c>
      <c r="AU383" s="350">
        <f t="shared" si="154"/>
        <v>10279414.598465117</v>
      </c>
      <c r="AV383" s="350">
        <f t="shared" si="155"/>
        <v>10174697.794719307</v>
      </c>
      <c r="AW383" s="350">
        <f t="shared" si="156"/>
        <v>10040894.803315448</v>
      </c>
      <c r="AX383" s="350">
        <f t="shared" si="157"/>
        <v>9860814.8751011994</v>
      </c>
      <c r="AY383" s="350">
        <f t="shared" si="158"/>
        <v>50730968.455019049</v>
      </c>
      <c r="AZ383" s="365"/>
      <c r="BA383" s="377">
        <f t="shared" si="159"/>
        <v>0</v>
      </c>
      <c r="BB383" s="377">
        <f t="shared" si="160"/>
        <v>0</v>
      </c>
      <c r="BC383" s="377">
        <f t="shared" si="161"/>
        <v>0</v>
      </c>
      <c r="BD383" s="377">
        <f t="shared" si="162"/>
        <v>0</v>
      </c>
      <c r="BE383" s="377">
        <f t="shared" si="163"/>
        <v>0</v>
      </c>
      <c r="BF383" s="377">
        <f t="shared" si="164"/>
        <v>0</v>
      </c>
      <c r="BG383" s="328"/>
    </row>
    <row r="384" spans="2:59">
      <c r="B384" s="332">
        <v>369</v>
      </c>
      <c r="C384" s="350">
        <v>8322844.6669720709</v>
      </c>
      <c r="D384" s="350">
        <v>8292851.7835959252</v>
      </c>
      <c r="E384" s="350">
        <v>8260415.9506712426</v>
      </c>
      <c r="F384" s="350">
        <v>8221502.2256767033</v>
      </c>
      <c r="G384" s="350">
        <v>8172536.0889548939</v>
      </c>
      <c r="H384" s="348">
        <v>41270150.715870835</v>
      </c>
      <c r="I384" s="369"/>
      <c r="J384" s="350">
        <v>22443031.696260862</v>
      </c>
      <c r="K384" s="350">
        <v>21895127.259125881</v>
      </c>
      <c r="L384" s="350">
        <v>21335345.345452879</v>
      </c>
      <c r="M384" s="350">
        <v>20732635.402341176</v>
      </c>
      <c r="N384" s="350">
        <v>20061119.958261222</v>
      </c>
      <c r="O384" s="348">
        <v>106467259.66144201</v>
      </c>
      <c r="P384" s="369"/>
      <c r="Q384" s="350">
        <f t="shared" si="165"/>
        <v>14120187.029288791</v>
      </c>
      <c r="R384" s="350">
        <f t="shared" si="166"/>
        <v>13602275.475529956</v>
      </c>
      <c r="S384" s="350">
        <f t="shared" si="167"/>
        <v>13074929.394781636</v>
      </c>
      <c r="T384" s="350">
        <f t="shared" si="168"/>
        <v>12511133.176664472</v>
      </c>
      <c r="U384" s="350">
        <f t="shared" si="169"/>
        <v>11888583.869306328</v>
      </c>
      <c r="V384" s="350">
        <f t="shared" si="170"/>
        <v>65197108.945571177</v>
      </c>
      <c r="W384" s="365"/>
      <c r="X384" s="377">
        <f t="shared" si="148"/>
        <v>0</v>
      </c>
      <c r="Y384" s="377">
        <f t="shared" si="149"/>
        <v>0</v>
      </c>
      <c r="Z384" s="377">
        <f t="shared" si="150"/>
        <v>0</v>
      </c>
      <c r="AA384" s="377">
        <f t="shared" si="151"/>
        <v>0</v>
      </c>
      <c r="AB384" s="377">
        <f t="shared" si="152"/>
        <v>0</v>
      </c>
      <c r="AC384" s="377">
        <f t="shared" si="153"/>
        <v>0</v>
      </c>
      <c r="AD384" s="376"/>
      <c r="AE384" s="332">
        <v>369</v>
      </c>
      <c r="AF384" s="350">
        <v>467100.99295106228</v>
      </c>
      <c r="AG384" s="350">
        <v>465417.70963062975</v>
      </c>
      <c r="AH384" s="350">
        <v>463597.32124510134</v>
      </c>
      <c r="AI384" s="350">
        <v>461413.37569382781</v>
      </c>
      <c r="AJ384" s="350">
        <v>458665.26107689901</v>
      </c>
      <c r="AK384" s="348">
        <v>2316194.6605975199</v>
      </c>
      <c r="AL384" s="369"/>
      <c r="AM384" s="350">
        <v>11632407.30841499</v>
      </c>
      <c r="AN384" s="350">
        <v>11526896.554399043</v>
      </c>
      <c r="AO384" s="350">
        <v>11411585.188100772</v>
      </c>
      <c r="AP384" s="350">
        <v>11264615.413997494</v>
      </c>
      <c r="AQ384" s="350">
        <v>11067288.911687337</v>
      </c>
      <c r="AR384" s="348">
        <v>56902793.376599632</v>
      </c>
      <c r="AS384" s="369"/>
      <c r="AT384" s="350">
        <f t="shared" si="171"/>
        <v>11165306.315463929</v>
      </c>
      <c r="AU384" s="350">
        <f t="shared" si="154"/>
        <v>11061478.844768414</v>
      </c>
      <c r="AV384" s="350">
        <f t="shared" si="155"/>
        <v>10947987.86685567</v>
      </c>
      <c r="AW384" s="350">
        <f t="shared" si="156"/>
        <v>10803202.038303666</v>
      </c>
      <c r="AX384" s="350">
        <f t="shared" si="157"/>
        <v>10608623.650610438</v>
      </c>
      <c r="AY384" s="350">
        <f t="shared" si="158"/>
        <v>54586598.716002114</v>
      </c>
      <c r="AZ384" s="365"/>
      <c r="BA384" s="377">
        <f t="shared" si="159"/>
        <v>0</v>
      </c>
      <c r="BB384" s="377">
        <f t="shared" si="160"/>
        <v>0</v>
      </c>
      <c r="BC384" s="377">
        <f t="shared" si="161"/>
        <v>0</v>
      </c>
      <c r="BD384" s="377">
        <f t="shared" si="162"/>
        <v>0</v>
      </c>
      <c r="BE384" s="377">
        <f t="shared" si="163"/>
        <v>0</v>
      </c>
      <c r="BF384" s="377">
        <f t="shared" si="164"/>
        <v>0</v>
      </c>
      <c r="BG384" s="328"/>
    </row>
    <row r="385" spans="2:59">
      <c r="B385" s="332">
        <v>370</v>
      </c>
      <c r="C385" s="350">
        <v>6318543.138681598</v>
      </c>
      <c r="D385" s="350">
        <v>6295773.1201304086</v>
      </c>
      <c r="E385" s="350">
        <v>6271148.4614020092</v>
      </c>
      <c r="F385" s="350">
        <v>6241605.9119608887</v>
      </c>
      <c r="G385" s="350">
        <v>6204431.7654291</v>
      </c>
      <c r="H385" s="348">
        <v>31331502.397604004</v>
      </c>
      <c r="I385" s="369"/>
      <c r="J385" s="350">
        <v>20217352.399345648</v>
      </c>
      <c r="K385" s="350">
        <v>19778481.453496344</v>
      </c>
      <c r="L385" s="350">
        <v>19327793.992654592</v>
      </c>
      <c r="M385" s="350">
        <v>18835552.208186843</v>
      </c>
      <c r="N385" s="350">
        <v>18276824.922224447</v>
      </c>
      <c r="O385" s="348">
        <v>96436004.975907877</v>
      </c>
      <c r="P385" s="369"/>
      <c r="Q385" s="350">
        <f t="shared" si="165"/>
        <v>13898809.26066405</v>
      </c>
      <c r="R385" s="350">
        <f t="shared" si="166"/>
        <v>13482708.333365936</v>
      </c>
      <c r="S385" s="350">
        <f t="shared" si="167"/>
        <v>13056645.531252582</v>
      </c>
      <c r="T385" s="350">
        <f t="shared" si="168"/>
        <v>12593946.296225954</v>
      </c>
      <c r="U385" s="350">
        <f t="shared" si="169"/>
        <v>12072393.156795347</v>
      </c>
      <c r="V385" s="350">
        <f t="shared" si="170"/>
        <v>65104502.578303874</v>
      </c>
      <c r="W385" s="365"/>
      <c r="X385" s="377">
        <f t="shared" si="148"/>
        <v>0</v>
      </c>
      <c r="Y385" s="377">
        <f t="shared" si="149"/>
        <v>0</v>
      </c>
      <c r="Z385" s="377">
        <f t="shared" si="150"/>
        <v>0</v>
      </c>
      <c r="AA385" s="377">
        <f t="shared" si="151"/>
        <v>0</v>
      </c>
      <c r="AB385" s="377">
        <f t="shared" si="152"/>
        <v>0</v>
      </c>
      <c r="AC385" s="377">
        <f t="shared" si="153"/>
        <v>0</v>
      </c>
      <c r="AD385" s="376"/>
      <c r="AE385" s="332">
        <v>370</v>
      </c>
      <c r="AF385" s="350">
        <v>439424.72117801057</v>
      </c>
      <c r="AG385" s="350">
        <v>437841.17433288094</v>
      </c>
      <c r="AH385" s="350">
        <v>436128.64605566021</v>
      </c>
      <c r="AI385" s="350">
        <v>434074.10179345845</v>
      </c>
      <c r="AJ385" s="350">
        <v>431488.81613247143</v>
      </c>
      <c r="AK385" s="348">
        <v>2178957.4594924813</v>
      </c>
      <c r="AL385" s="369"/>
      <c r="AM385" s="350">
        <v>13421170.619567908</v>
      </c>
      <c r="AN385" s="350">
        <v>13304051.675291436</v>
      </c>
      <c r="AO385" s="350">
        <v>13175530.766227081</v>
      </c>
      <c r="AP385" s="350">
        <v>13010239.832272498</v>
      </c>
      <c r="AQ385" s="350">
        <v>12786468.504443025</v>
      </c>
      <c r="AR385" s="348">
        <v>65697461.397801951</v>
      </c>
      <c r="AS385" s="369"/>
      <c r="AT385" s="350">
        <f t="shared" si="171"/>
        <v>12981745.898389898</v>
      </c>
      <c r="AU385" s="350">
        <f t="shared" si="154"/>
        <v>12866210.500958554</v>
      </c>
      <c r="AV385" s="350">
        <f t="shared" si="155"/>
        <v>12739402.12017142</v>
      </c>
      <c r="AW385" s="350">
        <f t="shared" si="156"/>
        <v>12576165.730479039</v>
      </c>
      <c r="AX385" s="350">
        <f t="shared" si="157"/>
        <v>12354979.688310554</v>
      </c>
      <c r="AY385" s="350">
        <f t="shared" si="158"/>
        <v>63518503.938309468</v>
      </c>
      <c r="AZ385" s="365"/>
      <c r="BA385" s="377">
        <f t="shared" si="159"/>
        <v>0</v>
      </c>
      <c r="BB385" s="377">
        <f t="shared" si="160"/>
        <v>0</v>
      </c>
      <c r="BC385" s="377">
        <f t="shared" si="161"/>
        <v>0</v>
      </c>
      <c r="BD385" s="377">
        <f t="shared" si="162"/>
        <v>0</v>
      </c>
      <c r="BE385" s="377">
        <f t="shared" si="163"/>
        <v>0</v>
      </c>
      <c r="BF385" s="377">
        <f t="shared" si="164"/>
        <v>0</v>
      </c>
      <c r="BG385" s="328"/>
    </row>
    <row r="386" spans="2:59">
      <c r="B386" s="332">
        <v>371</v>
      </c>
      <c r="C386" s="350">
        <v>6405513.6828398071</v>
      </c>
      <c r="D386" s="350">
        <v>6382430.2501264531</v>
      </c>
      <c r="E386" s="350">
        <v>6357466.6493472829</v>
      </c>
      <c r="F386" s="350">
        <v>6327517.4663603688</v>
      </c>
      <c r="G386" s="350">
        <v>6289831.6424242295</v>
      </c>
      <c r="H386" s="348">
        <v>31762759.691098142</v>
      </c>
      <c r="I386" s="369"/>
      <c r="J386" s="350">
        <v>24820698.48431319</v>
      </c>
      <c r="K386" s="350">
        <v>24344614.43693196</v>
      </c>
      <c r="L386" s="350">
        <v>23852742.702561162</v>
      </c>
      <c r="M386" s="350">
        <v>23306548.923162978</v>
      </c>
      <c r="N386" s="350">
        <v>22673567.85330613</v>
      </c>
      <c r="O386" s="348">
        <v>118998172.40027542</v>
      </c>
      <c r="P386" s="369"/>
      <c r="Q386" s="350">
        <f t="shared" si="165"/>
        <v>18415184.801473383</v>
      </c>
      <c r="R386" s="350">
        <f t="shared" si="166"/>
        <v>17962184.186805509</v>
      </c>
      <c r="S386" s="350">
        <f t="shared" si="167"/>
        <v>17495276.053213879</v>
      </c>
      <c r="T386" s="350">
        <f t="shared" si="168"/>
        <v>16979031.45680261</v>
      </c>
      <c r="U386" s="350">
        <f t="shared" si="169"/>
        <v>16383736.2108819</v>
      </c>
      <c r="V386" s="350">
        <f t="shared" si="170"/>
        <v>87235412.709177285</v>
      </c>
      <c r="W386" s="365"/>
      <c r="X386" s="377">
        <f t="shared" si="148"/>
        <v>0</v>
      </c>
      <c r="Y386" s="377">
        <f t="shared" si="149"/>
        <v>0</v>
      </c>
      <c r="Z386" s="377">
        <f t="shared" si="150"/>
        <v>0</v>
      </c>
      <c r="AA386" s="377">
        <f t="shared" si="151"/>
        <v>0</v>
      </c>
      <c r="AB386" s="377">
        <f t="shared" si="152"/>
        <v>0</v>
      </c>
      <c r="AC386" s="377">
        <f t="shared" si="153"/>
        <v>0</v>
      </c>
      <c r="AD386" s="376"/>
      <c r="AE386" s="332">
        <v>371</v>
      </c>
      <c r="AF386" s="350">
        <v>427269.21095146</v>
      </c>
      <c r="AG386" s="350">
        <v>425729.46869661042</v>
      </c>
      <c r="AH386" s="350">
        <v>424064.31293619133</v>
      </c>
      <c r="AI386" s="350">
        <v>422066.60214872711</v>
      </c>
      <c r="AJ386" s="350">
        <v>419552.8315044794</v>
      </c>
      <c r="AK386" s="348">
        <v>2118682.4262374681</v>
      </c>
      <c r="AL386" s="369"/>
      <c r="AM386" s="350">
        <v>15744696.307243247</v>
      </c>
      <c r="AN386" s="350">
        <v>15611394.839687705</v>
      </c>
      <c r="AO386" s="350">
        <v>15464633.863649704</v>
      </c>
      <c r="AP386" s="350">
        <v>15274521.293102683</v>
      </c>
      <c r="AQ386" s="350">
        <v>15015466.935849056</v>
      </c>
      <c r="AR386" s="348">
        <v>77110713.239532396</v>
      </c>
      <c r="AS386" s="369"/>
      <c r="AT386" s="350">
        <f t="shared" si="171"/>
        <v>15317427.096291786</v>
      </c>
      <c r="AU386" s="350">
        <f t="shared" si="154"/>
        <v>15185665.370991094</v>
      </c>
      <c r="AV386" s="350">
        <f t="shared" si="155"/>
        <v>15040569.550713513</v>
      </c>
      <c r="AW386" s="350">
        <f t="shared" si="156"/>
        <v>14852454.690953957</v>
      </c>
      <c r="AX386" s="350">
        <f t="shared" si="157"/>
        <v>14595914.104344577</v>
      </c>
      <c r="AY386" s="350">
        <f t="shared" si="158"/>
        <v>74992030.813294932</v>
      </c>
      <c r="AZ386" s="365"/>
      <c r="BA386" s="377">
        <f t="shared" si="159"/>
        <v>0</v>
      </c>
      <c r="BB386" s="377">
        <f t="shared" si="160"/>
        <v>0</v>
      </c>
      <c r="BC386" s="377">
        <f t="shared" si="161"/>
        <v>0</v>
      </c>
      <c r="BD386" s="377">
        <f t="shared" si="162"/>
        <v>0</v>
      </c>
      <c r="BE386" s="377">
        <f t="shared" si="163"/>
        <v>0</v>
      </c>
      <c r="BF386" s="377">
        <f t="shared" si="164"/>
        <v>0</v>
      </c>
      <c r="BG386" s="328"/>
    </row>
    <row r="387" spans="2:59">
      <c r="B387" s="332">
        <v>372</v>
      </c>
      <c r="C387" s="350">
        <v>4901111.0265688142</v>
      </c>
      <c r="D387" s="350">
        <v>4883448.9822419798</v>
      </c>
      <c r="E387" s="350">
        <v>4864348.3472110322</v>
      </c>
      <c r="F387" s="350">
        <v>4841433.0466993619</v>
      </c>
      <c r="G387" s="350">
        <v>4812598.1372160604</v>
      </c>
      <c r="H387" s="348">
        <v>24302939.53993725</v>
      </c>
      <c r="I387" s="369"/>
      <c r="J387" s="350">
        <v>15727393.327980297</v>
      </c>
      <c r="K387" s="350">
        <v>15386646.780576821</v>
      </c>
      <c r="L387" s="350">
        <v>15036694.545782343</v>
      </c>
      <c r="M387" s="350">
        <v>14654381.868080953</v>
      </c>
      <c r="N387" s="350">
        <v>14220294.908024695</v>
      </c>
      <c r="O387" s="348">
        <v>75025411.430445105</v>
      </c>
      <c r="P387" s="369"/>
      <c r="Q387" s="350">
        <f t="shared" si="165"/>
        <v>10826282.301411483</v>
      </c>
      <c r="R387" s="350">
        <f t="shared" si="166"/>
        <v>10503197.798334841</v>
      </c>
      <c r="S387" s="350">
        <f t="shared" si="167"/>
        <v>10172346.198571309</v>
      </c>
      <c r="T387" s="350">
        <f t="shared" si="168"/>
        <v>9812948.8213815913</v>
      </c>
      <c r="U387" s="350">
        <f t="shared" si="169"/>
        <v>9407696.7708086334</v>
      </c>
      <c r="V387" s="350">
        <f t="shared" si="170"/>
        <v>50722471.890507855</v>
      </c>
      <c r="W387" s="365"/>
      <c r="X387" s="377">
        <f t="shared" si="148"/>
        <v>0</v>
      </c>
      <c r="Y387" s="377">
        <f t="shared" si="149"/>
        <v>0</v>
      </c>
      <c r="Z387" s="377">
        <f t="shared" si="150"/>
        <v>0</v>
      </c>
      <c r="AA387" s="377">
        <f t="shared" si="151"/>
        <v>0</v>
      </c>
      <c r="AB387" s="377">
        <f t="shared" si="152"/>
        <v>0</v>
      </c>
      <c r="AC387" s="377">
        <f t="shared" si="153"/>
        <v>0</v>
      </c>
      <c r="AD387" s="376"/>
      <c r="AE387" s="332">
        <v>372</v>
      </c>
      <c r="AF387" s="350">
        <v>421202.19310001371</v>
      </c>
      <c r="AG387" s="350">
        <v>419684.3144466299</v>
      </c>
      <c r="AH387" s="350">
        <v>418042.80309929972</v>
      </c>
      <c r="AI387" s="350">
        <v>416073.45884679502</v>
      </c>
      <c r="AJ387" s="350">
        <v>413595.38253993972</v>
      </c>
      <c r="AK387" s="348">
        <v>2088598.152032678</v>
      </c>
      <c r="AL387" s="369"/>
      <c r="AM387" s="350">
        <v>13640173.151975647</v>
      </c>
      <c r="AN387" s="350">
        <v>13522321.235055912</v>
      </c>
      <c r="AO387" s="350">
        <v>13392857.241958216</v>
      </c>
      <c r="AP387" s="350">
        <v>13225961.114646887</v>
      </c>
      <c r="AQ387" s="350">
        <v>12999533.328151643</v>
      </c>
      <c r="AR387" s="348">
        <v>66780846.071788304</v>
      </c>
      <c r="AS387" s="369"/>
      <c r="AT387" s="350">
        <f t="shared" si="171"/>
        <v>13218970.958875634</v>
      </c>
      <c r="AU387" s="350">
        <f t="shared" si="154"/>
        <v>13102636.920609282</v>
      </c>
      <c r="AV387" s="350">
        <f t="shared" si="155"/>
        <v>12974814.438858917</v>
      </c>
      <c r="AW387" s="350">
        <f t="shared" si="156"/>
        <v>12809887.655800093</v>
      </c>
      <c r="AX387" s="350">
        <f t="shared" si="157"/>
        <v>12585937.945611704</v>
      </c>
      <c r="AY387" s="350">
        <f t="shared" si="158"/>
        <v>64692247.919755623</v>
      </c>
      <c r="AZ387" s="365"/>
      <c r="BA387" s="377">
        <f t="shared" si="159"/>
        <v>0</v>
      </c>
      <c r="BB387" s="377">
        <f t="shared" si="160"/>
        <v>0</v>
      </c>
      <c r="BC387" s="377">
        <f t="shared" si="161"/>
        <v>0</v>
      </c>
      <c r="BD387" s="377">
        <f t="shared" si="162"/>
        <v>0</v>
      </c>
      <c r="BE387" s="377">
        <f t="shared" si="163"/>
        <v>0</v>
      </c>
      <c r="BF387" s="377">
        <f t="shared" si="164"/>
        <v>0</v>
      </c>
      <c r="BG387" s="328"/>
    </row>
    <row r="388" spans="2:59">
      <c r="B388" s="332">
        <v>373</v>
      </c>
      <c r="C388" s="350">
        <v>6375877.6622512192</v>
      </c>
      <c r="D388" s="350">
        <v>6352901.028324198</v>
      </c>
      <c r="E388" s="350">
        <v>6328052.9251964688</v>
      </c>
      <c r="F388" s="350">
        <v>6298242.3063665554</v>
      </c>
      <c r="G388" s="350">
        <v>6260730.8412577277</v>
      </c>
      <c r="H388" s="348">
        <v>31615804.76339617</v>
      </c>
      <c r="I388" s="369"/>
      <c r="J388" s="350">
        <v>19948764.401937202</v>
      </c>
      <c r="K388" s="350">
        <v>19509169.156610545</v>
      </c>
      <c r="L388" s="350">
        <v>19058048.226451397</v>
      </c>
      <c r="M388" s="350">
        <v>18566270.564462595</v>
      </c>
      <c r="N388" s="350">
        <v>18009430.334596545</v>
      </c>
      <c r="O388" s="348">
        <v>95091682.684058279</v>
      </c>
      <c r="P388" s="369"/>
      <c r="Q388" s="350">
        <f t="shared" si="165"/>
        <v>13572886.739685982</v>
      </c>
      <c r="R388" s="350">
        <f t="shared" si="166"/>
        <v>13156268.128286347</v>
      </c>
      <c r="S388" s="350">
        <f t="shared" si="167"/>
        <v>12729995.301254928</v>
      </c>
      <c r="T388" s="350">
        <f t="shared" si="168"/>
        <v>12268028.258096039</v>
      </c>
      <c r="U388" s="350">
        <f t="shared" si="169"/>
        <v>11748699.493338816</v>
      </c>
      <c r="V388" s="350">
        <f t="shared" si="170"/>
        <v>63475877.920662105</v>
      </c>
      <c r="W388" s="365"/>
      <c r="X388" s="377">
        <f t="shared" si="148"/>
        <v>0</v>
      </c>
      <c r="Y388" s="377">
        <f t="shared" si="149"/>
        <v>0</v>
      </c>
      <c r="Z388" s="377">
        <f t="shared" si="150"/>
        <v>0</v>
      </c>
      <c r="AA388" s="377">
        <f t="shared" si="151"/>
        <v>0</v>
      </c>
      <c r="AB388" s="377">
        <f t="shared" si="152"/>
        <v>0</v>
      </c>
      <c r="AC388" s="377">
        <f t="shared" si="153"/>
        <v>0</v>
      </c>
      <c r="AD388" s="376"/>
      <c r="AE388" s="332">
        <v>373</v>
      </c>
      <c r="AF388" s="350">
        <v>341206.37778737326</v>
      </c>
      <c r="AG388" s="350">
        <v>339976.77859314764</v>
      </c>
      <c r="AH388" s="350">
        <v>338647.02734755888</v>
      </c>
      <c r="AI388" s="350">
        <v>337051.70607425791</v>
      </c>
      <c r="AJ388" s="350">
        <v>335044.27246067731</v>
      </c>
      <c r="AK388" s="348">
        <v>1691926.1622630148</v>
      </c>
      <c r="AL388" s="369"/>
      <c r="AM388" s="350">
        <v>11816672.034106188</v>
      </c>
      <c r="AN388" s="350">
        <v>11715674.263866521</v>
      </c>
      <c r="AO388" s="350">
        <v>11604594.348885763</v>
      </c>
      <c r="AP388" s="350">
        <v>11461028.519731374</v>
      </c>
      <c r="AQ388" s="350">
        <v>11265799.101380464</v>
      </c>
      <c r="AR388" s="348">
        <v>57863768.267970309</v>
      </c>
      <c r="AS388" s="369"/>
      <c r="AT388" s="350">
        <f t="shared" si="171"/>
        <v>11475465.656318814</v>
      </c>
      <c r="AU388" s="350">
        <f t="shared" si="154"/>
        <v>11375697.485273374</v>
      </c>
      <c r="AV388" s="350">
        <f t="shared" si="155"/>
        <v>11265947.321538204</v>
      </c>
      <c r="AW388" s="350">
        <f t="shared" si="156"/>
        <v>11123976.813657116</v>
      </c>
      <c r="AX388" s="350">
        <f t="shared" si="157"/>
        <v>10930754.828919787</v>
      </c>
      <c r="AY388" s="350">
        <f t="shared" si="158"/>
        <v>56171842.105707295</v>
      </c>
      <c r="AZ388" s="365"/>
      <c r="BA388" s="377">
        <f t="shared" si="159"/>
        <v>0</v>
      </c>
      <c r="BB388" s="377">
        <f t="shared" si="160"/>
        <v>0</v>
      </c>
      <c r="BC388" s="377">
        <f t="shared" si="161"/>
        <v>0</v>
      </c>
      <c r="BD388" s="377">
        <f t="shared" si="162"/>
        <v>0</v>
      </c>
      <c r="BE388" s="377">
        <f t="shared" si="163"/>
        <v>0</v>
      </c>
      <c r="BF388" s="377">
        <f t="shared" si="164"/>
        <v>0</v>
      </c>
      <c r="BG388" s="328"/>
    </row>
    <row r="389" spans="2:59">
      <c r="B389" s="332">
        <v>374</v>
      </c>
      <c r="C389" s="350">
        <v>7305716.0264592832</v>
      </c>
      <c r="D389" s="350">
        <v>7279388.5509952297</v>
      </c>
      <c r="E389" s="350">
        <v>7250916.6770252902</v>
      </c>
      <c r="F389" s="350">
        <v>7216758.5693448707</v>
      </c>
      <c r="G389" s="350">
        <v>7173776.5476784203</v>
      </c>
      <c r="H389" s="348">
        <v>36226556.371503092</v>
      </c>
      <c r="I389" s="369"/>
      <c r="J389" s="350">
        <v>22526050.841461815</v>
      </c>
      <c r="K389" s="350">
        <v>22024739.079284623</v>
      </c>
      <c r="L389" s="350">
        <v>21510513.093511052</v>
      </c>
      <c r="M389" s="350">
        <v>20950637.23481321</v>
      </c>
      <c r="N389" s="350">
        <v>20317698.348760396</v>
      </c>
      <c r="O389" s="348">
        <v>107329638.5978311</v>
      </c>
      <c r="P389" s="369"/>
      <c r="Q389" s="350">
        <f t="shared" si="165"/>
        <v>15220334.815002531</v>
      </c>
      <c r="R389" s="350">
        <f t="shared" si="166"/>
        <v>14745350.528289393</v>
      </c>
      <c r="S389" s="350">
        <f t="shared" si="167"/>
        <v>14259596.416485762</v>
      </c>
      <c r="T389" s="350">
        <f t="shared" si="168"/>
        <v>13733878.665468339</v>
      </c>
      <c r="U389" s="350">
        <f t="shared" si="169"/>
        <v>13143921.801081976</v>
      </c>
      <c r="V389" s="350">
        <f t="shared" si="170"/>
        <v>71103082.226328015</v>
      </c>
      <c r="W389" s="365"/>
      <c r="X389" s="377">
        <f t="shared" si="148"/>
        <v>0</v>
      </c>
      <c r="Y389" s="377">
        <f t="shared" si="149"/>
        <v>0</v>
      </c>
      <c r="Z389" s="377">
        <f t="shared" si="150"/>
        <v>0</v>
      </c>
      <c r="AA389" s="377">
        <f t="shared" si="151"/>
        <v>0</v>
      </c>
      <c r="AB389" s="377">
        <f t="shared" si="152"/>
        <v>0</v>
      </c>
      <c r="AC389" s="377">
        <f t="shared" si="153"/>
        <v>0</v>
      </c>
      <c r="AD389" s="376"/>
      <c r="AE389" s="332">
        <v>374</v>
      </c>
      <c r="AF389" s="350">
        <v>462510.17325790925</v>
      </c>
      <c r="AG389" s="350">
        <v>460843.43379059038</v>
      </c>
      <c r="AH389" s="350">
        <v>459040.9367711168</v>
      </c>
      <c r="AI389" s="350">
        <v>456878.45574335504</v>
      </c>
      <c r="AJ389" s="350">
        <v>454157.35048605682</v>
      </c>
      <c r="AK389" s="348">
        <v>2293430.3500490282</v>
      </c>
      <c r="AL389" s="369"/>
      <c r="AM389" s="350">
        <v>10914351.906396089</v>
      </c>
      <c r="AN389" s="350">
        <v>10814229.435797116</v>
      </c>
      <c r="AO389" s="350">
        <v>10704934.301663622</v>
      </c>
      <c r="AP389" s="350">
        <v>10565994.291913033</v>
      </c>
      <c r="AQ389" s="350">
        <v>10379898.624857968</v>
      </c>
      <c r="AR389" s="348">
        <v>53379408.560627826</v>
      </c>
      <c r="AS389" s="369"/>
      <c r="AT389" s="350">
        <f t="shared" si="171"/>
        <v>10451841.733138179</v>
      </c>
      <c r="AU389" s="350">
        <f t="shared" si="154"/>
        <v>10353386.002006525</v>
      </c>
      <c r="AV389" s="350">
        <f t="shared" si="155"/>
        <v>10245893.364892505</v>
      </c>
      <c r="AW389" s="350">
        <f t="shared" si="156"/>
        <v>10109115.836169677</v>
      </c>
      <c r="AX389" s="350">
        <f t="shared" si="157"/>
        <v>9925741.2743719108</v>
      </c>
      <c r="AY389" s="350">
        <f t="shared" si="158"/>
        <v>51085978.210578799</v>
      </c>
      <c r="AZ389" s="365"/>
      <c r="BA389" s="377">
        <f t="shared" si="159"/>
        <v>0</v>
      </c>
      <c r="BB389" s="377">
        <f t="shared" si="160"/>
        <v>0</v>
      </c>
      <c r="BC389" s="377">
        <f t="shared" si="161"/>
        <v>0</v>
      </c>
      <c r="BD389" s="377">
        <f t="shared" si="162"/>
        <v>0</v>
      </c>
      <c r="BE389" s="377">
        <f t="shared" si="163"/>
        <v>0</v>
      </c>
      <c r="BF389" s="377">
        <f t="shared" si="164"/>
        <v>0</v>
      </c>
      <c r="BG389" s="328"/>
    </row>
    <row r="390" spans="2:59">
      <c r="B390" s="332">
        <v>375</v>
      </c>
      <c r="C390" s="350">
        <v>4697726.1530925548</v>
      </c>
      <c r="D390" s="350">
        <v>4680797.0431210659</v>
      </c>
      <c r="E390" s="350">
        <v>4662489.0406622076</v>
      </c>
      <c r="F390" s="350">
        <v>4640524.6725962572</v>
      </c>
      <c r="G390" s="350">
        <v>4612886.3457623115</v>
      </c>
      <c r="H390" s="348">
        <v>23294423.255234398</v>
      </c>
      <c r="I390" s="369"/>
      <c r="J390" s="350">
        <v>16968614.398746666</v>
      </c>
      <c r="K390" s="350">
        <v>16628358.229238167</v>
      </c>
      <c r="L390" s="350">
        <v>16277610.700234924</v>
      </c>
      <c r="M390" s="350">
        <v>15890505.304256361</v>
      </c>
      <c r="N390" s="350">
        <v>15445285.058923375</v>
      </c>
      <c r="O390" s="348">
        <v>81210373.6913995</v>
      </c>
      <c r="P390" s="369"/>
      <c r="Q390" s="350">
        <f t="shared" si="165"/>
        <v>12270888.24565411</v>
      </c>
      <c r="R390" s="350">
        <f t="shared" si="166"/>
        <v>11947561.186117101</v>
      </c>
      <c r="S390" s="350">
        <f t="shared" si="167"/>
        <v>11615121.659572717</v>
      </c>
      <c r="T390" s="350">
        <f t="shared" si="168"/>
        <v>11249980.631660104</v>
      </c>
      <c r="U390" s="350">
        <f t="shared" si="169"/>
        <v>10832398.713161062</v>
      </c>
      <c r="V390" s="350">
        <f t="shared" si="170"/>
        <v>57915950.436165102</v>
      </c>
      <c r="W390" s="365"/>
      <c r="X390" s="377">
        <f t="shared" si="148"/>
        <v>0</v>
      </c>
      <c r="Y390" s="377">
        <f t="shared" si="149"/>
        <v>0</v>
      </c>
      <c r="Z390" s="377">
        <f t="shared" si="150"/>
        <v>0</v>
      </c>
      <c r="AA390" s="377">
        <f t="shared" si="151"/>
        <v>0</v>
      </c>
      <c r="AB390" s="377">
        <f t="shared" si="152"/>
        <v>0</v>
      </c>
      <c r="AC390" s="377">
        <f t="shared" si="153"/>
        <v>0</v>
      </c>
      <c r="AD390" s="376"/>
      <c r="AE390" s="332">
        <v>375</v>
      </c>
      <c r="AF390" s="350">
        <v>342818.47259671841</v>
      </c>
      <c r="AG390" s="350">
        <v>341583.06392586033</v>
      </c>
      <c r="AH390" s="350">
        <v>340247.03001611214</v>
      </c>
      <c r="AI390" s="350">
        <v>338644.17134224839</v>
      </c>
      <c r="AJ390" s="350">
        <v>336627.2532245107</v>
      </c>
      <c r="AK390" s="348">
        <v>1699919.9911054499</v>
      </c>
      <c r="AL390" s="369"/>
      <c r="AM390" s="350">
        <v>12235836.909079576</v>
      </c>
      <c r="AN390" s="350">
        <v>12131743.269961582</v>
      </c>
      <c r="AO390" s="350">
        <v>12017199.909344923</v>
      </c>
      <c r="AP390" s="350">
        <v>11868992.623371057</v>
      </c>
      <c r="AQ390" s="350">
        <v>11667249.04395844</v>
      </c>
      <c r="AR390" s="348">
        <v>59921021.755715579</v>
      </c>
      <c r="AS390" s="369"/>
      <c r="AT390" s="350">
        <f t="shared" si="171"/>
        <v>11893018.436482858</v>
      </c>
      <c r="AU390" s="350">
        <f t="shared" si="154"/>
        <v>11790160.206035722</v>
      </c>
      <c r="AV390" s="350">
        <f t="shared" si="155"/>
        <v>11676952.87932881</v>
      </c>
      <c r="AW390" s="350">
        <f t="shared" si="156"/>
        <v>11530348.452028809</v>
      </c>
      <c r="AX390" s="350">
        <f t="shared" si="157"/>
        <v>11330621.79073393</v>
      </c>
      <c r="AY390" s="350">
        <f t="shared" si="158"/>
        <v>58221101.764610127</v>
      </c>
      <c r="AZ390" s="365"/>
      <c r="BA390" s="377">
        <f t="shared" si="159"/>
        <v>0</v>
      </c>
      <c r="BB390" s="377">
        <f t="shared" si="160"/>
        <v>0</v>
      </c>
      <c r="BC390" s="377">
        <f t="shared" si="161"/>
        <v>0</v>
      </c>
      <c r="BD390" s="377">
        <f t="shared" si="162"/>
        <v>0</v>
      </c>
      <c r="BE390" s="377">
        <f t="shared" si="163"/>
        <v>0</v>
      </c>
      <c r="BF390" s="377">
        <f t="shared" si="164"/>
        <v>0</v>
      </c>
      <c r="BG390" s="328"/>
    </row>
    <row r="391" spans="2:59">
      <c r="B391" s="332">
        <v>376</v>
      </c>
      <c r="C391" s="350">
        <v>7385369.1900045555</v>
      </c>
      <c r="D391" s="350">
        <v>7358754.6698892601</v>
      </c>
      <c r="E391" s="350">
        <v>7329972.3712018048</v>
      </c>
      <c r="F391" s="350">
        <v>7295441.8426214196</v>
      </c>
      <c r="G391" s="350">
        <v>7251991.1941990275</v>
      </c>
      <c r="H391" s="348">
        <v>36621529.267916068</v>
      </c>
      <c r="I391" s="369"/>
      <c r="J391" s="350">
        <v>23364271.66718417</v>
      </c>
      <c r="K391" s="350">
        <v>22853222.929308444</v>
      </c>
      <c r="L391" s="350">
        <v>22328597.320188854</v>
      </c>
      <c r="M391" s="350">
        <v>21756153.056981757</v>
      </c>
      <c r="N391" s="350">
        <v>21107192.802633271</v>
      </c>
      <c r="O391" s="348">
        <v>111409437.7762965</v>
      </c>
      <c r="P391" s="369"/>
      <c r="Q391" s="350">
        <f t="shared" si="165"/>
        <v>15978902.477179615</v>
      </c>
      <c r="R391" s="350">
        <f t="shared" si="166"/>
        <v>15494468.259419184</v>
      </c>
      <c r="S391" s="350">
        <f t="shared" si="167"/>
        <v>14998624.948987048</v>
      </c>
      <c r="T391" s="350">
        <f t="shared" si="168"/>
        <v>14460711.214360338</v>
      </c>
      <c r="U391" s="350">
        <f t="shared" si="169"/>
        <v>13855201.608434243</v>
      </c>
      <c r="V391" s="350">
        <f t="shared" si="170"/>
        <v>74787908.508380428</v>
      </c>
      <c r="W391" s="365"/>
      <c r="X391" s="377">
        <f t="shared" si="148"/>
        <v>0</v>
      </c>
      <c r="Y391" s="377">
        <f t="shared" si="149"/>
        <v>0</v>
      </c>
      <c r="Z391" s="377">
        <f t="shared" si="150"/>
        <v>0</v>
      </c>
      <c r="AA391" s="377">
        <f t="shared" si="151"/>
        <v>0</v>
      </c>
      <c r="AB391" s="377">
        <f t="shared" si="152"/>
        <v>0</v>
      </c>
      <c r="AC391" s="377">
        <f t="shared" si="153"/>
        <v>0</v>
      </c>
      <c r="AD391" s="376"/>
      <c r="AE391" s="332">
        <v>376</v>
      </c>
      <c r="AF391" s="350">
        <v>544435.72239833535</v>
      </c>
      <c r="AG391" s="350">
        <v>542473.74932529428</v>
      </c>
      <c r="AH391" s="350">
        <v>540351.97163550777</v>
      </c>
      <c r="AI391" s="350">
        <v>537806.44509664469</v>
      </c>
      <c r="AJ391" s="350">
        <v>534603.3438631224</v>
      </c>
      <c r="AK391" s="348">
        <v>2699671.2323189043</v>
      </c>
      <c r="AL391" s="369"/>
      <c r="AM391" s="350">
        <v>15027215.614577897</v>
      </c>
      <c r="AN391" s="350">
        <v>14893649.196414422</v>
      </c>
      <c r="AO391" s="350">
        <v>14747366.067159755</v>
      </c>
      <c r="AP391" s="350">
        <v>14560041.055603204</v>
      </c>
      <c r="AQ391" s="350">
        <v>14307437.861630779</v>
      </c>
      <c r="AR391" s="348">
        <v>73535709.795386061</v>
      </c>
      <c r="AS391" s="369"/>
      <c r="AT391" s="350">
        <f t="shared" si="171"/>
        <v>14482779.892179562</v>
      </c>
      <c r="AU391" s="350">
        <f t="shared" si="154"/>
        <v>14351175.447089128</v>
      </c>
      <c r="AV391" s="350">
        <f t="shared" si="155"/>
        <v>14207014.095524248</v>
      </c>
      <c r="AW391" s="350">
        <f t="shared" si="156"/>
        <v>14022234.610506559</v>
      </c>
      <c r="AX391" s="350">
        <f t="shared" si="157"/>
        <v>13772834.517767657</v>
      </c>
      <c r="AY391" s="350">
        <f t="shared" si="158"/>
        <v>70836038.563067153</v>
      </c>
      <c r="AZ391" s="365"/>
      <c r="BA391" s="377">
        <f t="shared" si="159"/>
        <v>0</v>
      </c>
      <c r="BB391" s="377">
        <f t="shared" si="160"/>
        <v>0</v>
      </c>
      <c r="BC391" s="377">
        <f t="shared" si="161"/>
        <v>0</v>
      </c>
      <c r="BD391" s="377">
        <f t="shared" si="162"/>
        <v>0</v>
      </c>
      <c r="BE391" s="377">
        <f t="shared" si="163"/>
        <v>0</v>
      </c>
      <c r="BF391" s="377">
        <f t="shared" si="164"/>
        <v>0</v>
      </c>
      <c r="BG391" s="328"/>
    </row>
    <row r="392" spans="2:59">
      <c r="B392" s="332">
        <v>377</v>
      </c>
      <c r="C392" s="350">
        <v>6637453.8463360621</v>
      </c>
      <c r="D392" s="350">
        <v>6613534.5750900507</v>
      </c>
      <c r="E392" s="350">
        <v>6587667.0559160616</v>
      </c>
      <c r="F392" s="350">
        <v>6556633.4293165822</v>
      </c>
      <c r="G392" s="350">
        <v>6517583.0222106865</v>
      </c>
      <c r="H392" s="348">
        <v>32912871.928869441</v>
      </c>
      <c r="I392" s="369"/>
      <c r="J392" s="350">
        <v>21166883.769262284</v>
      </c>
      <c r="K392" s="350">
        <v>20706372.923000727</v>
      </c>
      <c r="L392" s="350">
        <v>20233511.573529087</v>
      </c>
      <c r="M392" s="350">
        <v>19717198.436513644</v>
      </c>
      <c r="N392" s="350">
        <v>19131361.853285484</v>
      </c>
      <c r="O392" s="348">
        <v>100955328.55559123</v>
      </c>
      <c r="P392" s="369"/>
      <c r="Q392" s="350">
        <f t="shared" si="165"/>
        <v>14529429.922926221</v>
      </c>
      <c r="R392" s="350">
        <f t="shared" si="166"/>
        <v>14092838.347910676</v>
      </c>
      <c r="S392" s="350">
        <f t="shared" si="167"/>
        <v>13645844.517613025</v>
      </c>
      <c r="T392" s="350">
        <f t="shared" si="168"/>
        <v>13160565.007197062</v>
      </c>
      <c r="U392" s="350">
        <f t="shared" si="169"/>
        <v>12613778.831074797</v>
      </c>
      <c r="V392" s="350">
        <f t="shared" si="170"/>
        <v>68042456.626721784</v>
      </c>
      <c r="W392" s="365"/>
      <c r="X392" s="377">
        <f t="shared" si="148"/>
        <v>0</v>
      </c>
      <c r="Y392" s="377">
        <f t="shared" si="149"/>
        <v>0</v>
      </c>
      <c r="Z392" s="377">
        <f t="shared" si="150"/>
        <v>0</v>
      </c>
      <c r="AA392" s="377">
        <f t="shared" si="151"/>
        <v>0</v>
      </c>
      <c r="AB392" s="377">
        <f t="shared" si="152"/>
        <v>0</v>
      </c>
      <c r="AC392" s="377">
        <f t="shared" si="153"/>
        <v>0</v>
      </c>
      <c r="AD392" s="376"/>
      <c r="AE392" s="332">
        <v>377</v>
      </c>
      <c r="AF392" s="350">
        <v>673039.42193665833</v>
      </c>
      <c r="AG392" s="350">
        <v>670614.00205950963</v>
      </c>
      <c r="AH392" s="350">
        <v>667991.02937226323</v>
      </c>
      <c r="AI392" s="350">
        <v>664844.21214525669</v>
      </c>
      <c r="AJ392" s="350">
        <v>660884.49144008732</v>
      </c>
      <c r="AK392" s="348">
        <v>3337373.1569537753</v>
      </c>
      <c r="AL392" s="369"/>
      <c r="AM392" s="350">
        <v>24268628.389190353</v>
      </c>
      <c r="AN392" s="350">
        <v>24062489.011863381</v>
      </c>
      <c r="AO392" s="350">
        <v>23835617.052202787</v>
      </c>
      <c r="AP392" s="350">
        <v>23541958.974251244</v>
      </c>
      <c r="AQ392" s="350">
        <v>23142090.316996533</v>
      </c>
      <c r="AR392" s="348">
        <v>118850783.74450429</v>
      </c>
      <c r="AS392" s="369"/>
      <c r="AT392" s="350">
        <f t="shared" si="171"/>
        <v>23595588.967253696</v>
      </c>
      <c r="AU392" s="350">
        <f t="shared" si="154"/>
        <v>23391875.009803873</v>
      </c>
      <c r="AV392" s="350">
        <f t="shared" si="155"/>
        <v>23167626.022830524</v>
      </c>
      <c r="AW392" s="350">
        <f t="shared" si="156"/>
        <v>22877114.762105986</v>
      </c>
      <c r="AX392" s="350">
        <f t="shared" si="157"/>
        <v>22481205.825556446</v>
      </c>
      <c r="AY392" s="350">
        <f t="shared" si="158"/>
        <v>115513410.58755051</v>
      </c>
      <c r="AZ392" s="365"/>
      <c r="BA392" s="377">
        <f t="shared" si="159"/>
        <v>0</v>
      </c>
      <c r="BB392" s="377">
        <f t="shared" si="160"/>
        <v>0</v>
      </c>
      <c r="BC392" s="377">
        <f t="shared" si="161"/>
        <v>0</v>
      </c>
      <c r="BD392" s="377">
        <f t="shared" si="162"/>
        <v>0</v>
      </c>
      <c r="BE392" s="377">
        <f t="shared" si="163"/>
        <v>0</v>
      </c>
      <c r="BF392" s="377">
        <f t="shared" si="164"/>
        <v>0</v>
      </c>
      <c r="BG392" s="328"/>
    </row>
    <row r="393" spans="2:59">
      <c r="B393" s="332">
        <v>378</v>
      </c>
      <c r="C393" s="350">
        <v>5273400.8977365615</v>
      </c>
      <c r="D393" s="350">
        <v>5254397.2391978968</v>
      </c>
      <c r="E393" s="350">
        <v>5233845.7141715297</v>
      </c>
      <c r="F393" s="350">
        <v>5209189.7605244778</v>
      </c>
      <c r="G393" s="350">
        <v>5178164.5426236587</v>
      </c>
      <c r="H393" s="348">
        <v>26148998.154254124</v>
      </c>
      <c r="I393" s="369"/>
      <c r="J393" s="350">
        <v>19704659.312649257</v>
      </c>
      <c r="K393" s="350">
        <v>19317974.28426725</v>
      </c>
      <c r="L393" s="350">
        <v>18918934.019745037</v>
      </c>
      <c r="M393" s="350">
        <v>18477228.850379784</v>
      </c>
      <c r="N393" s="350">
        <v>17967343.859322108</v>
      </c>
      <c r="O393" s="348">
        <v>94386140.326363444</v>
      </c>
      <c r="P393" s="369"/>
      <c r="Q393" s="350">
        <f t="shared" si="165"/>
        <v>14431258.414912697</v>
      </c>
      <c r="R393" s="350">
        <f t="shared" si="166"/>
        <v>14063577.045069354</v>
      </c>
      <c r="S393" s="350">
        <f t="shared" si="167"/>
        <v>13685088.305573508</v>
      </c>
      <c r="T393" s="350">
        <f t="shared" si="168"/>
        <v>13268039.089855306</v>
      </c>
      <c r="U393" s="350">
        <f t="shared" si="169"/>
        <v>12789179.316698451</v>
      </c>
      <c r="V393" s="350">
        <f t="shared" si="170"/>
        <v>68237142.172109321</v>
      </c>
      <c r="W393" s="365"/>
      <c r="X393" s="377">
        <f t="shared" si="148"/>
        <v>0</v>
      </c>
      <c r="Y393" s="377">
        <f t="shared" si="149"/>
        <v>0</v>
      </c>
      <c r="Z393" s="377">
        <f t="shared" si="150"/>
        <v>0</v>
      </c>
      <c r="AA393" s="377">
        <f t="shared" si="151"/>
        <v>0</v>
      </c>
      <c r="AB393" s="377">
        <f t="shared" si="152"/>
        <v>0</v>
      </c>
      <c r="AC393" s="377">
        <f t="shared" si="153"/>
        <v>0</v>
      </c>
      <c r="AD393" s="376"/>
      <c r="AE393" s="332">
        <v>378</v>
      </c>
      <c r="AF393" s="350">
        <v>623877.57392528176</v>
      </c>
      <c r="AG393" s="350">
        <v>621629.31770226336</v>
      </c>
      <c r="AH393" s="350">
        <v>619197.93882124207</v>
      </c>
      <c r="AI393" s="350">
        <v>616280.9793784772</v>
      </c>
      <c r="AJ393" s="350">
        <v>612610.49460976303</v>
      </c>
      <c r="AK393" s="348">
        <v>3093596.3044370273</v>
      </c>
      <c r="AL393" s="369"/>
      <c r="AM393" s="350">
        <v>21054608.730719004</v>
      </c>
      <c r="AN393" s="350">
        <v>20873914.890068173</v>
      </c>
      <c r="AO393" s="350">
        <v>20675272.060213465</v>
      </c>
      <c r="AP393" s="350">
        <v>20418785.708484057</v>
      </c>
      <c r="AQ393" s="350">
        <v>20070307.485178828</v>
      </c>
      <c r="AR393" s="348">
        <v>103092888.87466352</v>
      </c>
      <c r="AS393" s="369"/>
      <c r="AT393" s="350">
        <f t="shared" si="171"/>
        <v>20430731.156793721</v>
      </c>
      <c r="AU393" s="350">
        <f t="shared" si="154"/>
        <v>20252285.57236591</v>
      </c>
      <c r="AV393" s="350">
        <f t="shared" si="155"/>
        <v>20056074.121392224</v>
      </c>
      <c r="AW393" s="350">
        <f t="shared" si="156"/>
        <v>19802504.729105581</v>
      </c>
      <c r="AX393" s="350">
        <f t="shared" si="157"/>
        <v>19457696.990569066</v>
      </c>
      <c r="AY393" s="350">
        <f t="shared" si="158"/>
        <v>99999292.57022649</v>
      </c>
      <c r="AZ393" s="365"/>
      <c r="BA393" s="377">
        <f t="shared" si="159"/>
        <v>0</v>
      </c>
      <c r="BB393" s="377">
        <f t="shared" si="160"/>
        <v>0</v>
      </c>
      <c r="BC393" s="377">
        <f t="shared" si="161"/>
        <v>0</v>
      </c>
      <c r="BD393" s="377">
        <f t="shared" si="162"/>
        <v>0</v>
      </c>
      <c r="BE393" s="377">
        <f t="shared" si="163"/>
        <v>0</v>
      </c>
      <c r="BF393" s="377">
        <f t="shared" si="164"/>
        <v>0</v>
      </c>
      <c r="BG393" s="328"/>
    </row>
    <row r="394" spans="2:59">
      <c r="B394" s="332">
        <v>379</v>
      </c>
      <c r="C394" s="350">
        <v>4158966.4310493153</v>
      </c>
      <c r="D394" s="350">
        <v>4143978.8396520149</v>
      </c>
      <c r="E394" s="350">
        <v>4127770.4943452468</v>
      </c>
      <c r="F394" s="350">
        <v>4108325.1144979438</v>
      </c>
      <c r="G394" s="350">
        <v>4083856.4950495572</v>
      </c>
      <c r="H394" s="348">
        <v>20622897.374594081</v>
      </c>
      <c r="I394" s="369"/>
      <c r="J394" s="350">
        <v>14149427.684814354</v>
      </c>
      <c r="K394" s="350">
        <v>13854486.886216013</v>
      </c>
      <c r="L394" s="350">
        <v>13551026.790800573</v>
      </c>
      <c r="M394" s="350">
        <v>13217840.596871398</v>
      </c>
      <c r="N394" s="350">
        <v>12837118.214598637</v>
      </c>
      <c r="O394" s="348">
        <v>67609900.173300982</v>
      </c>
      <c r="P394" s="369"/>
      <c r="Q394" s="350">
        <f t="shared" si="165"/>
        <v>9990461.2537650391</v>
      </c>
      <c r="R394" s="350">
        <f t="shared" si="166"/>
        <v>9710508.0465639979</v>
      </c>
      <c r="S394" s="350">
        <f t="shared" si="167"/>
        <v>9423256.2964553274</v>
      </c>
      <c r="T394" s="350">
        <f t="shared" si="168"/>
        <v>9109515.4823734537</v>
      </c>
      <c r="U394" s="350">
        <f t="shared" si="169"/>
        <v>8753261.7195490804</v>
      </c>
      <c r="V394" s="350">
        <f t="shared" si="170"/>
        <v>46987002.798706904</v>
      </c>
      <c r="W394" s="365"/>
      <c r="X394" s="377">
        <f t="shared" si="148"/>
        <v>0</v>
      </c>
      <c r="Y394" s="377">
        <f t="shared" si="149"/>
        <v>0</v>
      </c>
      <c r="Z394" s="377">
        <f t="shared" si="150"/>
        <v>0</v>
      </c>
      <c r="AA394" s="377">
        <f t="shared" si="151"/>
        <v>0</v>
      </c>
      <c r="AB394" s="377">
        <f t="shared" si="152"/>
        <v>0</v>
      </c>
      <c r="AC394" s="377">
        <f t="shared" si="153"/>
        <v>0</v>
      </c>
      <c r="AD394" s="376"/>
      <c r="AE394" s="332">
        <v>379</v>
      </c>
      <c r="AF394" s="350">
        <v>581691.99592748319</v>
      </c>
      <c r="AG394" s="350">
        <v>579595.76310171327</v>
      </c>
      <c r="AH394" s="350">
        <v>577328.7900716383</v>
      </c>
      <c r="AI394" s="350">
        <v>574609.07064074778</v>
      </c>
      <c r="AJ394" s="350">
        <v>571186.77803019399</v>
      </c>
      <c r="AK394" s="348">
        <v>2884412.3977717767</v>
      </c>
      <c r="AL394" s="369"/>
      <c r="AM394" s="350">
        <v>14088608.697370518</v>
      </c>
      <c r="AN394" s="350">
        <v>13960078.606506098</v>
      </c>
      <c r="AO394" s="350">
        <v>13819693.610942489</v>
      </c>
      <c r="AP394" s="350">
        <v>13641004.524605757</v>
      </c>
      <c r="AQ394" s="350">
        <v>13401386.780368194</v>
      </c>
      <c r="AR394" s="348">
        <v>68910772.219793051</v>
      </c>
      <c r="AS394" s="369"/>
      <c r="AT394" s="350">
        <f t="shared" si="171"/>
        <v>13506916.701443035</v>
      </c>
      <c r="AU394" s="350">
        <f t="shared" si="154"/>
        <v>13380482.843404384</v>
      </c>
      <c r="AV394" s="350">
        <f t="shared" si="155"/>
        <v>13242364.82087085</v>
      </c>
      <c r="AW394" s="350">
        <f t="shared" si="156"/>
        <v>13066395.453965008</v>
      </c>
      <c r="AX394" s="350">
        <f t="shared" si="157"/>
        <v>12830200.002338</v>
      </c>
      <c r="AY394" s="350">
        <f t="shared" si="158"/>
        <v>66026359.822021276</v>
      </c>
      <c r="AZ394" s="365"/>
      <c r="BA394" s="377">
        <f t="shared" si="159"/>
        <v>0</v>
      </c>
      <c r="BB394" s="377">
        <f t="shared" si="160"/>
        <v>0</v>
      </c>
      <c r="BC394" s="377">
        <f t="shared" si="161"/>
        <v>0</v>
      </c>
      <c r="BD394" s="377">
        <f t="shared" si="162"/>
        <v>0</v>
      </c>
      <c r="BE394" s="377">
        <f t="shared" si="163"/>
        <v>0</v>
      </c>
      <c r="BF394" s="377">
        <f t="shared" si="164"/>
        <v>0</v>
      </c>
      <c r="BG394" s="328"/>
    </row>
    <row r="395" spans="2:59">
      <c r="B395" s="332">
        <v>380</v>
      </c>
      <c r="C395" s="350">
        <v>4984076.8609887203</v>
      </c>
      <c r="D395" s="350">
        <v>4966115.8341990933</v>
      </c>
      <c r="E395" s="350">
        <v>4946691.8642927064</v>
      </c>
      <c r="F395" s="350">
        <v>4923388.6543830205</v>
      </c>
      <c r="G395" s="350">
        <v>4894065.6285700239</v>
      </c>
      <c r="H395" s="348">
        <v>24714338.842433568</v>
      </c>
      <c r="I395" s="369"/>
      <c r="J395" s="350">
        <v>21194943.916241705</v>
      </c>
      <c r="K395" s="350">
        <v>20810941.435112379</v>
      </c>
      <c r="L395" s="350">
        <v>20412997.307776824</v>
      </c>
      <c r="M395" s="350">
        <v>19967478.351739842</v>
      </c>
      <c r="N395" s="350">
        <v>19445994.320857905</v>
      </c>
      <c r="O395" s="348">
        <v>101832355.33172867</v>
      </c>
      <c r="P395" s="369"/>
      <c r="Q395" s="350">
        <f t="shared" si="165"/>
        <v>16210867.055252984</v>
      </c>
      <c r="R395" s="350">
        <f t="shared" si="166"/>
        <v>15844825.600913286</v>
      </c>
      <c r="S395" s="350">
        <f t="shared" si="167"/>
        <v>15466305.443484116</v>
      </c>
      <c r="T395" s="350">
        <f t="shared" si="168"/>
        <v>15044089.697356822</v>
      </c>
      <c r="U395" s="350">
        <f t="shared" si="169"/>
        <v>14551928.692287881</v>
      </c>
      <c r="V395" s="350">
        <f t="shared" si="170"/>
        <v>77118016.489295095</v>
      </c>
      <c r="W395" s="365"/>
      <c r="X395" s="377">
        <f t="shared" si="148"/>
        <v>0</v>
      </c>
      <c r="Y395" s="377">
        <f t="shared" si="149"/>
        <v>0</v>
      </c>
      <c r="Z395" s="377">
        <f t="shared" si="150"/>
        <v>0</v>
      </c>
      <c r="AA395" s="377">
        <f t="shared" si="151"/>
        <v>0</v>
      </c>
      <c r="AB395" s="377">
        <f t="shared" si="152"/>
        <v>0</v>
      </c>
      <c r="AC395" s="377">
        <f t="shared" si="153"/>
        <v>0</v>
      </c>
      <c r="AD395" s="376"/>
      <c r="AE395" s="332">
        <v>380</v>
      </c>
      <c r="AF395" s="350">
        <v>428748.40548468835</v>
      </c>
      <c r="AG395" s="350">
        <v>427203.33268350526</v>
      </c>
      <c r="AH395" s="350">
        <v>425532.41219856421</v>
      </c>
      <c r="AI395" s="350">
        <v>423527.78539000591</v>
      </c>
      <c r="AJ395" s="350">
        <v>421005.31213929964</v>
      </c>
      <c r="AK395" s="348">
        <v>2126017.2478960631</v>
      </c>
      <c r="AL395" s="369"/>
      <c r="AM395" s="350">
        <v>13247102.003934987</v>
      </c>
      <c r="AN395" s="350">
        <v>13131732.97718361</v>
      </c>
      <c r="AO395" s="350">
        <v>13005105.150371691</v>
      </c>
      <c r="AP395" s="350">
        <v>12842172.021749491</v>
      </c>
      <c r="AQ395" s="350">
        <v>12621497.960270355</v>
      </c>
      <c r="AR395" s="348">
        <v>64847610.113510132</v>
      </c>
      <c r="AS395" s="369"/>
      <c r="AT395" s="350">
        <f t="shared" si="171"/>
        <v>12818353.598450299</v>
      </c>
      <c r="AU395" s="350">
        <f t="shared" si="154"/>
        <v>12704529.644500105</v>
      </c>
      <c r="AV395" s="350">
        <f t="shared" si="155"/>
        <v>12579572.738173127</v>
      </c>
      <c r="AW395" s="350">
        <f t="shared" si="156"/>
        <v>12418644.236359484</v>
      </c>
      <c r="AX395" s="350">
        <f t="shared" si="157"/>
        <v>12200492.648131056</v>
      </c>
      <c r="AY395" s="350">
        <f t="shared" si="158"/>
        <v>62721592.865614071</v>
      </c>
      <c r="AZ395" s="365"/>
      <c r="BA395" s="377">
        <f t="shared" si="159"/>
        <v>0</v>
      </c>
      <c r="BB395" s="377">
        <f t="shared" si="160"/>
        <v>0</v>
      </c>
      <c r="BC395" s="377">
        <f t="shared" si="161"/>
        <v>0</v>
      </c>
      <c r="BD395" s="377">
        <f t="shared" si="162"/>
        <v>0</v>
      </c>
      <c r="BE395" s="377">
        <f t="shared" si="163"/>
        <v>0</v>
      </c>
      <c r="BF395" s="377">
        <f t="shared" si="164"/>
        <v>0</v>
      </c>
      <c r="BG395" s="328"/>
    </row>
    <row r="396" spans="2:59">
      <c r="B396" s="332">
        <v>381</v>
      </c>
      <c r="C396" s="350">
        <v>7770909.3562821848</v>
      </c>
      <c r="D396" s="350">
        <v>7742905.4721084824</v>
      </c>
      <c r="E396" s="350">
        <v>7712620.6443075445</v>
      </c>
      <c r="F396" s="350">
        <v>7676287.5104154898</v>
      </c>
      <c r="G396" s="350">
        <v>7630568.5975655979</v>
      </c>
      <c r="H396" s="348">
        <v>38533291.580679297</v>
      </c>
      <c r="I396" s="369"/>
      <c r="J396" s="350">
        <v>22950264.573085729</v>
      </c>
      <c r="K396" s="350">
        <v>22424312.090567458</v>
      </c>
      <c r="L396" s="350">
        <v>21885512.565613728</v>
      </c>
      <c r="M396" s="350">
        <v>21301004.771582499</v>
      </c>
      <c r="N396" s="350">
        <v>20643309.481815878</v>
      </c>
      <c r="O396" s="348">
        <v>109204403.48266529</v>
      </c>
      <c r="P396" s="369"/>
      <c r="Q396" s="350">
        <f t="shared" si="165"/>
        <v>15179355.216803543</v>
      </c>
      <c r="R396" s="350">
        <f t="shared" si="166"/>
        <v>14681406.618458975</v>
      </c>
      <c r="S396" s="350">
        <f t="shared" si="167"/>
        <v>14172891.921306184</v>
      </c>
      <c r="T396" s="350">
        <f t="shared" si="168"/>
        <v>13624717.261167008</v>
      </c>
      <c r="U396" s="350">
        <f t="shared" si="169"/>
        <v>13012740.88425028</v>
      </c>
      <c r="V396" s="350">
        <f t="shared" si="170"/>
        <v>70671111.901985988</v>
      </c>
      <c r="W396" s="365"/>
      <c r="X396" s="377">
        <f t="shared" si="148"/>
        <v>0</v>
      </c>
      <c r="Y396" s="377">
        <f t="shared" si="149"/>
        <v>0</v>
      </c>
      <c r="Z396" s="377">
        <f t="shared" si="150"/>
        <v>0</v>
      </c>
      <c r="AA396" s="377">
        <f t="shared" si="151"/>
        <v>0</v>
      </c>
      <c r="AB396" s="377">
        <f t="shared" si="152"/>
        <v>0</v>
      </c>
      <c r="AC396" s="377">
        <f t="shared" si="153"/>
        <v>0</v>
      </c>
      <c r="AD396" s="376"/>
      <c r="AE396" s="332">
        <v>381</v>
      </c>
      <c r="AF396" s="350">
        <v>262442.72158519313</v>
      </c>
      <c r="AG396" s="350">
        <v>261496.96154083477</v>
      </c>
      <c r="AH396" s="350">
        <v>260474.16842018248</v>
      </c>
      <c r="AI396" s="350">
        <v>259247.10912696848</v>
      </c>
      <c r="AJ396" s="350">
        <v>257703.06899393795</v>
      </c>
      <c r="AK396" s="348">
        <v>1301364.0296671169</v>
      </c>
      <c r="AL396" s="369"/>
      <c r="AM396" s="350">
        <v>9643196.6471586786</v>
      </c>
      <c r="AN396" s="350">
        <v>9561518.2477208339</v>
      </c>
      <c r="AO396" s="350">
        <v>9471596.979242241</v>
      </c>
      <c r="AP396" s="350">
        <v>9355125.8819237631</v>
      </c>
      <c r="AQ396" s="350">
        <v>9196432.6950031985</v>
      </c>
      <c r="AR396" s="348">
        <v>47227870.451048717</v>
      </c>
      <c r="AS396" s="369"/>
      <c r="AT396" s="350">
        <f t="shared" si="171"/>
        <v>9380753.925573485</v>
      </c>
      <c r="AU396" s="350">
        <f t="shared" si="154"/>
        <v>9300021.2861799989</v>
      </c>
      <c r="AV396" s="350">
        <f t="shared" si="155"/>
        <v>9211122.8108220585</v>
      </c>
      <c r="AW396" s="350">
        <f t="shared" si="156"/>
        <v>9095878.7727967948</v>
      </c>
      <c r="AX396" s="350">
        <f t="shared" si="157"/>
        <v>8938729.6260092612</v>
      </c>
      <c r="AY396" s="350">
        <f t="shared" si="158"/>
        <v>45926506.4213816</v>
      </c>
      <c r="AZ396" s="365"/>
      <c r="BA396" s="377">
        <f t="shared" si="159"/>
        <v>0</v>
      </c>
      <c r="BB396" s="377">
        <f t="shared" si="160"/>
        <v>0</v>
      </c>
      <c r="BC396" s="377">
        <f t="shared" si="161"/>
        <v>0</v>
      </c>
      <c r="BD396" s="377">
        <f t="shared" si="162"/>
        <v>0</v>
      </c>
      <c r="BE396" s="377">
        <f t="shared" si="163"/>
        <v>0</v>
      </c>
      <c r="BF396" s="377">
        <f t="shared" si="164"/>
        <v>0</v>
      </c>
      <c r="BG396" s="328"/>
    </row>
    <row r="397" spans="2:59">
      <c r="B397" s="332">
        <v>382</v>
      </c>
      <c r="C397" s="350">
        <v>3264999.9567868924</v>
      </c>
      <c r="D397" s="350">
        <v>3253233.9360517426</v>
      </c>
      <c r="E397" s="350">
        <v>3240509.5614736974</v>
      </c>
      <c r="F397" s="350">
        <v>3225243.950314356</v>
      </c>
      <c r="G397" s="350">
        <v>3206034.8408478345</v>
      </c>
      <c r="H397" s="348">
        <v>16190022.245474523</v>
      </c>
      <c r="I397" s="369"/>
      <c r="J397" s="350">
        <v>11828866.6475392</v>
      </c>
      <c r="K397" s="350">
        <v>11592127.728878899</v>
      </c>
      <c r="L397" s="350">
        <v>11348065.973001987</v>
      </c>
      <c r="M397" s="350">
        <v>11078635.087075671</v>
      </c>
      <c r="N397" s="350">
        <v>10768654.757287126</v>
      </c>
      <c r="O397" s="348">
        <v>56616350.193782881</v>
      </c>
      <c r="P397" s="369"/>
      <c r="Q397" s="350">
        <f t="shared" si="165"/>
        <v>8563866.6907523088</v>
      </c>
      <c r="R397" s="350">
        <f t="shared" si="166"/>
        <v>8338893.7928271554</v>
      </c>
      <c r="S397" s="350">
        <f t="shared" si="167"/>
        <v>8107556.4115282893</v>
      </c>
      <c r="T397" s="350">
        <f t="shared" si="168"/>
        <v>7853391.1367613152</v>
      </c>
      <c r="U397" s="350">
        <f t="shared" si="169"/>
        <v>7562619.9164392911</v>
      </c>
      <c r="V397" s="350">
        <f t="shared" si="170"/>
        <v>40426327.948308356</v>
      </c>
      <c r="W397" s="365"/>
      <c r="X397" s="377">
        <f t="shared" si="148"/>
        <v>0</v>
      </c>
      <c r="Y397" s="377">
        <f t="shared" si="149"/>
        <v>0</v>
      </c>
      <c r="Z397" s="377">
        <f t="shared" si="150"/>
        <v>0</v>
      </c>
      <c r="AA397" s="377">
        <f t="shared" si="151"/>
        <v>0</v>
      </c>
      <c r="AB397" s="377">
        <f t="shared" si="152"/>
        <v>0</v>
      </c>
      <c r="AC397" s="377">
        <f t="shared" si="153"/>
        <v>0</v>
      </c>
      <c r="AD397" s="376"/>
      <c r="AE397" s="332">
        <v>382</v>
      </c>
      <c r="AF397" s="350">
        <v>444446.62291573541</v>
      </c>
      <c r="AG397" s="350">
        <v>442844.97873499832</v>
      </c>
      <c r="AH397" s="350">
        <v>441112.87907656765</v>
      </c>
      <c r="AI397" s="350">
        <v>439034.85475304187</v>
      </c>
      <c r="AJ397" s="350">
        <v>436420.02352957806</v>
      </c>
      <c r="AK397" s="348">
        <v>2203859.3590099216</v>
      </c>
      <c r="AL397" s="369"/>
      <c r="AM397" s="350">
        <v>13545348.069156921</v>
      </c>
      <c r="AN397" s="350">
        <v>13427101.135113213</v>
      </c>
      <c r="AO397" s="350">
        <v>13297347.647149967</v>
      </c>
      <c r="AP397" s="350">
        <v>13130486.263628103</v>
      </c>
      <c r="AQ397" s="350">
        <v>12904607.05741287</v>
      </c>
      <c r="AR397" s="348">
        <v>66304890.17246107</v>
      </c>
      <c r="AS397" s="369"/>
      <c r="AT397" s="350">
        <f t="shared" si="171"/>
        <v>13100901.446241185</v>
      </c>
      <c r="AU397" s="350">
        <f t="shared" si="154"/>
        <v>12984256.156378215</v>
      </c>
      <c r="AV397" s="350">
        <f t="shared" si="155"/>
        <v>12856234.768073399</v>
      </c>
      <c r="AW397" s="350">
        <f t="shared" si="156"/>
        <v>12691451.408875061</v>
      </c>
      <c r="AX397" s="350">
        <f t="shared" si="157"/>
        <v>12468187.033883292</v>
      </c>
      <c r="AY397" s="350">
        <f t="shared" si="158"/>
        <v>64101030.813451149</v>
      </c>
      <c r="AZ397" s="365"/>
      <c r="BA397" s="377">
        <f t="shared" si="159"/>
        <v>0</v>
      </c>
      <c r="BB397" s="377">
        <f t="shared" si="160"/>
        <v>0</v>
      </c>
      <c r="BC397" s="377">
        <f t="shared" si="161"/>
        <v>0</v>
      </c>
      <c r="BD397" s="377">
        <f t="shared" si="162"/>
        <v>0</v>
      </c>
      <c r="BE397" s="377">
        <f t="shared" si="163"/>
        <v>0</v>
      </c>
      <c r="BF397" s="377">
        <f t="shared" si="164"/>
        <v>0</v>
      </c>
      <c r="BG397" s="328"/>
    </row>
    <row r="398" spans="2:59">
      <c r="B398" s="332">
        <v>383</v>
      </c>
      <c r="C398" s="350">
        <v>5718933.221127443</v>
      </c>
      <c r="D398" s="350">
        <v>5698324.00588906</v>
      </c>
      <c r="E398" s="350">
        <v>5676036.1500068018</v>
      </c>
      <c r="F398" s="350">
        <v>5649297.0958091132</v>
      </c>
      <c r="G398" s="350">
        <v>5615650.6591382623</v>
      </c>
      <c r="H398" s="348">
        <v>28358241.131970681</v>
      </c>
      <c r="I398" s="369"/>
      <c r="J398" s="350">
        <v>20777749.684081152</v>
      </c>
      <c r="K398" s="350">
        <v>20362659.443869088</v>
      </c>
      <c r="L398" s="350">
        <v>19934691.14014094</v>
      </c>
      <c r="M398" s="350">
        <v>19462121.755939826</v>
      </c>
      <c r="N398" s="350">
        <v>18918264.456007686</v>
      </c>
      <c r="O398" s="348">
        <v>99455486.480038688</v>
      </c>
      <c r="P398" s="369"/>
      <c r="Q398" s="350">
        <f t="shared" si="165"/>
        <v>15058816.462953709</v>
      </c>
      <c r="R398" s="350">
        <f t="shared" si="166"/>
        <v>14664335.437980028</v>
      </c>
      <c r="S398" s="350">
        <f t="shared" si="167"/>
        <v>14258654.990134139</v>
      </c>
      <c r="T398" s="350">
        <f t="shared" si="168"/>
        <v>13812824.660130713</v>
      </c>
      <c r="U398" s="350">
        <f t="shared" si="169"/>
        <v>13302613.796869423</v>
      </c>
      <c r="V398" s="350">
        <f t="shared" si="170"/>
        <v>71097245.348067999</v>
      </c>
      <c r="W398" s="365"/>
      <c r="X398" s="377">
        <f t="shared" si="148"/>
        <v>0</v>
      </c>
      <c r="Y398" s="377">
        <f t="shared" si="149"/>
        <v>0</v>
      </c>
      <c r="Z398" s="377">
        <f t="shared" si="150"/>
        <v>0</v>
      </c>
      <c r="AA398" s="377">
        <f t="shared" si="151"/>
        <v>0</v>
      </c>
      <c r="AB398" s="377">
        <f t="shared" si="152"/>
        <v>0</v>
      </c>
      <c r="AC398" s="377">
        <f t="shared" si="153"/>
        <v>0</v>
      </c>
      <c r="AD398" s="376"/>
      <c r="AE398" s="332">
        <v>383</v>
      </c>
      <c r="AF398" s="350">
        <v>465301.15787578048</v>
      </c>
      <c r="AG398" s="350">
        <v>463624.36058814928</v>
      </c>
      <c r="AH398" s="350">
        <v>461810.98652910773</v>
      </c>
      <c r="AI398" s="350">
        <v>459635.4561639824</v>
      </c>
      <c r="AJ398" s="350">
        <v>456897.93059129262</v>
      </c>
      <c r="AK398" s="348">
        <v>2307269.8917483124</v>
      </c>
      <c r="AL398" s="369"/>
      <c r="AM398" s="350">
        <v>11894764.110866245</v>
      </c>
      <c r="AN398" s="350">
        <v>11787445.961732974</v>
      </c>
      <c r="AO398" s="350">
        <v>11670094.471555669</v>
      </c>
      <c r="AP398" s="350">
        <v>11520340.38210012</v>
      </c>
      <c r="AQ398" s="350">
        <v>11319046.702389564</v>
      </c>
      <c r="AR398" s="348">
        <v>58191691.628644571</v>
      </c>
      <c r="AS398" s="369"/>
      <c r="AT398" s="350">
        <f t="shared" si="171"/>
        <v>11429462.952990465</v>
      </c>
      <c r="AU398" s="350">
        <f t="shared" si="154"/>
        <v>11323821.601144824</v>
      </c>
      <c r="AV398" s="350">
        <f t="shared" si="155"/>
        <v>11208283.485026561</v>
      </c>
      <c r="AW398" s="350">
        <f t="shared" si="156"/>
        <v>11060704.925936138</v>
      </c>
      <c r="AX398" s="350">
        <f t="shared" si="157"/>
        <v>10862148.771798272</v>
      </c>
      <c r="AY398" s="350">
        <f t="shared" si="158"/>
        <v>55884421.736896262</v>
      </c>
      <c r="AZ398" s="365"/>
      <c r="BA398" s="377">
        <f t="shared" si="159"/>
        <v>0</v>
      </c>
      <c r="BB398" s="377">
        <f t="shared" si="160"/>
        <v>0</v>
      </c>
      <c r="BC398" s="377">
        <f t="shared" si="161"/>
        <v>0</v>
      </c>
      <c r="BD398" s="377">
        <f t="shared" si="162"/>
        <v>0</v>
      </c>
      <c r="BE398" s="377">
        <f t="shared" si="163"/>
        <v>0</v>
      </c>
      <c r="BF398" s="377">
        <f t="shared" si="164"/>
        <v>0</v>
      </c>
      <c r="BG398" s="328"/>
    </row>
    <row r="399" spans="2:59">
      <c r="B399" s="332">
        <v>384</v>
      </c>
      <c r="C399" s="350">
        <v>7618910.3822501013</v>
      </c>
      <c r="D399" s="350">
        <v>7591454.2540040715</v>
      </c>
      <c r="E399" s="350">
        <v>7561761.7973843496</v>
      </c>
      <c r="F399" s="350">
        <v>7526139.339530549</v>
      </c>
      <c r="G399" s="350">
        <v>7481314.688539654</v>
      </c>
      <c r="H399" s="348">
        <v>37779580.461708724</v>
      </c>
      <c r="I399" s="369"/>
      <c r="J399" s="350">
        <v>25307121.986218475</v>
      </c>
      <c r="K399" s="350">
        <v>24771234.968413033</v>
      </c>
      <c r="L399" s="350">
        <v>24220281.523767039</v>
      </c>
      <c r="M399" s="350">
        <v>23616602.215577476</v>
      </c>
      <c r="N399" s="350">
        <v>22928590.414909609</v>
      </c>
      <c r="O399" s="348">
        <v>120843831.10888562</v>
      </c>
      <c r="P399" s="369"/>
      <c r="Q399" s="350">
        <f t="shared" si="165"/>
        <v>17688211.603968374</v>
      </c>
      <c r="R399" s="350">
        <f t="shared" si="166"/>
        <v>17179780.71440896</v>
      </c>
      <c r="S399" s="350">
        <f t="shared" si="167"/>
        <v>16658519.72638269</v>
      </c>
      <c r="T399" s="350">
        <f t="shared" si="168"/>
        <v>16090462.876046926</v>
      </c>
      <c r="U399" s="350">
        <f t="shared" si="169"/>
        <v>15447275.726369955</v>
      </c>
      <c r="V399" s="350">
        <f t="shared" si="170"/>
        <v>83064250.647176892</v>
      </c>
      <c r="W399" s="365"/>
      <c r="X399" s="377">
        <f t="shared" si="148"/>
        <v>0</v>
      </c>
      <c r="Y399" s="377">
        <f t="shared" si="149"/>
        <v>0</v>
      </c>
      <c r="Z399" s="377">
        <f t="shared" si="150"/>
        <v>0</v>
      </c>
      <c r="AA399" s="377">
        <f t="shared" si="151"/>
        <v>0</v>
      </c>
      <c r="AB399" s="377">
        <f t="shared" si="152"/>
        <v>0</v>
      </c>
      <c r="AC399" s="377">
        <f t="shared" si="153"/>
        <v>0</v>
      </c>
      <c r="AD399" s="376"/>
      <c r="AE399" s="332">
        <v>384</v>
      </c>
      <c r="AF399" s="350">
        <v>545337.07247305056</v>
      </c>
      <c r="AG399" s="350">
        <v>543371.85122120113</v>
      </c>
      <c r="AH399" s="350">
        <v>541246.56078528031</v>
      </c>
      <c r="AI399" s="350">
        <v>538696.81995547051</v>
      </c>
      <c r="AJ399" s="350">
        <v>535488.41577172396</v>
      </c>
      <c r="AK399" s="348">
        <v>2704140.7202067263</v>
      </c>
      <c r="AL399" s="369"/>
      <c r="AM399" s="350">
        <v>15583213.705525197</v>
      </c>
      <c r="AN399" s="350">
        <v>15445598.18769782</v>
      </c>
      <c r="AO399" s="350">
        <v>15294777.217404835</v>
      </c>
      <c r="AP399" s="350">
        <v>15101348.77522633</v>
      </c>
      <c r="AQ399" s="350">
        <v>14840153.390888752</v>
      </c>
      <c r="AR399" s="348">
        <v>76265091.276742935</v>
      </c>
      <c r="AS399" s="369"/>
      <c r="AT399" s="350">
        <f t="shared" si="171"/>
        <v>15037876.633052146</v>
      </c>
      <c r="AU399" s="350">
        <f t="shared" si="154"/>
        <v>14902226.336476618</v>
      </c>
      <c r="AV399" s="350">
        <f t="shared" si="155"/>
        <v>14753530.656619554</v>
      </c>
      <c r="AW399" s="350">
        <f t="shared" si="156"/>
        <v>14562651.95527086</v>
      </c>
      <c r="AX399" s="350">
        <f t="shared" si="157"/>
        <v>14304664.975117028</v>
      </c>
      <c r="AY399" s="350">
        <f t="shared" si="158"/>
        <v>73560950.556536213</v>
      </c>
      <c r="AZ399" s="365"/>
      <c r="BA399" s="377">
        <f t="shared" si="159"/>
        <v>0</v>
      </c>
      <c r="BB399" s="377">
        <f t="shared" si="160"/>
        <v>0</v>
      </c>
      <c r="BC399" s="377">
        <f t="shared" si="161"/>
        <v>0</v>
      </c>
      <c r="BD399" s="377">
        <f t="shared" si="162"/>
        <v>0</v>
      </c>
      <c r="BE399" s="377">
        <f t="shared" si="163"/>
        <v>0</v>
      </c>
      <c r="BF399" s="377">
        <f t="shared" si="164"/>
        <v>0</v>
      </c>
      <c r="BG399" s="328"/>
    </row>
    <row r="400" spans="2:59">
      <c r="B400" s="332">
        <v>385</v>
      </c>
      <c r="C400" s="350">
        <v>6942524.5711116698</v>
      </c>
      <c r="D400" s="350">
        <v>6917505.9220644655</v>
      </c>
      <c r="E400" s="350">
        <v>6890449.4796971446</v>
      </c>
      <c r="F400" s="350">
        <v>6857989.4852195168</v>
      </c>
      <c r="G400" s="350">
        <v>6817144.2428839719</v>
      </c>
      <c r="H400" s="348">
        <v>34425613.700976767</v>
      </c>
      <c r="I400" s="369"/>
      <c r="J400" s="350">
        <v>27824753.181404673</v>
      </c>
      <c r="K400" s="350">
        <v>27302102.49180999</v>
      </c>
      <c r="L400" s="350">
        <v>26761527.606447604</v>
      </c>
      <c r="M400" s="350">
        <v>26159473.342546429</v>
      </c>
      <c r="N400" s="350">
        <v>25459217.795420926</v>
      </c>
      <c r="O400" s="348">
        <v>133507074.41762963</v>
      </c>
      <c r="P400" s="369"/>
      <c r="Q400" s="350">
        <f t="shared" si="165"/>
        <v>20882228.610293001</v>
      </c>
      <c r="R400" s="350">
        <f t="shared" si="166"/>
        <v>20384596.569745526</v>
      </c>
      <c r="S400" s="350">
        <f t="shared" si="167"/>
        <v>19871078.126750458</v>
      </c>
      <c r="T400" s="350">
        <f t="shared" si="168"/>
        <v>19301483.857326914</v>
      </c>
      <c r="U400" s="350">
        <f t="shared" si="169"/>
        <v>18642073.552536953</v>
      </c>
      <c r="V400" s="350">
        <f t="shared" si="170"/>
        <v>99081460.71665287</v>
      </c>
      <c r="W400" s="365"/>
      <c r="X400" s="377">
        <f t="shared" ref="X400:X463" si="172">IF(Q400&lt;Q$8,1,0)</f>
        <v>0</v>
      </c>
      <c r="Y400" s="377">
        <f t="shared" ref="Y400:Y463" si="173">IF(R400&lt;R$8,1,0)</f>
        <v>0</v>
      </c>
      <c r="Z400" s="377">
        <f t="shared" ref="Z400:Z463" si="174">IF(S400&lt;S$8,1,0)</f>
        <v>0</v>
      </c>
      <c r="AA400" s="377">
        <f t="shared" ref="AA400:AA463" si="175">IF(T400&lt;T$8,1,0)</f>
        <v>0</v>
      </c>
      <c r="AB400" s="377">
        <f t="shared" ref="AB400:AB463" si="176">IF(U400&lt;U$8,1,0)</f>
        <v>0</v>
      </c>
      <c r="AC400" s="377">
        <f t="shared" ref="AC400:AC463" si="177">IF(V400&lt;V$8,1,0)</f>
        <v>0</v>
      </c>
      <c r="AD400" s="376"/>
      <c r="AE400" s="332">
        <v>385</v>
      </c>
      <c r="AF400" s="350">
        <v>551480.12250017829</v>
      </c>
      <c r="AG400" s="350">
        <v>549492.76365109987</v>
      </c>
      <c r="AH400" s="350">
        <v>547343.53248910513</v>
      </c>
      <c r="AI400" s="350">
        <v>544765.0696334797</v>
      </c>
      <c r="AJ400" s="350">
        <v>541520.52378909278</v>
      </c>
      <c r="AK400" s="348">
        <v>2734602.0120629556</v>
      </c>
      <c r="AL400" s="369"/>
      <c r="AM400" s="350">
        <v>13694431.34973135</v>
      </c>
      <c r="AN400" s="350">
        <v>13570143.957983976</v>
      </c>
      <c r="AO400" s="350">
        <v>13434320.139166387</v>
      </c>
      <c r="AP400" s="350">
        <v>13261229.830481857</v>
      </c>
      <c r="AQ400" s="350">
        <v>13028862.313857438</v>
      </c>
      <c r="AR400" s="348">
        <v>66988987.591221005</v>
      </c>
      <c r="AS400" s="369"/>
      <c r="AT400" s="350">
        <f t="shared" si="171"/>
        <v>13142951.227231173</v>
      </c>
      <c r="AU400" s="350">
        <f t="shared" ref="AU400:AU463" si="178">AN400-AG400</f>
        <v>13020651.194332877</v>
      </c>
      <c r="AV400" s="350">
        <f t="shared" ref="AV400:AV463" si="179">AO400-AH400</f>
        <v>12886976.606677283</v>
      </c>
      <c r="AW400" s="350">
        <f t="shared" ref="AW400:AW463" si="180">AP400-AI400</f>
        <v>12716464.760848377</v>
      </c>
      <c r="AX400" s="350">
        <f t="shared" ref="AX400:AX463" si="181">AQ400-AJ400</f>
        <v>12487341.790068345</v>
      </c>
      <c r="AY400" s="350">
        <f t="shared" ref="AY400:AY463" si="182">AR400-AK400</f>
        <v>64254385.579158053</v>
      </c>
      <c r="AZ400" s="365"/>
      <c r="BA400" s="377">
        <f t="shared" ref="BA400:BA463" si="183">IF(AT400&lt;AT$8,1,0)</f>
        <v>0</v>
      </c>
      <c r="BB400" s="377">
        <f t="shared" ref="BB400:BB463" si="184">IF(AU400&lt;AU$8,1,0)</f>
        <v>0</v>
      </c>
      <c r="BC400" s="377">
        <f t="shared" ref="BC400:BC463" si="185">IF(AV400&lt;AV$8,1,0)</f>
        <v>0</v>
      </c>
      <c r="BD400" s="377">
        <f t="shared" ref="BD400:BD463" si="186">IF(AW400&lt;AW$8,1,0)</f>
        <v>0</v>
      </c>
      <c r="BE400" s="377">
        <f t="shared" ref="BE400:BE463" si="187">IF(AX400&lt;AX$8,1,0)</f>
        <v>0</v>
      </c>
      <c r="BF400" s="377">
        <f t="shared" ref="BF400:BF463" si="188">IF(AY400&lt;AY$8,1,0)</f>
        <v>0</v>
      </c>
      <c r="BG400" s="328"/>
    </row>
    <row r="401" spans="2:59">
      <c r="B401" s="332">
        <v>386</v>
      </c>
      <c r="C401" s="350">
        <v>5163999.8648159634</v>
      </c>
      <c r="D401" s="350">
        <v>5145390.4527823012</v>
      </c>
      <c r="E401" s="350">
        <v>5125265.2860225569</v>
      </c>
      <c r="F401" s="350">
        <v>5101120.84038503</v>
      </c>
      <c r="G401" s="350">
        <v>5070739.2661120631</v>
      </c>
      <c r="H401" s="348">
        <v>25606515.710117914</v>
      </c>
      <c r="I401" s="369"/>
      <c r="J401" s="350">
        <v>17823986.425385416</v>
      </c>
      <c r="K401" s="350">
        <v>17455931.895241201</v>
      </c>
      <c r="L401" s="350">
        <v>17077074.545204978</v>
      </c>
      <c r="M401" s="350">
        <v>16660587.801518889</v>
      </c>
      <c r="N401" s="350">
        <v>16183933.245485883</v>
      </c>
      <c r="O401" s="348">
        <v>85201513.912836373</v>
      </c>
      <c r="P401" s="369"/>
      <c r="Q401" s="350">
        <f t="shared" ref="Q401:Q464" si="189">J401-C401</f>
        <v>12659986.560569452</v>
      </c>
      <c r="R401" s="350">
        <f t="shared" ref="R401:R464" si="190">K401-D401</f>
        <v>12310541.4424589</v>
      </c>
      <c r="S401" s="350">
        <f t="shared" ref="S401:S464" si="191">L401-E401</f>
        <v>11951809.259182421</v>
      </c>
      <c r="T401" s="350">
        <f t="shared" ref="T401:T464" si="192">M401-F401</f>
        <v>11559466.96113386</v>
      </c>
      <c r="U401" s="350">
        <f t="shared" ref="U401:U464" si="193">N401-G401</f>
        <v>11113193.97937382</v>
      </c>
      <c r="V401" s="350">
        <f t="shared" ref="V401:V464" si="194">O401-H401</f>
        <v>59594998.202718459</v>
      </c>
      <c r="W401" s="365"/>
      <c r="X401" s="377">
        <f t="shared" si="172"/>
        <v>0</v>
      </c>
      <c r="Y401" s="377">
        <f t="shared" si="173"/>
        <v>0</v>
      </c>
      <c r="Z401" s="377">
        <f t="shared" si="174"/>
        <v>0</v>
      </c>
      <c r="AA401" s="377">
        <f t="shared" si="175"/>
        <v>0</v>
      </c>
      <c r="AB401" s="377">
        <f t="shared" si="176"/>
        <v>0</v>
      </c>
      <c r="AC401" s="377">
        <f t="shared" si="177"/>
        <v>0</v>
      </c>
      <c r="AD401" s="376"/>
      <c r="AE401" s="332">
        <v>386</v>
      </c>
      <c r="AF401" s="350">
        <v>528907.22168033919</v>
      </c>
      <c r="AG401" s="350">
        <v>527001.20838183188</v>
      </c>
      <c r="AH401" s="350">
        <v>524939.94844469032</v>
      </c>
      <c r="AI401" s="350">
        <v>522467.02590490406</v>
      </c>
      <c r="AJ401" s="350">
        <v>519355.28414277261</v>
      </c>
      <c r="AK401" s="348">
        <v>2622670.6885545379</v>
      </c>
      <c r="AL401" s="369"/>
      <c r="AM401" s="350">
        <v>12204891.738305384</v>
      </c>
      <c r="AN401" s="350">
        <v>12092387.299454764</v>
      </c>
      <c r="AO401" s="350">
        <v>11969636.691761652</v>
      </c>
      <c r="AP401" s="350">
        <v>11813764.563176908</v>
      </c>
      <c r="AQ401" s="350">
        <v>11605205.703228949</v>
      </c>
      <c r="AR401" s="348">
        <v>59685885.995927654</v>
      </c>
      <c r="AS401" s="369"/>
      <c r="AT401" s="350">
        <f t="shared" ref="AT401:AT464" si="195">AM401-AF401</f>
        <v>11675984.516625045</v>
      </c>
      <c r="AU401" s="350">
        <f t="shared" si="178"/>
        <v>11565386.091072932</v>
      </c>
      <c r="AV401" s="350">
        <f t="shared" si="179"/>
        <v>11444696.743316961</v>
      </c>
      <c r="AW401" s="350">
        <f t="shared" si="180"/>
        <v>11291297.537272004</v>
      </c>
      <c r="AX401" s="350">
        <f t="shared" si="181"/>
        <v>11085850.419086177</v>
      </c>
      <c r="AY401" s="350">
        <f t="shared" si="182"/>
        <v>57063215.307373114</v>
      </c>
      <c r="AZ401" s="365"/>
      <c r="BA401" s="377">
        <f t="shared" si="183"/>
        <v>0</v>
      </c>
      <c r="BB401" s="377">
        <f t="shared" si="184"/>
        <v>0</v>
      </c>
      <c r="BC401" s="377">
        <f t="shared" si="185"/>
        <v>0</v>
      </c>
      <c r="BD401" s="377">
        <f t="shared" si="186"/>
        <v>0</v>
      </c>
      <c r="BE401" s="377">
        <f t="shared" si="187"/>
        <v>0</v>
      </c>
      <c r="BF401" s="377">
        <f t="shared" si="188"/>
        <v>0</v>
      </c>
      <c r="BG401" s="328"/>
    </row>
    <row r="402" spans="2:59">
      <c r="B402" s="332">
        <v>387</v>
      </c>
      <c r="C402" s="350">
        <v>4212649.497769339</v>
      </c>
      <c r="D402" s="350">
        <v>4197468.449684592</v>
      </c>
      <c r="E402" s="350">
        <v>4181050.8904548585</v>
      </c>
      <c r="F402" s="350">
        <v>4161354.5137214181</v>
      </c>
      <c r="G402" s="350">
        <v>4136570.0584632996</v>
      </c>
      <c r="H402" s="348">
        <v>20889093.410093509</v>
      </c>
      <c r="I402" s="369"/>
      <c r="J402" s="350">
        <v>14407055.215104986</v>
      </c>
      <c r="K402" s="350">
        <v>14107766.904603286</v>
      </c>
      <c r="L402" s="350">
        <v>13799783.298309145</v>
      </c>
      <c r="M402" s="350">
        <v>13461478.440591581</v>
      </c>
      <c r="N402" s="350">
        <v>13074687.67401718</v>
      </c>
      <c r="O402" s="348">
        <v>68850771.532626182</v>
      </c>
      <c r="P402" s="369"/>
      <c r="Q402" s="350">
        <f t="shared" si="189"/>
        <v>10194405.717335647</v>
      </c>
      <c r="R402" s="350">
        <f t="shared" si="190"/>
        <v>9910298.4549186938</v>
      </c>
      <c r="S402" s="350">
        <f t="shared" si="191"/>
        <v>9618732.407854287</v>
      </c>
      <c r="T402" s="350">
        <f t="shared" si="192"/>
        <v>9300123.9268701635</v>
      </c>
      <c r="U402" s="350">
        <f t="shared" si="193"/>
        <v>8938117.6155538801</v>
      </c>
      <c r="V402" s="350">
        <f t="shared" si="194"/>
        <v>47961678.122532673</v>
      </c>
      <c r="W402" s="365"/>
      <c r="X402" s="377">
        <f t="shared" si="172"/>
        <v>0</v>
      </c>
      <c r="Y402" s="377">
        <f t="shared" si="173"/>
        <v>0</v>
      </c>
      <c r="Z402" s="377">
        <f t="shared" si="174"/>
        <v>0</v>
      </c>
      <c r="AA402" s="377">
        <f t="shared" si="175"/>
        <v>0</v>
      </c>
      <c r="AB402" s="377">
        <f t="shared" si="176"/>
        <v>0</v>
      </c>
      <c r="AC402" s="377">
        <f t="shared" si="177"/>
        <v>0</v>
      </c>
      <c r="AD402" s="376"/>
      <c r="AE402" s="332">
        <v>387</v>
      </c>
      <c r="AF402" s="350">
        <v>333836.56205379253</v>
      </c>
      <c r="AG402" s="350">
        <v>332633.52132997516</v>
      </c>
      <c r="AH402" s="350">
        <v>331332.49176806386</v>
      </c>
      <c r="AI402" s="350">
        <v>329771.62830266287</v>
      </c>
      <c r="AJ402" s="350">
        <v>327807.5538312103</v>
      </c>
      <c r="AK402" s="348">
        <v>1655381.7572857048</v>
      </c>
      <c r="AL402" s="369"/>
      <c r="AM402" s="350">
        <v>14225202.378582111</v>
      </c>
      <c r="AN402" s="350">
        <v>14107187.386999037</v>
      </c>
      <c r="AO402" s="350">
        <v>13976962.388454696</v>
      </c>
      <c r="AP402" s="350">
        <v>13807441.916509721</v>
      </c>
      <c r="AQ402" s="350">
        <v>13575433.719330486</v>
      </c>
      <c r="AR402" s="348">
        <v>69692227.789876059</v>
      </c>
      <c r="AS402" s="369"/>
      <c r="AT402" s="350">
        <f t="shared" si="195"/>
        <v>13891365.816528318</v>
      </c>
      <c r="AU402" s="350">
        <f t="shared" si="178"/>
        <v>13774553.865669062</v>
      </c>
      <c r="AV402" s="350">
        <f t="shared" si="179"/>
        <v>13645629.896686632</v>
      </c>
      <c r="AW402" s="350">
        <f t="shared" si="180"/>
        <v>13477670.288207058</v>
      </c>
      <c r="AX402" s="350">
        <f t="shared" si="181"/>
        <v>13247626.165499276</v>
      </c>
      <c r="AY402" s="350">
        <f t="shared" si="182"/>
        <v>68036846.032590359</v>
      </c>
      <c r="AZ402" s="365"/>
      <c r="BA402" s="377">
        <f t="shared" si="183"/>
        <v>0</v>
      </c>
      <c r="BB402" s="377">
        <f t="shared" si="184"/>
        <v>0</v>
      </c>
      <c r="BC402" s="377">
        <f t="shared" si="185"/>
        <v>0</v>
      </c>
      <c r="BD402" s="377">
        <f t="shared" si="186"/>
        <v>0</v>
      </c>
      <c r="BE402" s="377">
        <f t="shared" si="187"/>
        <v>0</v>
      </c>
      <c r="BF402" s="377">
        <f t="shared" si="188"/>
        <v>0</v>
      </c>
      <c r="BG402" s="328"/>
    </row>
    <row r="403" spans="2:59">
      <c r="B403" s="332">
        <v>388</v>
      </c>
      <c r="C403" s="350">
        <v>7679213.7056188993</v>
      </c>
      <c r="D403" s="350">
        <v>7651540.2633874062</v>
      </c>
      <c r="E403" s="350">
        <v>7621612.7923465464</v>
      </c>
      <c r="F403" s="350">
        <v>7585708.384386057</v>
      </c>
      <c r="G403" s="350">
        <v>7540528.9483553078</v>
      </c>
      <c r="H403" s="348">
        <v>38078604.094094217</v>
      </c>
      <c r="I403" s="369"/>
      <c r="J403" s="350">
        <v>29937462.511888005</v>
      </c>
      <c r="K403" s="350">
        <v>29365405.094667204</v>
      </c>
      <c r="L403" s="350">
        <v>28774261.04318615</v>
      </c>
      <c r="M403" s="350">
        <v>28117482.064175084</v>
      </c>
      <c r="N403" s="350">
        <v>27355845.935977168</v>
      </c>
      <c r="O403" s="348">
        <v>143550456.64989361</v>
      </c>
      <c r="P403" s="369"/>
      <c r="Q403" s="350">
        <f t="shared" si="189"/>
        <v>22258248.806269106</v>
      </c>
      <c r="R403" s="350">
        <f t="shared" si="190"/>
        <v>21713864.831279799</v>
      </c>
      <c r="S403" s="350">
        <f t="shared" si="191"/>
        <v>21152648.250839606</v>
      </c>
      <c r="T403" s="350">
        <f t="shared" si="192"/>
        <v>20531773.679789029</v>
      </c>
      <c r="U403" s="350">
        <f t="shared" si="193"/>
        <v>19815316.987621859</v>
      </c>
      <c r="V403" s="350">
        <f t="shared" si="194"/>
        <v>105471852.55579939</v>
      </c>
      <c r="W403" s="365"/>
      <c r="X403" s="377">
        <f t="shared" si="172"/>
        <v>0</v>
      </c>
      <c r="Y403" s="377">
        <f t="shared" si="173"/>
        <v>0</v>
      </c>
      <c r="Z403" s="377">
        <f t="shared" si="174"/>
        <v>0</v>
      </c>
      <c r="AA403" s="377">
        <f t="shared" si="175"/>
        <v>0</v>
      </c>
      <c r="AB403" s="377">
        <f t="shared" si="176"/>
        <v>0</v>
      </c>
      <c r="AC403" s="377">
        <f t="shared" si="177"/>
        <v>0</v>
      </c>
      <c r="AD403" s="376"/>
      <c r="AE403" s="332">
        <v>388</v>
      </c>
      <c r="AF403" s="350">
        <v>486157.46104356798</v>
      </c>
      <c r="AG403" s="350">
        <v>484405.5042769846</v>
      </c>
      <c r="AH403" s="350">
        <v>482510.84892626386</v>
      </c>
      <c r="AI403" s="350">
        <v>480237.80425222748</v>
      </c>
      <c r="AJ403" s="350">
        <v>477377.57392734173</v>
      </c>
      <c r="AK403" s="348">
        <v>2410689.1924263858</v>
      </c>
      <c r="AL403" s="369"/>
      <c r="AM403" s="350">
        <v>15863819.084599167</v>
      </c>
      <c r="AN403" s="350">
        <v>15726926.857894896</v>
      </c>
      <c r="AO403" s="350">
        <v>15576526.018353553</v>
      </c>
      <c r="AP403" s="350">
        <v>15382581.715903422</v>
      </c>
      <c r="AQ403" s="350">
        <v>15119386.622847514</v>
      </c>
      <c r="AR403" s="348">
        <v>77669240.29959856</v>
      </c>
      <c r="AS403" s="369"/>
      <c r="AT403" s="350">
        <f t="shared" si="195"/>
        <v>15377661.623555599</v>
      </c>
      <c r="AU403" s="350">
        <f t="shared" si="178"/>
        <v>15242521.35361791</v>
      </c>
      <c r="AV403" s="350">
        <f t="shared" si="179"/>
        <v>15094015.169427291</v>
      </c>
      <c r="AW403" s="350">
        <f t="shared" si="180"/>
        <v>14902343.911651194</v>
      </c>
      <c r="AX403" s="350">
        <f t="shared" si="181"/>
        <v>14642009.048920173</v>
      </c>
      <c r="AY403" s="350">
        <f t="shared" si="182"/>
        <v>75258551.107172176</v>
      </c>
      <c r="AZ403" s="365"/>
      <c r="BA403" s="377">
        <f t="shared" si="183"/>
        <v>0</v>
      </c>
      <c r="BB403" s="377">
        <f t="shared" si="184"/>
        <v>0</v>
      </c>
      <c r="BC403" s="377">
        <f t="shared" si="185"/>
        <v>0</v>
      </c>
      <c r="BD403" s="377">
        <f t="shared" si="186"/>
        <v>0</v>
      </c>
      <c r="BE403" s="377">
        <f t="shared" si="187"/>
        <v>0</v>
      </c>
      <c r="BF403" s="377">
        <f t="shared" si="188"/>
        <v>0</v>
      </c>
      <c r="BG403" s="328"/>
    </row>
    <row r="404" spans="2:59">
      <c r="B404" s="332">
        <v>389</v>
      </c>
      <c r="C404" s="350">
        <v>3976617.8091275115</v>
      </c>
      <c r="D404" s="350">
        <v>3962287.3441298921</v>
      </c>
      <c r="E404" s="350">
        <v>3946789.6488077585</v>
      </c>
      <c r="F404" s="350">
        <v>3928196.8457428571</v>
      </c>
      <c r="G404" s="350">
        <v>3904801.0454938347</v>
      </c>
      <c r="H404" s="348">
        <v>19718692.693301853</v>
      </c>
      <c r="I404" s="369"/>
      <c r="J404" s="350">
        <v>13255466.100907426</v>
      </c>
      <c r="K404" s="350">
        <v>12975428.713083226</v>
      </c>
      <c r="L404" s="350">
        <v>12687486.464525465</v>
      </c>
      <c r="M404" s="350">
        <v>12371892.897448555</v>
      </c>
      <c r="N404" s="350">
        <v>12012073.664228249</v>
      </c>
      <c r="O404" s="348">
        <v>63302347.840192914</v>
      </c>
      <c r="P404" s="369"/>
      <c r="Q404" s="350">
        <f t="shared" si="189"/>
        <v>9278848.2917799149</v>
      </c>
      <c r="R404" s="350">
        <f t="shared" si="190"/>
        <v>9013141.3689533342</v>
      </c>
      <c r="S404" s="350">
        <f t="shared" si="191"/>
        <v>8740696.8157177065</v>
      </c>
      <c r="T404" s="350">
        <f t="shared" si="192"/>
        <v>8443696.0517056976</v>
      </c>
      <c r="U404" s="350">
        <f t="shared" si="193"/>
        <v>8107272.6187344147</v>
      </c>
      <c r="V404" s="350">
        <f t="shared" si="194"/>
        <v>43583655.146891057</v>
      </c>
      <c r="W404" s="365"/>
      <c r="X404" s="377">
        <f t="shared" si="172"/>
        <v>0</v>
      </c>
      <c r="Y404" s="377">
        <f t="shared" si="173"/>
        <v>0</v>
      </c>
      <c r="Z404" s="377">
        <f t="shared" si="174"/>
        <v>0</v>
      </c>
      <c r="AA404" s="377">
        <f t="shared" si="175"/>
        <v>0</v>
      </c>
      <c r="AB404" s="377">
        <f t="shared" si="176"/>
        <v>0</v>
      </c>
      <c r="AC404" s="377">
        <f t="shared" si="177"/>
        <v>0</v>
      </c>
      <c r="AD404" s="376"/>
      <c r="AE404" s="332">
        <v>389</v>
      </c>
      <c r="AF404" s="350">
        <v>470091.76636512851</v>
      </c>
      <c r="AG404" s="350">
        <v>468397.70524914644</v>
      </c>
      <c r="AH404" s="350">
        <v>466565.6612061286</v>
      </c>
      <c r="AI404" s="350">
        <v>464367.73219861957</v>
      </c>
      <c r="AJ404" s="350">
        <v>461602.02184060018</v>
      </c>
      <c r="AK404" s="348">
        <v>2331024.8868596232</v>
      </c>
      <c r="AL404" s="369"/>
      <c r="AM404" s="350">
        <v>13220983.718820244</v>
      </c>
      <c r="AN404" s="350">
        <v>13103884.756314084</v>
      </c>
      <c r="AO404" s="350">
        <v>12975589.162047895</v>
      </c>
      <c r="AP404" s="350">
        <v>12811163.033673955</v>
      </c>
      <c r="AQ404" s="350">
        <v>12589270.97534053</v>
      </c>
      <c r="AR404" s="348">
        <v>64700891.646196708</v>
      </c>
      <c r="AS404" s="369"/>
      <c r="AT404" s="350">
        <f t="shared" si="195"/>
        <v>12750891.952455116</v>
      </c>
      <c r="AU404" s="350">
        <f t="shared" si="178"/>
        <v>12635487.051064938</v>
      </c>
      <c r="AV404" s="350">
        <f t="shared" si="179"/>
        <v>12509023.500841767</v>
      </c>
      <c r="AW404" s="350">
        <f t="shared" si="180"/>
        <v>12346795.301475335</v>
      </c>
      <c r="AX404" s="350">
        <f t="shared" si="181"/>
        <v>12127668.95349993</v>
      </c>
      <c r="AY404" s="350">
        <f t="shared" si="182"/>
        <v>62369866.759337083</v>
      </c>
      <c r="AZ404" s="365"/>
      <c r="BA404" s="377">
        <f t="shared" si="183"/>
        <v>0</v>
      </c>
      <c r="BB404" s="377">
        <f t="shared" si="184"/>
        <v>0</v>
      </c>
      <c r="BC404" s="377">
        <f t="shared" si="185"/>
        <v>0</v>
      </c>
      <c r="BD404" s="377">
        <f t="shared" si="186"/>
        <v>0</v>
      </c>
      <c r="BE404" s="377">
        <f t="shared" si="187"/>
        <v>0</v>
      </c>
      <c r="BF404" s="377">
        <f t="shared" si="188"/>
        <v>0</v>
      </c>
      <c r="BG404" s="328"/>
    </row>
    <row r="405" spans="2:59">
      <c r="B405" s="332">
        <v>390</v>
      </c>
      <c r="C405" s="350">
        <v>4815288.9880723665</v>
      </c>
      <c r="D405" s="350">
        <v>4797936.2190588079</v>
      </c>
      <c r="E405" s="350">
        <v>4779170.0501164775</v>
      </c>
      <c r="F405" s="350">
        <v>4756656.0132758431</v>
      </c>
      <c r="G405" s="350">
        <v>4728326.0241459664</v>
      </c>
      <c r="H405" s="348">
        <v>23877377.294669464</v>
      </c>
      <c r="I405" s="369"/>
      <c r="J405" s="350">
        <v>15972193.195430687</v>
      </c>
      <c r="K405" s="350">
        <v>15633664.113012724</v>
      </c>
      <c r="L405" s="350">
        <v>15285632.470663713</v>
      </c>
      <c r="M405" s="350">
        <v>14904340.194700478</v>
      </c>
      <c r="N405" s="350">
        <v>14469848.509073466</v>
      </c>
      <c r="O405" s="348">
        <v>76265678.482881069</v>
      </c>
      <c r="P405" s="369"/>
      <c r="Q405" s="350">
        <f t="shared" si="189"/>
        <v>11156904.207358319</v>
      </c>
      <c r="R405" s="350">
        <f t="shared" si="190"/>
        <v>10835727.893953916</v>
      </c>
      <c r="S405" s="350">
        <f t="shared" si="191"/>
        <v>10506462.420547236</v>
      </c>
      <c r="T405" s="350">
        <f t="shared" si="192"/>
        <v>10147684.181424635</v>
      </c>
      <c r="U405" s="350">
        <f t="shared" si="193"/>
        <v>9741522.4849274997</v>
      </c>
      <c r="V405" s="350">
        <f t="shared" si="194"/>
        <v>52388301.188211605</v>
      </c>
      <c r="W405" s="365"/>
      <c r="X405" s="377">
        <f t="shared" si="172"/>
        <v>0</v>
      </c>
      <c r="Y405" s="377">
        <f t="shared" si="173"/>
        <v>0</v>
      </c>
      <c r="Z405" s="377">
        <f t="shared" si="174"/>
        <v>0</v>
      </c>
      <c r="AA405" s="377">
        <f t="shared" si="175"/>
        <v>0</v>
      </c>
      <c r="AB405" s="377">
        <f t="shared" si="176"/>
        <v>0</v>
      </c>
      <c r="AC405" s="377">
        <f t="shared" si="177"/>
        <v>0</v>
      </c>
      <c r="AD405" s="376"/>
      <c r="AE405" s="332">
        <v>390</v>
      </c>
      <c r="AF405" s="350">
        <v>413618.63745769369</v>
      </c>
      <c r="AG405" s="350">
        <v>412128.08752532507</v>
      </c>
      <c r="AH405" s="350">
        <v>410516.13084994076</v>
      </c>
      <c r="AI405" s="350">
        <v>408582.24375307851</v>
      </c>
      <c r="AJ405" s="350">
        <v>406148.78409320849</v>
      </c>
      <c r="AK405" s="348">
        <v>2050993.8836792465</v>
      </c>
      <c r="AL405" s="369"/>
      <c r="AM405" s="350">
        <v>12923526.923016669</v>
      </c>
      <c r="AN405" s="350">
        <v>12811191.985021003</v>
      </c>
      <c r="AO405" s="350">
        <v>12687868.843356667</v>
      </c>
      <c r="AP405" s="350">
        <v>12529115.806310663</v>
      </c>
      <c r="AQ405" s="350">
        <v>12314014.432349142</v>
      </c>
      <c r="AR405" s="348">
        <v>63265717.990054145</v>
      </c>
      <c r="AS405" s="369"/>
      <c r="AT405" s="350">
        <f t="shared" si="195"/>
        <v>12509908.285558976</v>
      </c>
      <c r="AU405" s="350">
        <f t="shared" si="178"/>
        <v>12399063.897495678</v>
      </c>
      <c r="AV405" s="350">
        <f t="shared" si="179"/>
        <v>12277352.712506726</v>
      </c>
      <c r="AW405" s="350">
        <f t="shared" si="180"/>
        <v>12120533.562557584</v>
      </c>
      <c r="AX405" s="350">
        <f t="shared" si="181"/>
        <v>11907865.648255933</v>
      </c>
      <c r="AY405" s="350">
        <f t="shared" si="182"/>
        <v>61214724.106374897</v>
      </c>
      <c r="AZ405" s="365"/>
      <c r="BA405" s="377">
        <f t="shared" si="183"/>
        <v>0</v>
      </c>
      <c r="BB405" s="377">
        <f t="shared" si="184"/>
        <v>0</v>
      </c>
      <c r="BC405" s="377">
        <f t="shared" si="185"/>
        <v>0</v>
      </c>
      <c r="BD405" s="377">
        <f t="shared" si="186"/>
        <v>0</v>
      </c>
      <c r="BE405" s="377">
        <f t="shared" si="187"/>
        <v>0</v>
      </c>
      <c r="BF405" s="377">
        <f t="shared" si="188"/>
        <v>0</v>
      </c>
      <c r="BG405" s="328"/>
    </row>
    <row r="406" spans="2:59">
      <c r="B406" s="332">
        <v>391</v>
      </c>
      <c r="C406" s="350">
        <v>4658882.4162643217</v>
      </c>
      <c r="D406" s="350">
        <v>4642093.2867580717</v>
      </c>
      <c r="E406" s="350">
        <v>4623936.6663096137</v>
      </c>
      <c r="F406" s="350">
        <v>4602153.9133708449</v>
      </c>
      <c r="G406" s="350">
        <v>4574744.1175025022</v>
      </c>
      <c r="H406" s="348">
        <v>23101810.400205355</v>
      </c>
      <c r="I406" s="369"/>
      <c r="J406" s="350">
        <v>14985253.40978265</v>
      </c>
      <c r="K406" s="350">
        <v>14661094.250221722</v>
      </c>
      <c r="L406" s="350">
        <v>14328153.418529145</v>
      </c>
      <c r="M406" s="350">
        <v>13964352.362051079</v>
      </c>
      <c r="N406" s="350">
        <v>13551178.28098112</v>
      </c>
      <c r="O406" s="348">
        <v>71490031.721565709</v>
      </c>
      <c r="P406" s="369"/>
      <c r="Q406" s="350">
        <f t="shared" si="189"/>
        <v>10326370.993518328</v>
      </c>
      <c r="R406" s="350">
        <f t="shared" si="190"/>
        <v>10019000.963463649</v>
      </c>
      <c r="S406" s="350">
        <f t="shared" si="191"/>
        <v>9704216.7522195317</v>
      </c>
      <c r="T406" s="350">
        <f t="shared" si="192"/>
        <v>9362198.4486802332</v>
      </c>
      <c r="U406" s="350">
        <f t="shared" si="193"/>
        <v>8976434.1634786166</v>
      </c>
      <c r="V406" s="350">
        <f t="shared" si="194"/>
        <v>48388221.32136035</v>
      </c>
      <c r="W406" s="365"/>
      <c r="X406" s="377">
        <f t="shared" si="172"/>
        <v>0</v>
      </c>
      <c r="Y406" s="377">
        <f t="shared" si="173"/>
        <v>0</v>
      </c>
      <c r="Z406" s="377">
        <f t="shared" si="174"/>
        <v>0</v>
      </c>
      <c r="AA406" s="377">
        <f t="shared" si="175"/>
        <v>0</v>
      </c>
      <c r="AB406" s="377">
        <f t="shared" si="176"/>
        <v>0</v>
      </c>
      <c r="AC406" s="377">
        <f t="shared" si="177"/>
        <v>0</v>
      </c>
      <c r="AD406" s="376"/>
      <c r="AE406" s="332">
        <v>391</v>
      </c>
      <c r="AF406" s="350">
        <v>306540.73008545674</v>
      </c>
      <c r="AG406" s="350">
        <v>305436.05485296354</v>
      </c>
      <c r="AH406" s="350">
        <v>304241.40274740173</v>
      </c>
      <c r="AI406" s="350">
        <v>302808.16181266366</v>
      </c>
      <c r="AJ406" s="350">
        <v>301004.67803989392</v>
      </c>
      <c r="AK406" s="348">
        <v>1520031.0275383797</v>
      </c>
      <c r="AL406" s="369"/>
      <c r="AM406" s="350">
        <v>9836305.7516967878</v>
      </c>
      <c r="AN406" s="350">
        <v>9751189.5595132001</v>
      </c>
      <c r="AO406" s="350">
        <v>9657702.2312864922</v>
      </c>
      <c r="AP406" s="350">
        <v>9537228.4056455698</v>
      </c>
      <c r="AQ406" s="350">
        <v>9373835.3522929028</v>
      </c>
      <c r="AR406" s="348">
        <v>48156261.300434954</v>
      </c>
      <c r="AS406" s="369"/>
      <c r="AT406" s="350">
        <f t="shared" si="195"/>
        <v>9529765.021611331</v>
      </c>
      <c r="AU406" s="350">
        <f t="shared" si="178"/>
        <v>9445753.5046602357</v>
      </c>
      <c r="AV406" s="350">
        <f t="shared" si="179"/>
        <v>9353460.8285390902</v>
      </c>
      <c r="AW406" s="350">
        <f t="shared" si="180"/>
        <v>9234420.2438329067</v>
      </c>
      <c r="AX406" s="350">
        <f t="shared" si="181"/>
        <v>9072830.6742530093</v>
      </c>
      <c r="AY406" s="350">
        <f t="shared" si="182"/>
        <v>46636230.272896573</v>
      </c>
      <c r="AZ406" s="365"/>
      <c r="BA406" s="377">
        <f t="shared" si="183"/>
        <v>0</v>
      </c>
      <c r="BB406" s="377">
        <f t="shared" si="184"/>
        <v>0</v>
      </c>
      <c r="BC406" s="377">
        <f t="shared" si="185"/>
        <v>0</v>
      </c>
      <c r="BD406" s="377">
        <f t="shared" si="186"/>
        <v>0</v>
      </c>
      <c r="BE406" s="377">
        <f t="shared" si="187"/>
        <v>0</v>
      </c>
      <c r="BF406" s="377">
        <f t="shared" si="188"/>
        <v>0</v>
      </c>
      <c r="BG406" s="328"/>
    </row>
    <row r="407" spans="2:59">
      <c r="B407" s="332">
        <v>392</v>
      </c>
      <c r="C407" s="350">
        <v>6631040.0927028721</v>
      </c>
      <c r="D407" s="350">
        <v>6607143.9345837329</v>
      </c>
      <c r="E407" s="350">
        <v>6581301.4111232981</v>
      </c>
      <c r="F407" s="350">
        <v>6550297.7722329572</v>
      </c>
      <c r="G407" s="350">
        <v>6511285.0994294398</v>
      </c>
      <c r="H407" s="348">
        <v>32881068.310072299</v>
      </c>
      <c r="I407" s="369"/>
      <c r="J407" s="350">
        <v>20198518.411245845</v>
      </c>
      <c r="K407" s="350">
        <v>19745284.500661541</v>
      </c>
      <c r="L407" s="350">
        <v>19280546.724017657</v>
      </c>
      <c r="M407" s="350">
        <v>18775072.053232502</v>
      </c>
      <c r="N407" s="350">
        <v>18204390.031592738</v>
      </c>
      <c r="O407" s="348">
        <v>96203811.720750287</v>
      </c>
      <c r="P407" s="369"/>
      <c r="Q407" s="350">
        <f t="shared" si="189"/>
        <v>13567478.318542972</v>
      </c>
      <c r="R407" s="350">
        <f t="shared" si="190"/>
        <v>13138140.566077808</v>
      </c>
      <c r="S407" s="350">
        <f t="shared" si="191"/>
        <v>12699245.312894359</v>
      </c>
      <c r="T407" s="350">
        <f t="shared" si="192"/>
        <v>12224774.280999545</v>
      </c>
      <c r="U407" s="350">
        <f t="shared" si="193"/>
        <v>11693104.932163298</v>
      </c>
      <c r="V407" s="350">
        <f t="shared" si="194"/>
        <v>63322743.410677984</v>
      </c>
      <c r="W407" s="365"/>
      <c r="X407" s="377">
        <f t="shared" si="172"/>
        <v>0</v>
      </c>
      <c r="Y407" s="377">
        <f t="shared" si="173"/>
        <v>0</v>
      </c>
      <c r="Z407" s="377">
        <f t="shared" si="174"/>
        <v>0</v>
      </c>
      <c r="AA407" s="377">
        <f t="shared" si="175"/>
        <v>0</v>
      </c>
      <c r="AB407" s="377">
        <f t="shared" si="176"/>
        <v>0</v>
      </c>
      <c r="AC407" s="377">
        <f t="shared" si="177"/>
        <v>0</v>
      </c>
      <c r="AD407" s="376"/>
      <c r="AE407" s="332">
        <v>392</v>
      </c>
      <c r="AF407" s="350">
        <v>201712.98650177967</v>
      </c>
      <c r="AG407" s="350">
        <v>200986.07709499827</v>
      </c>
      <c r="AH407" s="350">
        <v>200199.96020940092</v>
      </c>
      <c r="AI407" s="350">
        <v>199256.84472441458</v>
      </c>
      <c r="AJ407" s="350">
        <v>198070.09835693685</v>
      </c>
      <c r="AK407" s="348">
        <v>1000225.9668875304</v>
      </c>
      <c r="AL407" s="369"/>
      <c r="AM407" s="350">
        <v>5214765.1454694206</v>
      </c>
      <c r="AN407" s="350">
        <v>5167821.6976536456</v>
      </c>
      <c r="AO407" s="350">
        <v>5116477.3891667267</v>
      </c>
      <c r="AP407" s="350">
        <v>5050921.933183982</v>
      </c>
      <c r="AQ407" s="350">
        <v>4962762.3794962829</v>
      </c>
      <c r="AR407" s="348">
        <v>25512748.544970062</v>
      </c>
      <c r="AS407" s="369"/>
      <c r="AT407" s="350">
        <f t="shared" si="195"/>
        <v>5013052.1589676412</v>
      </c>
      <c r="AU407" s="350">
        <f t="shared" si="178"/>
        <v>4966835.6205586474</v>
      </c>
      <c r="AV407" s="350">
        <f t="shared" si="179"/>
        <v>4916277.4289573254</v>
      </c>
      <c r="AW407" s="350">
        <f t="shared" si="180"/>
        <v>4851665.0884595672</v>
      </c>
      <c r="AX407" s="350">
        <f t="shared" si="181"/>
        <v>4764692.2811393458</v>
      </c>
      <c r="AY407" s="350">
        <f t="shared" si="182"/>
        <v>24512522.578082532</v>
      </c>
      <c r="AZ407" s="365"/>
      <c r="BA407" s="377">
        <f t="shared" si="183"/>
        <v>0</v>
      </c>
      <c r="BB407" s="377">
        <f t="shared" si="184"/>
        <v>0</v>
      </c>
      <c r="BC407" s="377">
        <f t="shared" si="185"/>
        <v>0</v>
      </c>
      <c r="BD407" s="377">
        <f t="shared" si="186"/>
        <v>0</v>
      </c>
      <c r="BE407" s="377">
        <f t="shared" si="187"/>
        <v>0</v>
      </c>
      <c r="BF407" s="377">
        <f t="shared" si="188"/>
        <v>0</v>
      </c>
      <c r="BG407" s="328"/>
    </row>
    <row r="408" spans="2:59">
      <c r="B408" s="332">
        <v>393</v>
      </c>
      <c r="C408" s="350">
        <v>8460744.1464178972</v>
      </c>
      <c r="D408" s="350">
        <v>8430254.3172053024</v>
      </c>
      <c r="E408" s="350">
        <v>8397281.0617220271</v>
      </c>
      <c r="F408" s="350">
        <v>8357722.5833246838</v>
      </c>
      <c r="G408" s="350">
        <v>8307945.1368843112</v>
      </c>
      <c r="H408" s="348">
        <v>41953947.245554224</v>
      </c>
      <c r="I408" s="369"/>
      <c r="J408" s="350">
        <v>27414592.685014497</v>
      </c>
      <c r="K408" s="350">
        <v>26824458.372604959</v>
      </c>
      <c r="L408" s="350">
        <v>26218199.423438631</v>
      </c>
      <c r="M408" s="350">
        <v>25555331.00188769</v>
      </c>
      <c r="N408" s="350">
        <v>24801899.352936674</v>
      </c>
      <c r="O408" s="348">
        <v>130814480.83588246</v>
      </c>
      <c r="P408" s="369"/>
      <c r="Q408" s="350">
        <f t="shared" si="189"/>
        <v>18953848.5385966</v>
      </c>
      <c r="R408" s="350">
        <f t="shared" si="190"/>
        <v>18394204.055399656</v>
      </c>
      <c r="S408" s="350">
        <f t="shared" si="191"/>
        <v>17820918.361716606</v>
      </c>
      <c r="T408" s="350">
        <f t="shared" si="192"/>
        <v>17197608.418563008</v>
      </c>
      <c r="U408" s="350">
        <f t="shared" si="193"/>
        <v>16493954.216052363</v>
      </c>
      <c r="V408" s="350">
        <f t="shared" si="194"/>
        <v>88860533.590328231</v>
      </c>
      <c r="W408" s="365"/>
      <c r="X408" s="377">
        <f t="shared" si="172"/>
        <v>0</v>
      </c>
      <c r="Y408" s="377">
        <f t="shared" si="173"/>
        <v>0</v>
      </c>
      <c r="Z408" s="377">
        <f t="shared" si="174"/>
        <v>0</v>
      </c>
      <c r="AA408" s="377">
        <f t="shared" si="175"/>
        <v>0</v>
      </c>
      <c r="AB408" s="377">
        <f t="shared" si="176"/>
        <v>0</v>
      </c>
      <c r="AC408" s="377">
        <f t="shared" si="177"/>
        <v>0</v>
      </c>
      <c r="AD408" s="376"/>
      <c r="AE408" s="332">
        <v>393</v>
      </c>
      <c r="AF408" s="350">
        <v>267265.98322626954</v>
      </c>
      <c r="AG408" s="350">
        <v>266302.84168199351</v>
      </c>
      <c r="AH408" s="350">
        <v>265261.25132133474</v>
      </c>
      <c r="AI408" s="350">
        <v>264011.64071488735</v>
      </c>
      <c r="AJ408" s="350">
        <v>262439.2236868873</v>
      </c>
      <c r="AK408" s="348">
        <v>1325280.9406313724</v>
      </c>
      <c r="AL408" s="369"/>
      <c r="AM408" s="350">
        <v>10332569.615845894</v>
      </c>
      <c r="AN408" s="350">
        <v>10245698.873263167</v>
      </c>
      <c r="AO408" s="350">
        <v>10149982.790005727</v>
      </c>
      <c r="AP408" s="350">
        <v>10025784.792487038</v>
      </c>
      <c r="AQ408" s="350">
        <v>9856293.0883713719</v>
      </c>
      <c r="AR408" s="348">
        <v>50610329.159973204</v>
      </c>
      <c r="AS408" s="369"/>
      <c r="AT408" s="350">
        <f t="shared" si="195"/>
        <v>10065303.632619625</v>
      </c>
      <c r="AU408" s="350">
        <f t="shared" si="178"/>
        <v>9979396.0315811746</v>
      </c>
      <c r="AV408" s="350">
        <f t="shared" si="179"/>
        <v>9884721.5386843923</v>
      </c>
      <c r="AW408" s="350">
        <f t="shared" si="180"/>
        <v>9761773.1517721508</v>
      </c>
      <c r="AX408" s="350">
        <f t="shared" si="181"/>
        <v>9593853.8646844849</v>
      </c>
      <c r="AY408" s="350">
        <f t="shared" si="182"/>
        <v>49285048.219341829</v>
      </c>
      <c r="AZ408" s="365"/>
      <c r="BA408" s="377">
        <f t="shared" si="183"/>
        <v>0</v>
      </c>
      <c r="BB408" s="377">
        <f t="shared" si="184"/>
        <v>0</v>
      </c>
      <c r="BC408" s="377">
        <f t="shared" si="185"/>
        <v>0</v>
      </c>
      <c r="BD408" s="377">
        <f t="shared" si="186"/>
        <v>0</v>
      </c>
      <c r="BE408" s="377">
        <f t="shared" si="187"/>
        <v>0</v>
      </c>
      <c r="BF408" s="377">
        <f t="shared" si="188"/>
        <v>0</v>
      </c>
      <c r="BG408" s="328"/>
    </row>
    <row r="409" spans="2:59">
      <c r="B409" s="332">
        <v>394</v>
      </c>
      <c r="C409" s="350">
        <v>6759770.5885280538</v>
      </c>
      <c r="D409" s="350">
        <v>6735410.5266713435</v>
      </c>
      <c r="E409" s="350">
        <v>6709066.3140623104</v>
      </c>
      <c r="F409" s="350">
        <v>6677460.7916437518</v>
      </c>
      <c r="G409" s="350">
        <v>6637690.7533827424</v>
      </c>
      <c r="H409" s="348">
        <v>33519398.974288203</v>
      </c>
      <c r="I409" s="369"/>
      <c r="J409" s="350">
        <v>25401259.051774129</v>
      </c>
      <c r="K409" s="350">
        <v>24904554.477216531</v>
      </c>
      <c r="L409" s="350">
        <v>24391886.619645912</v>
      </c>
      <c r="M409" s="350">
        <v>23824126.122468293</v>
      </c>
      <c r="N409" s="350">
        <v>23168329.284316879</v>
      </c>
      <c r="O409" s="348">
        <v>121690155.55542174</v>
      </c>
      <c r="P409" s="369"/>
      <c r="Q409" s="350">
        <f t="shared" si="189"/>
        <v>18641488.463246077</v>
      </c>
      <c r="R409" s="350">
        <f t="shared" si="190"/>
        <v>18169143.950545188</v>
      </c>
      <c r="S409" s="350">
        <f t="shared" si="191"/>
        <v>17682820.305583604</v>
      </c>
      <c r="T409" s="350">
        <f t="shared" si="192"/>
        <v>17146665.330824539</v>
      </c>
      <c r="U409" s="350">
        <f t="shared" si="193"/>
        <v>16530638.530934136</v>
      </c>
      <c r="V409" s="350">
        <f t="shared" si="194"/>
        <v>88170756.581133544</v>
      </c>
      <c r="W409" s="365"/>
      <c r="X409" s="377">
        <f t="shared" si="172"/>
        <v>0</v>
      </c>
      <c r="Y409" s="377">
        <f t="shared" si="173"/>
        <v>0</v>
      </c>
      <c r="Z409" s="377">
        <f t="shared" si="174"/>
        <v>0</v>
      </c>
      <c r="AA409" s="377">
        <f t="shared" si="175"/>
        <v>0</v>
      </c>
      <c r="AB409" s="377">
        <f t="shared" si="176"/>
        <v>0</v>
      </c>
      <c r="AC409" s="377">
        <f t="shared" si="177"/>
        <v>0</v>
      </c>
      <c r="AD409" s="376"/>
      <c r="AE409" s="332">
        <v>394</v>
      </c>
      <c r="AF409" s="350">
        <v>407708.0191006299</v>
      </c>
      <c r="AG409" s="350">
        <v>406238.7691557245</v>
      </c>
      <c r="AH409" s="350">
        <v>404649.8473725174</v>
      </c>
      <c r="AI409" s="350">
        <v>402743.59555980365</v>
      </c>
      <c r="AJ409" s="350">
        <v>400344.91008570336</v>
      </c>
      <c r="AK409" s="348">
        <v>2021685.1412743786</v>
      </c>
      <c r="AL409" s="369"/>
      <c r="AM409" s="350">
        <v>10841714.953524707</v>
      </c>
      <c r="AN409" s="350">
        <v>10744658.622033047</v>
      </c>
      <c r="AO409" s="350">
        <v>10638441.668559995</v>
      </c>
      <c r="AP409" s="350">
        <v>10502650.621907605</v>
      </c>
      <c r="AQ409" s="350">
        <v>10319820.162806019</v>
      </c>
      <c r="AR409" s="348">
        <v>53047286.02883137</v>
      </c>
      <c r="AS409" s="369"/>
      <c r="AT409" s="350">
        <f t="shared" si="195"/>
        <v>10434006.934424076</v>
      </c>
      <c r="AU409" s="350">
        <f t="shared" si="178"/>
        <v>10338419.852877323</v>
      </c>
      <c r="AV409" s="350">
        <f t="shared" si="179"/>
        <v>10233791.821187478</v>
      </c>
      <c r="AW409" s="350">
        <f t="shared" si="180"/>
        <v>10099907.026347801</v>
      </c>
      <c r="AX409" s="350">
        <f t="shared" si="181"/>
        <v>9919475.252720315</v>
      </c>
      <c r="AY409" s="350">
        <f t="shared" si="182"/>
        <v>51025600.887556992</v>
      </c>
      <c r="AZ409" s="365"/>
      <c r="BA409" s="377">
        <f t="shared" si="183"/>
        <v>0</v>
      </c>
      <c r="BB409" s="377">
        <f t="shared" si="184"/>
        <v>0</v>
      </c>
      <c r="BC409" s="377">
        <f t="shared" si="185"/>
        <v>0</v>
      </c>
      <c r="BD409" s="377">
        <f t="shared" si="186"/>
        <v>0</v>
      </c>
      <c r="BE409" s="377">
        <f t="shared" si="187"/>
        <v>0</v>
      </c>
      <c r="BF409" s="377">
        <f t="shared" si="188"/>
        <v>0</v>
      </c>
      <c r="BG409" s="328"/>
    </row>
    <row r="410" spans="2:59">
      <c r="B410" s="332">
        <v>395</v>
      </c>
      <c r="C410" s="350">
        <v>4367066.3649050556</v>
      </c>
      <c r="D410" s="350">
        <v>4351328.8475754019</v>
      </c>
      <c r="E410" s="350">
        <v>4334309.4941390492</v>
      </c>
      <c r="F410" s="350">
        <v>4313891.136431234</v>
      </c>
      <c r="G410" s="350">
        <v>4288198.1940234862</v>
      </c>
      <c r="H410" s="348">
        <v>21654794.037074227</v>
      </c>
      <c r="I410" s="369"/>
      <c r="J410" s="350">
        <v>16752163.89507929</v>
      </c>
      <c r="K410" s="350">
        <v>16428809.15979499</v>
      </c>
      <c r="L410" s="350">
        <v>16094840.392844684</v>
      </c>
      <c r="M410" s="350">
        <v>15724315.357095677</v>
      </c>
      <c r="N410" s="350">
        <v>15295382.57780382</v>
      </c>
      <c r="O410" s="348">
        <v>80295511.382618457</v>
      </c>
      <c r="P410" s="369"/>
      <c r="Q410" s="350">
        <f t="shared" si="189"/>
        <v>12385097.530174235</v>
      </c>
      <c r="R410" s="350">
        <f t="shared" si="190"/>
        <v>12077480.312219588</v>
      </c>
      <c r="S410" s="350">
        <f t="shared" si="191"/>
        <v>11760530.898705635</v>
      </c>
      <c r="T410" s="350">
        <f t="shared" si="192"/>
        <v>11410424.220664443</v>
      </c>
      <c r="U410" s="350">
        <f t="shared" si="193"/>
        <v>11007184.383780334</v>
      </c>
      <c r="V410" s="350">
        <f t="shared" si="194"/>
        <v>58640717.345544234</v>
      </c>
      <c r="W410" s="365"/>
      <c r="X410" s="377">
        <f t="shared" si="172"/>
        <v>0</v>
      </c>
      <c r="Y410" s="377">
        <f t="shared" si="173"/>
        <v>0</v>
      </c>
      <c r="Z410" s="377">
        <f t="shared" si="174"/>
        <v>0</v>
      </c>
      <c r="AA410" s="377">
        <f t="shared" si="175"/>
        <v>0</v>
      </c>
      <c r="AB410" s="377">
        <f t="shared" si="176"/>
        <v>0</v>
      </c>
      <c r="AC410" s="377">
        <f t="shared" si="177"/>
        <v>0</v>
      </c>
      <c r="AD410" s="376"/>
      <c r="AE410" s="332">
        <v>395</v>
      </c>
      <c r="AF410" s="350">
        <v>377010.12718917994</v>
      </c>
      <c r="AG410" s="350">
        <v>375651.5026769042</v>
      </c>
      <c r="AH410" s="350">
        <v>374182.21687550633</v>
      </c>
      <c r="AI410" s="350">
        <v>372419.49403294089</v>
      </c>
      <c r="AJ410" s="350">
        <v>370201.41473768372</v>
      </c>
      <c r="AK410" s="348">
        <v>1869464.755512215</v>
      </c>
      <c r="AL410" s="369"/>
      <c r="AM410" s="350">
        <v>9080632.9363113102</v>
      </c>
      <c r="AN410" s="350">
        <v>8997693.6322092861</v>
      </c>
      <c r="AO410" s="350">
        <v>8907115.3787548561</v>
      </c>
      <c r="AP410" s="350">
        <v>8791853.8193116263</v>
      </c>
      <c r="AQ410" s="350">
        <v>8637329.4469961543</v>
      </c>
      <c r="AR410" s="348">
        <v>44414625.213583231</v>
      </c>
      <c r="AS410" s="369"/>
      <c r="AT410" s="350">
        <f t="shared" si="195"/>
        <v>8703622.8091221303</v>
      </c>
      <c r="AU410" s="350">
        <f t="shared" si="178"/>
        <v>8622042.1295323819</v>
      </c>
      <c r="AV410" s="350">
        <f t="shared" si="179"/>
        <v>8532933.1618793495</v>
      </c>
      <c r="AW410" s="350">
        <f t="shared" si="180"/>
        <v>8419434.3252786845</v>
      </c>
      <c r="AX410" s="350">
        <f t="shared" si="181"/>
        <v>8267128.0322584705</v>
      </c>
      <c r="AY410" s="350">
        <f t="shared" si="182"/>
        <v>42545160.458071016</v>
      </c>
      <c r="AZ410" s="365"/>
      <c r="BA410" s="377">
        <f t="shared" si="183"/>
        <v>0</v>
      </c>
      <c r="BB410" s="377">
        <f t="shared" si="184"/>
        <v>0</v>
      </c>
      <c r="BC410" s="377">
        <f t="shared" si="185"/>
        <v>0</v>
      </c>
      <c r="BD410" s="377">
        <f t="shared" si="186"/>
        <v>0</v>
      </c>
      <c r="BE410" s="377">
        <f t="shared" si="187"/>
        <v>0</v>
      </c>
      <c r="BF410" s="377">
        <f t="shared" si="188"/>
        <v>0</v>
      </c>
      <c r="BG410" s="328"/>
    </row>
    <row r="411" spans="2:59">
      <c r="B411" s="332">
        <v>396</v>
      </c>
      <c r="C411" s="350">
        <v>5794468.9746299647</v>
      </c>
      <c r="D411" s="350">
        <v>5773587.5525757419</v>
      </c>
      <c r="E411" s="350">
        <v>5751005.3183675036</v>
      </c>
      <c r="F411" s="350">
        <v>5723913.0943514844</v>
      </c>
      <c r="G411" s="350">
        <v>5689822.2550537186</v>
      </c>
      <c r="H411" s="348">
        <v>28732797.194978412</v>
      </c>
      <c r="I411" s="369"/>
      <c r="J411" s="350">
        <v>20435657.567056678</v>
      </c>
      <c r="K411" s="350">
        <v>20019528.328218423</v>
      </c>
      <c r="L411" s="350">
        <v>19590893.825675555</v>
      </c>
      <c r="M411" s="350">
        <v>19118807.617687017</v>
      </c>
      <c r="N411" s="350">
        <v>18577255.430226862</v>
      </c>
      <c r="O411" s="348">
        <v>97742142.768864542</v>
      </c>
      <c r="P411" s="369"/>
      <c r="Q411" s="350">
        <f t="shared" si="189"/>
        <v>14641188.592426714</v>
      </c>
      <c r="R411" s="350">
        <f t="shared" si="190"/>
        <v>14245940.775642682</v>
      </c>
      <c r="S411" s="350">
        <f t="shared" si="191"/>
        <v>13839888.507308051</v>
      </c>
      <c r="T411" s="350">
        <f t="shared" si="192"/>
        <v>13394894.523335531</v>
      </c>
      <c r="U411" s="350">
        <f t="shared" si="193"/>
        <v>12887433.175173145</v>
      </c>
      <c r="V411" s="350">
        <f t="shared" si="194"/>
        <v>69009345.573886126</v>
      </c>
      <c r="W411" s="365"/>
      <c r="X411" s="377">
        <f t="shared" si="172"/>
        <v>0</v>
      </c>
      <c r="Y411" s="377">
        <f t="shared" si="173"/>
        <v>0</v>
      </c>
      <c r="Z411" s="377">
        <f t="shared" si="174"/>
        <v>0</v>
      </c>
      <c r="AA411" s="377">
        <f t="shared" si="175"/>
        <v>0</v>
      </c>
      <c r="AB411" s="377">
        <f t="shared" si="176"/>
        <v>0</v>
      </c>
      <c r="AC411" s="377">
        <f t="shared" si="177"/>
        <v>0</v>
      </c>
      <c r="AD411" s="376"/>
      <c r="AE411" s="332">
        <v>396</v>
      </c>
      <c r="AF411" s="350">
        <v>441296.95335712325</v>
      </c>
      <c r="AG411" s="350">
        <v>439706.65958307113</v>
      </c>
      <c r="AH411" s="350">
        <v>437986.83483299916</v>
      </c>
      <c r="AI411" s="350">
        <v>435923.53688968736</v>
      </c>
      <c r="AJ411" s="350">
        <v>433327.23624758195</v>
      </c>
      <c r="AK411" s="348">
        <v>2188241.220910463</v>
      </c>
      <c r="AL411" s="369"/>
      <c r="AM411" s="350">
        <v>11407055.901295144</v>
      </c>
      <c r="AN411" s="350">
        <v>11304366.549215708</v>
      </c>
      <c r="AO411" s="350">
        <v>11192050.575445378</v>
      </c>
      <c r="AP411" s="350">
        <v>11048648.523117</v>
      </c>
      <c r="AQ411" s="350">
        <v>10855801.285845272</v>
      </c>
      <c r="AR411" s="348">
        <v>55807922.834918499</v>
      </c>
      <c r="AS411" s="369"/>
      <c r="AT411" s="350">
        <f t="shared" si="195"/>
        <v>10965758.947938021</v>
      </c>
      <c r="AU411" s="350">
        <f t="shared" si="178"/>
        <v>10864659.889632637</v>
      </c>
      <c r="AV411" s="350">
        <f t="shared" si="179"/>
        <v>10754063.740612378</v>
      </c>
      <c r="AW411" s="350">
        <f t="shared" si="180"/>
        <v>10612724.986227313</v>
      </c>
      <c r="AX411" s="350">
        <f t="shared" si="181"/>
        <v>10422474.04959769</v>
      </c>
      <c r="AY411" s="350">
        <f t="shared" si="182"/>
        <v>53619681.614008039</v>
      </c>
      <c r="AZ411" s="365"/>
      <c r="BA411" s="377">
        <f t="shared" si="183"/>
        <v>0</v>
      </c>
      <c r="BB411" s="377">
        <f t="shared" si="184"/>
        <v>0</v>
      </c>
      <c r="BC411" s="377">
        <f t="shared" si="185"/>
        <v>0</v>
      </c>
      <c r="BD411" s="377">
        <f t="shared" si="186"/>
        <v>0</v>
      </c>
      <c r="BE411" s="377">
        <f t="shared" si="187"/>
        <v>0</v>
      </c>
      <c r="BF411" s="377">
        <f t="shared" si="188"/>
        <v>0</v>
      </c>
      <c r="BG411" s="328"/>
    </row>
    <row r="412" spans="2:59">
      <c r="B412" s="332">
        <v>397</v>
      </c>
      <c r="C412" s="350">
        <v>7844776.9060693886</v>
      </c>
      <c r="D412" s="350">
        <v>7816506.8267551214</v>
      </c>
      <c r="E412" s="350">
        <v>7785934.1219602786</v>
      </c>
      <c r="F412" s="350">
        <v>7749255.6179894283</v>
      </c>
      <c r="G412" s="350">
        <v>7703102.1171246301</v>
      </c>
      <c r="H412" s="348">
        <v>38899575.589898847</v>
      </c>
      <c r="I412" s="369"/>
      <c r="J412" s="350">
        <v>23298214.575141005</v>
      </c>
      <c r="K412" s="350">
        <v>22766327.108134195</v>
      </c>
      <c r="L412" s="350">
        <v>22221356.187524244</v>
      </c>
      <c r="M412" s="350">
        <v>21629876.523411371</v>
      </c>
      <c r="N412" s="350">
        <v>20963931.88622272</v>
      </c>
      <c r="O412" s="348">
        <v>110879706.28043354</v>
      </c>
      <c r="P412" s="369"/>
      <c r="Q412" s="350">
        <f t="shared" si="189"/>
        <v>15453437.669071617</v>
      </c>
      <c r="R412" s="350">
        <f t="shared" si="190"/>
        <v>14949820.281379074</v>
      </c>
      <c r="S412" s="350">
        <f t="shared" si="191"/>
        <v>14435422.065563966</v>
      </c>
      <c r="T412" s="350">
        <f t="shared" si="192"/>
        <v>13880620.905421942</v>
      </c>
      <c r="U412" s="350">
        <f t="shared" si="193"/>
        <v>13260829.76909809</v>
      </c>
      <c r="V412" s="350">
        <f t="shared" si="194"/>
        <v>71980130.690534681</v>
      </c>
      <c r="W412" s="365"/>
      <c r="X412" s="377">
        <f t="shared" si="172"/>
        <v>0</v>
      </c>
      <c r="Y412" s="377">
        <f t="shared" si="173"/>
        <v>0</v>
      </c>
      <c r="Z412" s="377">
        <f t="shared" si="174"/>
        <v>0</v>
      </c>
      <c r="AA412" s="377">
        <f t="shared" si="175"/>
        <v>0</v>
      </c>
      <c r="AB412" s="377">
        <f t="shared" si="176"/>
        <v>0</v>
      </c>
      <c r="AC412" s="377">
        <f t="shared" si="177"/>
        <v>0</v>
      </c>
      <c r="AD412" s="376"/>
      <c r="AE412" s="332">
        <v>397</v>
      </c>
      <c r="AF412" s="350">
        <v>530101.14539059543</v>
      </c>
      <c r="AG412" s="350">
        <v>528190.82957101066</v>
      </c>
      <c r="AH412" s="350">
        <v>526124.91666826187</v>
      </c>
      <c r="AI412" s="350">
        <v>523646.41190018901</v>
      </c>
      <c r="AJ412" s="350">
        <v>520527.64587724622</v>
      </c>
      <c r="AK412" s="348">
        <v>2628590.9494073032</v>
      </c>
      <c r="AL412" s="369"/>
      <c r="AM412" s="350">
        <v>16368169.435736954</v>
      </c>
      <c r="AN412" s="350">
        <v>16225603.347563386</v>
      </c>
      <c r="AO412" s="350">
        <v>16069126.163587596</v>
      </c>
      <c r="AP412" s="350">
        <v>15867790.837792646</v>
      </c>
      <c r="AQ412" s="350">
        <v>15595111.887666576</v>
      </c>
      <c r="AR412" s="348">
        <v>80125801.672347158</v>
      </c>
      <c r="AS412" s="369"/>
      <c r="AT412" s="350">
        <f t="shared" si="195"/>
        <v>15838068.290346358</v>
      </c>
      <c r="AU412" s="350">
        <f t="shared" si="178"/>
        <v>15697412.517992375</v>
      </c>
      <c r="AV412" s="350">
        <f t="shared" si="179"/>
        <v>15543001.246919334</v>
      </c>
      <c r="AW412" s="350">
        <f t="shared" si="180"/>
        <v>15344144.425892457</v>
      </c>
      <c r="AX412" s="350">
        <f t="shared" si="181"/>
        <v>15074584.24178933</v>
      </c>
      <c r="AY412" s="350">
        <f t="shared" si="182"/>
        <v>77497210.722939849</v>
      </c>
      <c r="AZ412" s="365"/>
      <c r="BA412" s="377">
        <f t="shared" si="183"/>
        <v>0</v>
      </c>
      <c r="BB412" s="377">
        <f t="shared" si="184"/>
        <v>0</v>
      </c>
      <c r="BC412" s="377">
        <f t="shared" si="185"/>
        <v>0</v>
      </c>
      <c r="BD412" s="377">
        <f t="shared" si="186"/>
        <v>0</v>
      </c>
      <c r="BE412" s="377">
        <f t="shared" si="187"/>
        <v>0</v>
      </c>
      <c r="BF412" s="377">
        <f t="shared" si="188"/>
        <v>0</v>
      </c>
      <c r="BG412" s="328"/>
    </row>
    <row r="413" spans="2:59">
      <c r="B413" s="332">
        <v>398</v>
      </c>
      <c r="C413" s="350">
        <v>6361588.5953327343</v>
      </c>
      <c r="D413" s="350">
        <v>6338663.4546552915</v>
      </c>
      <c r="E413" s="350">
        <v>6313871.0389524484</v>
      </c>
      <c r="F413" s="350">
        <v>6284127.2291094549</v>
      </c>
      <c r="G413" s="350">
        <v>6246699.8314598128</v>
      </c>
      <c r="H413" s="348">
        <v>31544950.149509743</v>
      </c>
      <c r="I413" s="369"/>
      <c r="J413" s="350">
        <v>21381066.676767424</v>
      </c>
      <c r="K413" s="350">
        <v>20931811.268420603</v>
      </c>
      <c r="L413" s="350">
        <v>20469755.394924905</v>
      </c>
      <c r="M413" s="350">
        <v>19962969.058545485</v>
      </c>
      <c r="N413" s="350">
        <v>19384645.426399779</v>
      </c>
      <c r="O413" s="348">
        <v>102130247.82505821</v>
      </c>
      <c r="P413" s="369"/>
      <c r="Q413" s="350">
        <f t="shared" si="189"/>
        <v>15019478.081434689</v>
      </c>
      <c r="R413" s="350">
        <f t="shared" si="190"/>
        <v>14593147.813765312</v>
      </c>
      <c r="S413" s="350">
        <f t="shared" si="191"/>
        <v>14155884.355972458</v>
      </c>
      <c r="T413" s="350">
        <f t="shared" si="192"/>
        <v>13678841.82943603</v>
      </c>
      <c r="U413" s="350">
        <f t="shared" si="193"/>
        <v>13137945.594939966</v>
      </c>
      <c r="V413" s="350">
        <f t="shared" si="194"/>
        <v>70585297.675548464</v>
      </c>
      <c r="W413" s="365"/>
      <c r="X413" s="377">
        <f t="shared" si="172"/>
        <v>0</v>
      </c>
      <c r="Y413" s="377">
        <f t="shared" si="173"/>
        <v>0</v>
      </c>
      <c r="Z413" s="377">
        <f t="shared" si="174"/>
        <v>0</v>
      </c>
      <c r="AA413" s="377">
        <f t="shared" si="175"/>
        <v>0</v>
      </c>
      <c r="AB413" s="377">
        <f t="shared" si="176"/>
        <v>0</v>
      </c>
      <c r="AC413" s="377">
        <f t="shared" si="177"/>
        <v>0</v>
      </c>
      <c r="AD413" s="376"/>
      <c r="AE413" s="332">
        <v>398</v>
      </c>
      <c r="AF413" s="350">
        <v>658372.47337640449</v>
      </c>
      <c r="AG413" s="350">
        <v>655999.90851400758</v>
      </c>
      <c r="AH413" s="350">
        <v>653434.09593391838</v>
      </c>
      <c r="AI413" s="350">
        <v>650355.85449146852</v>
      </c>
      <c r="AJ413" s="350">
        <v>646482.42445219902</v>
      </c>
      <c r="AK413" s="348">
        <v>3264644.756767998</v>
      </c>
      <c r="AL413" s="369"/>
      <c r="AM413" s="350">
        <v>21158267.659054879</v>
      </c>
      <c r="AN413" s="350">
        <v>20975226.27449578</v>
      </c>
      <c r="AO413" s="350">
        <v>20774177.302757226</v>
      </c>
      <c r="AP413" s="350">
        <v>20515076.882889811</v>
      </c>
      <c r="AQ413" s="350">
        <v>20163651.72073203</v>
      </c>
      <c r="AR413" s="348">
        <v>103586399.83992973</v>
      </c>
      <c r="AS413" s="369"/>
      <c r="AT413" s="350">
        <f t="shared" si="195"/>
        <v>20499895.185678475</v>
      </c>
      <c r="AU413" s="350">
        <f t="shared" si="178"/>
        <v>20319226.365981773</v>
      </c>
      <c r="AV413" s="350">
        <f t="shared" si="179"/>
        <v>20120743.206823308</v>
      </c>
      <c r="AW413" s="350">
        <f t="shared" si="180"/>
        <v>19864721.028398342</v>
      </c>
      <c r="AX413" s="350">
        <f t="shared" si="181"/>
        <v>19517169.296279829</v>
      </c>
      <c r="AY413" s="350">
        <f t="shared" si="182"/>
        <v>100321755.08316173</v>
      </c>
      <c r="AZ413" s="365"/>
      <c r="BA413" s="377">
        <f t="shared" si="183"/>
        <v>0</v>
      </c>
      <c r="BB413" s="377">
        <f t="shared" si="184"/>
        <v>0</v>
      </c>
      <c r="BC413" s="377">
        <f t="shared" si="185"/>
        <v>0</v>
      </c>
      <c r="BD413" s="377">
        <f t="shared" si="186"/>
        <v>0</v>
      </c>
      <c r="BE413" s="377">
        <f t="shared" si="187"/>
        <v>0</v>
      </c>
      <c r="BF413" s="377">
        <f t="shared" si="188"/>
        <v>0</v>
      </c>
      <c r="BG413" s="328"/>
    </row>
    <row r="414" spans="2:59">
      <c r="B414" s="332">
        <v>399</v>
      </c>
      <c r="C414" s="350">
        <v>4820561.6736802869</v>
      </c>
      <c r="D414" s="350">
        <v>4803189.9035858661</v>
      </c>
      <c r="E414" s="350">
        <v>4784403.1859061401</v>
      </c>
      <c r="F414" s="350">
        <v>4761864.4964562189</v>
      </c>
      <c r="G414" s="350">
        <v>4733503.4863167349</v>
      </c>
      <c r="H414" s="348">
        <v>23903522.745945245</v>
      </c>
      <c r="I414" s="369"/>
      <c r="J414" s="350">
        <v>14434724.59263945</v>
      </c>
      <c r="K414" s="350">
        <v>14107031.972090561</v>
      </c>
      <c r="L414" s="350">
        <v>13771195.636002675</v>
      </c>
      <c r="M414" s="350">
        <v>13406446.890867734</v>
      </c>
      <c r="N414" s="350">
        <v>12995410.418630689</v>
      </c>
      <c r="O414" s="348">
        <v>68714809.510231107</v>
      </c>
      <c r="P414" s="369"/>
      <c r="Q414" s="350">
        <f t="shared" si="189"/>
        <v>9614162.9189591631</v>
      </c>
      <c r="R414" s="350">
        <f t="shared" si="190"/>
        <v>9303842.0685046948</v>
      </c>
      <c r="S414" s="350">
        <f t="shared" si="191"/>
        <v>8986792.4500965346</v>
      </c>
      <c r="T414" s="350">
        <f t="shared" si="192"/>
        <v>8644582.3944115154</v>
      </c>
      <c r="U414" s="350">
        <f t="shared" si="193"/>
        <v>8261906.9323139545</v>
      </c>
      <c r="V414" s="350">
        <f t="shared" si="194"/>
        <v>44811286.764285862</v>
      </c>
      <c r="W414" s="365"/>
      <c r="X414" s="377">
        <f t="shared" si="172"/>
        <v>0</v>
      </c>
      <c r="Y414" s="377">
        <f t="shared" si="173"/>
        <v>0</v>
      </c>
      <c r="Z414" s="377">
        <f t="shared" si="174"/>
        <v>0</v>
      </c>
      <c r="AA414" s="377">
        <f t="shared" si="175"/>
        <v>0</v>
      </c>
      <c r="AB414" s="377">
        <f t="shared" si="176"/>
        <v>0</v>
      </c>
      <c r="AC414" s="377">
        <f t="shared" si="177"/>
        <v>0</v>
      </c>
      <c r="AD414" s="376"/>
      <c r="AE414" s="332">
        <v>399</v>
      </c>
      <c r="AF414" s="350">
        <v>423031.07284592109</v>
      </c>
      <c r="AG414" s="350">
        <v>421506.60349198681</v>
      </c>
      <c r="AH414" s="350">
        <v>419857.96462513047</v>
      </c>
      <c r="AI414" s="350">
        <v>417880.06938719604</v>
      </c>
      <c r="AJ414" s="350">
        <v>415391.2331563881</v>
      </c>
      <c r="AK414" s="348">
        <v>2097666.9435066227</v>
      </c>
      <c r="AL414" s="369"/>
      <c r="AM414" s="350">
        <v>9457179.2415350731</v>
      </c>
      <c r="AN414" s="350">
        <v>9369390.8289008159</v>
      </c>
      <c r="AO414" s="350">
        <v>9273675.4924063459</v>
      </c>
      <c r="AP414" s="350">
        <v>9152327.6314086132</v>
      </c>
      <c r="AQ414" s="350">
        <v>8990204.9270640891</v>
      </c>
      <c r="AR414" s="348">
        <v>46242778.121314943</v>
      </c>
      <c r="AS414" s="369"/>
      <c r="AT414" s="350">
        <f t="shared" si="195"/>
        <v>9034148.1686891522</v>
      </c>
      <c r="AU414" s="350">
        <f t="shared" si="178"/>
        <v>8947884.2254088297</v>
      </c>
      <c r="AV414" s="350">
        <f t="shared" si="179"/>
        <v>8853817.5277812146</v>
      </c>
      <c r="AW414" s="350">
        <f t="shared" si="180"/>
        <v>8734447.5620214175</v>
      </c>
      <c r="AX414" s="350">
        <f t="shared" si="181"/>
        <v>8574813.6939077005</v>
      </c>
      <c r="AY414" s="350">
        <f t="shared" si="182"/>
        <v>44145111.177808322</v>
      </c>
      <c r="AZ414" s="365"/>
      <c r="BA414" s="377">
        <f t="shared" si="183"/>
        <v>0</v>
      </c>
      <c r="BB414" s="377">
        <f t="shared" si="184"/>
        <v>0</v>
      </c>
      <c r="BC414" s="377">
        <f t="shared" si="185"/>
        <v>0</v>
      </c>
      <c r="BD414" s="377">
        <f t="shared" si="186"/>
        <v>0</v>
      </c>
      <c r="BE414" s="377">
        <f t="shared" si="187"/>
        <v>0</v>
      </c>
      <c r="BF414" s="377">
        <f t="shared" si="188"/>
        <v>0</v>
      </c>
      <c r="BG414" s="328"/>
    </row>
    <row r="415" spans="2:59">
      <c r="B415" s="332">
        <v>400</v>
      </c>
      <c r="C415" s="350">
        <v>2567082.9494485185</v>
      </c>
      <c r="D415" s="350">
        <v>2557831.9994908371</v>
      </c>
      <c r="E415" s="350">
        <v>2547827.550653467</v>
      </c>
      <c r="F415" s="350">
        <v>2535825.0726630464</v>
      </c>
      <c r="G415" s="350">
        <v>2520722.047230199</v>
      </c>
      <c r="H415" s="348">
        <v>12729289.619486067</v>
      </c>
      <c r="I415" s="369"/>
      <c r="J415" s="350">
        <v>8356171.4406124223</v>
      </c>
      <c r="K415" s="350">
        <v>8176842.2781739375</v>
      </c>
      <c r="L415" s="350">
        <v>7992587.0132826716</v>
      </c>
      <c r="M415" s="350">
        <v>7791047.8637865912</v>
      </c>
      <c r="N415" s="350">
        <v>7561859.23821963</v>
      </c>
      <c r="O415" s="348">
        <v>39878507.834075257</v>
      </c>
      <c r="P415" s="369"/>
      <c r="Q415" s="350">
        <f t="shared" si="189"/>
        <v>5789088.4911639038</v>
      </c>
      <c r="R415" s="350">
        <f t="shared" si="190"/>
        <v>5619010.2786830999</v>
      </c>
      <c r="S415" s="350">
        <f t="shared" si="191"/>
        <v>5444759.4626292046</v>
      </c>
      <c r="T415" s="350">
        <f t="shared" si="192"/>
        <v>5255222.7911235448</v>
      </c>
      <c r="U415" s="350">
        <f t="shared" si="193"/>
        <v>5041137.190989431</v>
      </c>
      <c r="V415" s="350">
        <f t="shared" si="194"/>
        <v>27149218.21458919</v>
      </c>
      <c r="W415" s="365"/>
      <c r="X415" s="377">
        <f t="shared" si="172"/>
        <v>0</v>
      </c>
      <c r="Y415" s="377">
        <f t="shared" si="173"/>
        <v>0</v>
      </c>
      <c r="Z415" s="377">
        <f t="shared" si="174"/>
        <v>0</v>
      </c>
      <c r="AA415" s="377">
        <f t="shared" si="175"/>
        <v>0</v>
      </c>
      <c r="AB415" s="377">
        <f t="shared" si="176"/>
        <v>0</v>
      </c>
      <c r="AC415" s="377">
        <f t="shared" si="177"/>
        <v>0</v>
      </c>
      <c r="AD415" s="376"/>
      <c r="AE415" s="332">
        <v>400</v>
      </c>
      <c r="AF415" s="350">
        <v>474061.10629069048</v>
      </c>
      <c r="AG415" s="350">
        <v>472352.74093688698</v>
      </c>
      <c r="AH415" s="350">
        <v>470505.22756195226</v>
      </c>
      <c r="AI415" s="350">
        <v>468288.73977935436</v>
      </c>
      <c r="AJ415" s="350">
        <v>465499.67643935978</v>
      </c>
      <c r="AK415" s="348">
        <v>2350707.4910082435</v>
      </c>
      <c r="AL415" s="369"/>
      <c r="AM415" s="350">
        <v>12340547.578954032</v>
      </c>
      <c r="AN415" s="350">
        <v>12229610.076975638</v>
      </c>
      <c r="AO415" s="350">
        <v>12108254.989640206</v>
      </c>
      <c r="AP415" s="350">
        <v>11953261.715779206</v>
      </c>
      <c r="AQ415" s="350">
        <v>11744764.136974124</v>
      </c>
      <c r="AR415" s="348">
        <v>60376438.49832321</v>
      </c>
      <c r="AS415" s="369"/>
      <c r="AT415" s="350">
        <f t="shared" si="195"/>
        <v>11866486.472663341</v>
      </c>
      <c r="AU415" s="350">
        <f t="shared" si="178"/>
        <v>11757257.336038752</v>
      </c>
      <c r="AV415" s="350">
        <f t="shared" si="179"/>
        <v>11637749.762078254</v>
      </c>
      <c r="AW415" s="350">
        <f t="shared" si="180"/>
        <v>11484972.975999851</v>
      </c>
      <c r="AX415" s="350">
        <f t="shared" si="181"/>
        <v>11279264.460534764</v>
      </c>
      <c r="AY415" s="350">
        <f t="shared" si="182"/>
        <v>58025731.007314965</v>
      </c>
      <c r="AZ415" s="365"/>
      <c r="BA415" s="377">
        <f t="shared" si="183"/>
        <v>0</v>
      </c>
      <c r="BB415" s="377">
        <f t="shared" si="184"/>
        <v>0</v>
      </c>
      <c r="BC415" s="377">
        <f t="shared" si="185"/>
        <v>0</v>
      </c>
      <c r="BD415" s="377">
        <f t="shared" si="186"/>
        <v>0</v>
      </c>
      <c r="BE415" s="377">
        <f t="shared" si="187"/>
        <v>0</v>
      </c>
      <c r="BF415" s="377">
        <f t="shared" si="188"/>
        <v>0</v>
      </c>
      <c r="BG415" s="328"/>
    </row>
    <row r="416" spans="2:59">
      <c r="B416" s="332">
        <v>401</v>
      </c>
      <c r="C416" s="350">
        <v>9252410.1142212041</v>
      </c>
      <c r="D416" s="350">
        <v>9219067.3728138879</v>
      </c>
      <c r="E416" s="350">
        <v>9183008.8326603696</v>
      </c>
      <c r="F416" s="350">
        <v>9139748.8948472422</v>
      </c>
      <c r="G416" s="350">
        <v>9085313.807231456</v>
      </c>
      <c r="H416" s="348">
        <v>45879549.021774158</v>
      </c>
      <c r="I416" s="369"/>
      <c r="J416" s="350">
        <v>29176671.132391512</v>
      </c>
      <c r="K416" s="350">
        <v>28537106.493925456</v>
      </c>
      <c r="L416" s="350">
        <v>27880615.621175863</v>
      </c>
      <c r="M416" s="350">
        <v>27164482.895444296</v>
      </c>
      <c r="N416" s="350">
        <v>26352912.752252206</v>
      </c>
      <c r="O416" s="348">
        <v>139111788.89518934</v>
      </c>
      <c r="P416" s="369"/>
      <c r="Q416" s="350">
        <f t="shared" si="189"/>
        <v>19924261.018170308</v>
      </c>
      <c r="R416" s="350">
        <f t="shared" si="190"/>
        <v>19318039.121111568</v>
      </c>
      <c r="S416" s="350">
        <f t="shared" si="191"/>
        <v>18697606.788515493</v>
      </c>
      <c r="T416" s="350">
        <f t="shared" si="192"/>
        <v>18024734.000597052</v>
      </c>
      <c r="U416" s="350">
        <f t="shared" si="193"/>
        <v>17267598.94502075</v>
      </c>
      <c r="V416" s="350">
        <f t="shared" si="194"/>
        <v>93232239.873415187</v>
      </c>
      <c r="W416" s="365"/>
      <c r="X416" s="377">
        <f t="shared" si="172"/>
        <v>0</v>
      </c>
      <c r="Y416" s="377">
        <f t="shared" si="173"/>
        <v>0</v>
      </c>
      <c r="Z416" s="377">
        <f t="shared" si="174"/>
        <v>0</v>
      </c>
      <c r="AA416" s="377">
        <f t="shared" si="175"/>
        <v>0</v>
      </c>
      <c r="AB416" s="377">
        <f t="shared" si="176"/>
        <v>0</v>
      </c>
      <c r="AC416" s="377">
        <f t="shared" si="177"/>
        <v>0</v>
      </c>
      <c r="AD416" s="376"/>
      <c r="AE416" s="332">
        <v>401</v>
      </c>
      <c r="AF416" s="350">
        <v>393412.92358312436</v>
      </c>
      <c r="AG416" s="350">
        <v>391995.18861294963</v>
      </c>
      <c r="AH416" s="350">
        <v>390461.97774931416</v>
      </c>
      <c r="AI416" s="350">
        <v>388622.563110427</v>
      </c>
      <c r="AJ416" s="350">
        <v>386307.98056381976</v>
      </c>
      <c r="AK416" s="348">
        <v>1950800.6336196349</v>
      </c>
      <c r="AL416" s="369"/>
      <c r="AM416" s="350">
        <v>11180938.946625475</v>
      </c>
      <c r="AN416" s="350">
        <v>11082100.944313508</v>
      </c>
      <c r="AO416" s="350">
        <v>10973790.066107715</v>
      </c>
      <c r="AP416" s="350">
        <v>10834913.592851261</v>
      </c>
      <c r="AQ416" s="350">
        <v>10647422.564481251</v>
      </c>
      <c r="AR416" s="348">
        <v>54719166.114379205</v>
      </c>
      <c r="AS416" s="369"/>
      <c r="AT416" s="350">
        <f t="shared" si="195"/>
        <v>10787526.023042351</v>
      </c>
      <c r="AU416" s="350">
        <f t="shared" si="178"/>
        <v>10690105.755700558</v>
      </c>
      <c r="AV416" s="350">
        <f t="shared" si="179"/>
        <v>10583328.0883584</v>
      </c>
      <c r="AW416" s="350">
        <f t="shared" si="180"/>
        <v>10446291.029740833</v>
      </c>
      <c r="AX416" s="350">
        <f t="shared" si="181"/>
        <v>10261114.583917432</v>
      </c>
      <c r="AY416" s="350">
        <f t="shared" si="182"/>
        <v>52768365.480759569</v>
      </c>
      <c r="AZ416" s="365"/>
      <c r="BA416" s="377">
        <f t="shared" si="183"/>
        <v>0</v>
      </c>
      <c r="BB416" s="377">
        <f t="shared" si="184"/>
        <v>0</v>
      </c>
      <c r="BC416" s="377">
        <f t="shared" si="185"/>
        <v>0</v>
      </c>
      <c r="BD416" s="377">
        <f t="shared" si="186"/>
        <v>0</v>
      </c>
      <c r="BE416" s="377">
        <f t="shared" si="187"/>
        <v>0</v>
      </c>
      <c r="BF416" s="377">
        <f t="shared" si="188"/>
        <v>0</v>
      </c>
      <c r="BG416" s="328"/>
    </row>
    <row r="417" spans="2:59">
      <c r="B417" s="332">
        <v>402</v>
      </c>
      <c r="C417" s="350">
        <v>6399664.6825477872</v>
      </c>
      <c r="D417" s="350">
        <v>6376602.3277700022</v>
      </c>
      <c r="E417" s="350">
        <v>6351661.5217447672</v>
      </c>
      <c r="F417" s="350">
        <v>6321739.6859447807</v>
      </c>
      <c r="G417" s="350">
        <v>6284088.2736742971</v>
      </c>
      <c r="H417" s="348">
        <v>31733756.491681635</v>
      </c>
      <c r="I417" s="369"/>
      <c r="J417" s="350">
        <v>24579813.971510183</v>
      </c>
      <c r="K417" s="350">
        <v>24105737.438449919</v>
      </c>
      <c r="L417" s="350">
        <v>23616079.792683311</v>
      </c>
      <c r="M417" s="350">
        <v>23072765.03822846</v>
      </c>
      <c r="N417" s="350">
        <v>22443720.389757983</v>
      </c>
      <c r="O417" s="348">
        <v>117818116.63062987</v>
      </c>
      <c r="P417" s="369"/>
      <c r="Q417" s="350">
        <f t="shared" si="189"/>
        <v>18180149.288962394</v>
      </c>
      <c r="R417" s="350">
        <f t="shared" si="190"/>
        <v>17729135.110679917</v>
      </c>
      <c r="S417" s="350">
        <f t="shared" si="191"/>
        <v>17264418.270938545</v>
      </c>
      <c r="T417" s="350">
        <f t="shared" si="192"/>
        <v>16751025.352283679</v>
      </c>
      <c r="U417" s="350">
        <f t="shared" si="193"/>
        <v>16159632.116083685</v>
      </c>
      <c r="V417" s="350">
        <f t="shared" si="194"/>
        <v>86084360.138948232</v>
      </c>
      <c r="W417" s="365"/>
      <c r="X417" s="377">
        <f t="shared" si="172"/>
        <v>0</v>
      </c>
      <c r="Y417" s="377">
        <f t="shared" si="173"/>
        <v>0</v>
      </c>
      <c r="Z417" s="377">
        <f t="shared" si="174"/>
        <v>0</v>
      </c>
      <c r="AA417" s="377">
        <f t="shared" si="175"/>
        <v>0</v>
      </c>
      <c r="AB417" s="377">
        <f t="shared" si="176"/>
        <v>0</v>
      </c>
      <c r="AC417" s="377">
        <f t="shared" si="177"/>
        <v>0</v>
      </c>
      <c r="AD417" s="376"/>
      <c r="AE417" s="332">
        <v>402</v>
      </c>
      <c r="AF417" s="350">
        <v>299623.75311234582</v>
      </c>
      <c r="AG417" s="350">
        <v>298544.0044634873</v>
      </c>
      <c r="AH417" s="350">
        <v>297376.30923606292</v>
      </c>
      <c r="AI417" s="350">
        <v>295975.40884719533</v>
      </c>
      <c r="AJ417" s="350">
        <v>294212.6200115197</v>
      </c>
      <c r="AK417" s="348">
        <v>1485732.0956706111</v>
      </c>
      <c r="AL417" s="369"/>
      <c r="AM417" s="350">
        <v>11492441.178732509</v>
      </c>
      <c r="AN417" s="350">
        <v>11395709.538809268</v>
      </c>
      <c r="AO417" s="350">
        <v>11289141.866160458</v>
      </c>
      <c r="AP417" s="350">
        <v>11150900.835100735</v>
      </c>
      <c r="AQ417" s="350">
        <v>10962290.701083008</v>
      </c>
      <c r="AR417" s="348">
        <v>56290484.119885981</v>
      </c>
      <c r="AS417" s="369"/>
      <c r="AT417" s="350">
        <f t="shared" si="195"/>
        <v>11192817.425620163</v>
      </c>
      <c r="AU417" s="350">
        <f t="shared" si="178"/>
        <v>11097165.53434578</v>
      </c>
      <c r="AV417" s="350">
        <f t="shared" si="179"/>
        <v>10991765.556924395</v>
      </c>
      <c r="AW417" s="350">
        <f t="shared" si="180"/>
        <v>10854925.426253539</v>
      </c>
      <c r="AX417" s="350">
        <f t="shared" si="181"/>
        <v>10668078.081071489</v>
      </c>
      <c r="AY417" s="350">
        <f t="shared" si="182"/>
        <v>54804752.02421537</v>
      </c>
      <c r="AZ417" s="365"/>
      <c r="BA417" s="377">
        <f t="shared" si="183"/>
        <v>0</v>
      </c>
      <c r="BB417" s="377">
        <f t="shared" si="184"/>
        <v>0</v>
      </c>
      <c r="BC417" s="377">
        <f t="shared" si="185"/>
        <v>0</v>
      </c>
      <c r="BD417" s="377">
        <f t="shared" si="186"/>
        <v>0</v>
      </c>
      <c r="BE417" s="377">
        <f t="shared" si="187"/>
        <v>0</v>
      </c>
      <c r="BF417" s="377">
        <f t="shared" si="188"/>
        <v>0</v>
      </c>
      <c r="BG417" s="328"/>
    </row>
    <row r="418" spans="2:59">
      <c r="B418" s="332">
        <v>403</v>
      </c>
      <c r="C418" s="350">
        <v>5636396.3742542733</v>
      </c>
      <c r="D418" s="350">
        <v>5616084.5955440924</v>
      </c>
      <c r="E418" s="350">
        <v>5594118.4026848031</v>
      </c>
      <c r="F418" s="350">
        <v>5567765.2521402147</v>
      </c>
      <c r="G418" s="350">
        <v>5534604.4079188546</v>
      </c>
      <c r="H418" s="348">
        <v>27948969.032542236</v>
      </c>
      <c r="I418" s="369"/>
      <c r="J418" s="350">
        <v>18046194.795721028</v>
      </c>
      <c r="K418" s="350">
        <v>17654621.270286769</v>
      </c>
      <c r="L418" s="350">
        <v>17252496.810414381</v>
      </c>
      <c r="M418" s="350">
        <v>16813271.790012147</v>
      </c>
      <c r="N418" s="350">
        <v>16314687.472572014</v>
      </c>
      <c r="O418" s="348">
        <v>86081272.139006332</v>
      </c>
      <c r="P418" s="369"/>
      <c r="Q418" s="350">
        <f t="shared" si="189"/>
        <v>12409798.421466755</v>
      </c>
      <c r="R418" s="350">
        <f t="shared" si="190"/>
        <v>12038536.674742676</v>
      </c>
      <c r="S418" s="350">
        <f t="shared" si="191"/>
        <v>11658378.407729577</v>
      </c>
      <c r="T418" s="350">
        <f t="shared" si="192"/>
        <v>11245506.537871933</v>
      </c>
      <c r="U418" s="350">
        <f t="shared" si="193"/>
        <v>10780083.064653158</v>
      </c>
      <c r="V418" s="350">
        <f t="shared" si="194"/>
        <v>58132303.106464095</v>
      </c>
      <c r="W418" s="365"/>
      <c r="X418" s="377">
        <f t="shared" si="172"/>
        <v>0</v>
      </c>
      <c r="Y418" s="377">
        <f t="shared" si="173"/>
        <v>0</v>
      </c>
      <c r="Z418" s="377">
        <f t="shared" si="174"/>
        <v>0</v>
      </c>
      <c r="AA418" s="377">
        <f t="shared" si="175"/>
        <v>0</v>
      </c>
      <c r="AB418" s="377">
        <f t="shared" si="176"/>
        <v>0</v>
      </c>
      <c r="AC418" s="377">
        <f t="shared" si="177"/>
        <v>0</v>
      </c>
      <c r="AD418" s="376"/>
      <c r="AE418" s="332">
        <v>403</v>
      </c>
      <c r="AF418" s="350">
        <v>420377.88019273191</v>
      </c>
      <c r="AG418" s="350">
        <v>418862.9721007226</v>
      </c>
      <c r="AH418" s="350">
        <v>417224.67326988251</v>
      </c>
      <c r="AI418" s="350">
        <v>415259.1831185976</v>
      </c>
      <c r="AJ418" s="350">
        <v>412785.95652600884</v>
      </c>
      <c r="AK418" s="348">
        <v>2084510.6652079436</v>
      </c>
      <c r="AL418" s="369"/>
      <c r="AM418" s="350">
        <v>15008394.285193151</v>
      </c>
      <c r="AN418" s="350">
        <v>14880719.346321093</v>
      </c>
      <c r="AO418" s="350">
        <v>14740226.735604884</v>
      </c>
      <c r="AP418" s="350">
        <v>14558441.887370082</v>
      </c>
      <c r="AQ418" s="350">
        <v>14310989.32399795</v>
      </c>
      <c r="AR418" s="348">
        <v>73498771.578487158</v>
      </c>
      <c r="AS418" s="369"/>
      <c r="AT418" s="350">
        <f t="shared" si="195"/>
        <v>14588016.405000418</v>
      </c>
      <c r="AU418" s="350">
        <f t="shared" si="178"/>
        <v>14461856.374220371</v>
      </c>
      <c r="AV418" s="350">
        <f t="shared" si="179"/>
        <v>14323002.062335001</v>
      </c>
      <c r="AW418" s="350">
        <f t="shared" si="180"/>
        <v>14143182.704251483</v>
      </c>
      <c r="AX418" s="350">
        <f t="shared" si="181"/>
        <v>13898203.367471941</v>
      </c>
      <c r="AY418" s="350">
        <f t="shared" si="182"/>
        <v>71414260.91327922</v>
      </c>
      <c r="AZ418" s="365"/>
      <c r="BA418" s="377">
        <f t="shared" si="183"/>
        <v>0</v>
      </c>
      <c r="BB418" s="377">
        <f t="shared" si="184"/>
        <v>0</v>
      </c>
      <c r="BC418" s="377">
        <f t="shared" si="185"/>
        <v>0</v>
      </c>
      <c r="BD418" s="377">
        <f t="shared" si="186"/>
        <v>0</v>
      </c>
      <c r="BE418" s="377">
        <f t="shared" si="187"/>
        <v>0</v>
      </c>
      <c r="BF418" s="377">
        <f t="shared" si="188"/>
        <v>0</v>
      </c>
      <c r="BG418" s="328"/>
    </row>
    <row r="419" spans="2:59">
      <c r="B419" s="332">
        <v>404</v>
      </c>
      <c r="C419" s="350">
        <v>4051409.6969353976</v>
      </c>
      <c r="D419" s="350">
        <v>4036809.7057771613</v>
      </c>
      <c r="E419" s="350">
        <v>4021020.5311262496</v>
      </c>
      <c r="F419" s="350">
        <v>4002078.0362107325</v>
      </c>
      <c r="G419" s="350">
        <v>3978242.2097506467</v>
      </c>
      <c r="H419" s="348">
        <v>20089560.17980019</v>
      </c>
      <c r="I419" s="369"/>
      <c r="J419" s="350">
        <v>12525447.463280885</v>
      </c>
      <c r="K419" s="350">
        <v>12247201.516899832</v>
      </c>
      <c r="L419" s="350">
        <v>11961764.401364863</v>
      </c>
      <c r="M419" s="350">
        <v>11650917.391691448</v>
      </c>
      <c r="N419" s="350">
        <v>11299402.650353473</v>
      </c>
      <c r="O419" s="348">
        <v>59684733.423590496</v>
      </c>
      <c r="P419" s="369"/>
      <c r="Q419" s="350">
        <f t="shared" si="189"/>
        <v>8474037.766345486</v>
      </c>
      <c r="R419" s="350">
        <f t="shared" si="190"/>
        <v>8210391.8111226708</v>
      </c>
      <c r="S419" s="350">
        <f t="shared" si="191"/>
        <v>7940743.8702386133</v>
      </c>
      <c r="T419" s="350">
        <f t="shared" si="192"/>
        <v>7648839.3554807156</v>
      </c>
      <c r="U419" s="350">
        <f t="shared" si="193"/>
        <v>7321160.440602826</v>
      </c>
      <c r="V419" s="350">
        <f t="shared" si="194"/>
        <v>39595173.243790306</v>
      </c>
      <c r="W419" s="365"/>
      <c r="X419" s="377">
        <f t="shared" si="172"/>
        <v>0</v>
      </c>
      <c r="Y419" s="377">
        <f t="shared" si="173"/>
        <v>0</v>
      </c>
      <c r="Z419" s="377">
        <f t="shared" si="174"/>
        <v>0</v>
      </c>
      <c r="AA419" s="377">
        <f t="shared" si="175"/>
        <v>0</v>
      </c>
      <c r="AB419" s="377">
        <f t="shared" si="176"/>
        <v>0</v>
      </c>
      <c r="AC419" s="377">
        <f t="shared" si="177"/>
        <v>0</v>
      </c>
      <c r="AD419" s="376"/>
      <c r="AE419" s="332">
        <v>404</v>
      </c>
      <c r="AF419" s="350">
        <v>466278.82029108587</v>
      </c>
      <c r="AG419" s="350">
        <v>464598.49981925782</v>
      </c>
      <c r="AH419" s="350">
        <v>462781.31560923677</v>
      </c>
      <c r="AI419" s="350">
        <v>460601.21415238868</v>
      </c>
      <c r="AJ419" s="350">
        <v>457857.93665792083</v>
      </c>
      <c r="AK419" s="348">
        <v>2312117.7865298898</v>
      </c>
      <c r="AL419" s="369"/>
      <c r="AM419" s="350">
        <v>15716141.748388132</v>
      </c>
      <c r="AN419" s="350">
        <v>15581236.181667443</v>
      </c>
      <c r="AO419" s="350">
        <v>15432933.209043637</v>
      </c>
      <c r="AP419" s="350">
        <v>15241454.57136346</v>
      </c>
      <c r="AQ419" s="350">
        <v>14981311.15535154</v>
      </c>
      <c r="AR419" s="348">
        <v>76953076.865814209</v>
      </c>
      <c r="AS419" s="369"/>
      <c r="AT419" s="350">
        <f t="shared" si="195"/>
        <v>15249862.928097047</v>
      </c>
      <c r="AU419" s="350">
        <f t="shared" si="178"/>
        <v>15116637.681848185</v>
      </c>
      <c r="AV419" s="350">
        <f t="shared" si="179"/>
        <v>14970151.8934344</v>
      </c>
      <c r="AW419" s="350">
        <f t="shared" si="180"/>
        <v>14780853.357211072</v>
      </c>
      <c r="AX419" s="350">
        <f t="shared" si="181"/>
        <v>14523453.21869362</v>
      </c>
      <c r="AY419" s="350">
        <f t="shared" si="182"/>
        <v>74640959.079284325</v>
      </c>
      <c r="AZ419" s="365"/>
      <c r="BA419" s="377">
        <f t="shared" si="183"/>
        <v>0</v>
      </c>
      <c r="BB419" s="377">
        <f t="shared" si="184"/>
        <v>0</v>
      </c>
      <c r="BC419" s="377">
        <f t="shared" si="185"/>
        <v>0</v>
      </c>
      <c r="BD419" s="377">
        <f t="shared" si="186"/>
        <v>0</v>
      </c>
      <c r="BE419" s="377">
        <f t="shared" si="187"/>
        <v>0</v>
      </c>
      <c r="BF419" s="377">
        <f t="shared" si="188"/>
        <v>0</v>
      </c>
      <c r="BG419" s="328"/>
    </row>
    <row r="420" spans="2:59">
      <c r="B420" s="332">
        <v>405</v>
      </c>
      <c r="C420" s="350">
        <v>5716069.0211099293</v>
      </c>
      <c r="D420" s="350">
        <v>5695470.1275368575</v>
      </c>
      <c r="E420" s="350">
        <v>5673193.4340295969</v>
      </c>
      <c r="F420" s="350">
        <v>5646467.7714902051</v>
      </c>
      <c r="G420" s="350">
        <v>5612838.1858859379</v>
      </c>
      <c r="H420" s="348">
        <v>28344038.540052526</v>
      </c>
      <c r="I420" s="369"/>
      <c r="J420" s="350">
        <v>20438916.563916601</v>
      </c>
      <c r="K420" s="350">
        <v>20026401.30549822</v>
      </c>
      <c r="L420" s="350">
        <v>19601303.636312082</v>
      </c>
      <c r="M420" s="350">
        <v>19132553.317227025</v>
      </c>
      <c r="N420" s="350">
        <v>18594022.925018828</v>
      </c>
      <c r="O420" s="348">
        <v>97793197.747972757</v>
      </c>
      <c r="P420" s="369"/>
      <c r="Q420" s="350">
        <f t="shared" si="189"/>
        <v>14722847.542806672</v>
      </c>
      <c r="R420" s="350">
        <f t="shared" si="190"/>
        <v>14330931.177961363</v>
      </c>
      <c r="S420" s="350">
        <f t="shared" si="191"/>
        <v>13928110.202282485</v>
      </c>
      <c r="T420" s="350">
        <f t="shared" si="192"/>
        <v>13486085.54573682</v>
      </c>
      <c r="U420" s="350">
        <f t="shared" si="193"/>
        <v>12981184.73913289</v>
      </c>
      <c r="V420" s="350">
        <f t="shared" si="194"/>
        <v>69449159.207920223</v>
      </c>
      <c r="W420" s="365"/>
      <c r="X420" s="377">
        <f t="shared" si="172"/>
        <v>0</v>
      </c>
      <c r="Y420" s="377">
        <f t="shared" si="173"/>
        <v>0</v>
      </c>
      <c r="Z420" s="377">
        <f t="shared" si="174"/>
        <v>0</v>
      </c>
      <c r="AA420" s="377">
        <f t="shared" si="175"/>
        <v>0</v>
      </c>
      <c r="AB420" s="377">
        <f t="shared" si="176"/>
        <v>0</v>
      </c>
      <c r="AC420" s="377">
        <f t="shared" si="177"/>
        <v>0</v>
      </c>
      <c r="AD420" s="376"/>
      <c r="AE420" s="332">
        <v>405</v>
      </c>
      <c r="AF420" s="350">
        <v>636363.43499146658</v>
      </c>
      <c r="AG420" s="350">
        <v>634070.18369887862</v>
      </c>
      <c r="AH420" s="350">
        <v>631590.14485606912</v>
      </c>
      <c r="AI420" s="350">
        <v>628614.80737270741</v>
      </c>
      <c r="AJ420" s="350">
        <v>624870.86402047763</v>
      </c>
      <c r="AK420" s="348">
        <v>3155509.4349395991</v>
      </c>
      <c r="AL420" s="369"/>
      <c r="AM420" s="350">
        <v>19435155.983688328</v>
      </c>
      <c r="AN420" s="350">
        <v>19265554.829650018</v>
      </c>
      <c r="AO420" s="350">
        <v>19079442.557460923</v>
      </c>
      <c r="AP420" s="350">
        <v>18840083.807857685</v>
      </c>
      <c r="AQ420" s="350">
        <v>18516039.90865108</v>
      </c>
      <c r="AR420" s="348">
        <v>95136277.087308049</v>
      </c>
      <c r="AS420" s="369"/>
      <c r="AT420" s="350">
        <f t="shared" si="195"/>
        <v>18798792.548696861</v>
      </c>
      <c r="AU420" s="350">
        <f t="shared" si="178"/>
        <v>18631484.645951141</v>
      </c>
      <c r="AV420" s="350">
        <f t="shared" si="179"/>
        <v>18447852.412604854</v>
      </c>
      <c r="AW420" s="350">
        <f t="shared" si="180"/>
        <v>18211469.000484977</v>
      </c>
      <c r="AX420" s="350">
        <f t="shared" si="181"/>
        <v>17891169.044630602</v>
      </c>
      <c r="AY420" s="350">
        <f t="shared" si="182"/>
        <v>91980767.652368456</v>
      </c>
      <c r="AZ420" s="365"/>
      <c r="BA420" s="377">
        <f t="shared" si="183"/>
        <v>0</v>
      </c>
      <c r="BB420" s="377">
        <f t="shared" si="184"/>
        <v>0</v>
      </c>
      <c r="BC420" s="377">
        <f t="shared" si="185"/>
        <v>0</v>
      </c>
      <c r="BD420" s="377">
        <f t="shared" si="186"/>
        <v>0</v>
      </c>
      <c r="BE420" s="377">
        <f t="shared" si="187"/>
        <v>0</v>
      </c>
      <c r="BF420" s="377">
        <f t="shared" si="188"/>
        <v>0</v>
      </c>
      <c r="BG420" s="328"/>
    </row>
    <row r="421" spans="2:59">
      <c r="B421" s="332">
        <v>406</v>
      </c>
      <c r="C421" s="350">
        <v>4513519.0806474257</v>
      </c>
      <c r="D421" s="350">
        <v>4497253.7943398412</v>
      </c>
      <c r="E421" s="350">
        <v>4479663.6846285276</v>
      </c>
      <c r="F421" s="350">
        <v>4458560.5825895211</v>
      </c>
      <c r="G421" s="350">
        <v>4432006.0088538714</v>
      </c>
      <c r="H421" s="348">
        <v>22381003.151059188</v>
      </c>
      <c r="I421" s="369"/>
      <c r="J421" s="350">
        <v>15060688.651456084</v>
      </c>
      <c r="K421" s="350">
        <v>14742730.12627095</v>
      </c>
      <c r="L421" s="350">
        <v>14415785.783534624</v>
      </c>
      <c r="M421" s="350">
        <v>14057412.967575114</v>
      </c>
      <c r="N421" s="350">
        <v>13648773.712786492</v>
      </c>
      <c r="O421" s="348">
        <v>71925391.241623268</v>
      </c>
      <c r="P421" s="369"/>
      <c r="Q421" s="350">
        <f t="shared" si="189"/>
        <v>10547169.570808658</v>
      </c>
      <c r="R421" s="350">
        <f t="shared" si="190"/>
        <v>10245476.331931109</v>
      </c>
      <c r="S421" s="350">
        <f t="shared" si="191"/>
        <v>9936122.0989060961</v>
      </c>
      <c r="T421" s="350">
        <f t="shared" si="192"/>
        <v>9598852.3849855922</v>
      </c>
      <c r="U421" s="350">
        <f t="shared" si="193"/>
        <v>9216767.7039326206</v>
      </c>
      <c r="V421" s="350">
        <f t="shared" si="194"/>
        <v>49544388.09056408</v>
      </c>
      <c r="W421" s="365"/>
      <c r="X421" s="377">
        <f t="shared" si="172"/>
        <v>0</v>
      </c>
      <c r="Y421" s="377">
        <f t="shared" si="173"/>
        <v>0</v>
      </c>
      <c r="Z421" s="377">
        <f t="shared" si="174"/>
        <v>0</v>
      </c>
      <c r="AA421" s="377">
        <f t="shared" si="175"/>
        <v>0</v>
      </c>
      <c r="AB421" s="377">
        <f t="shared" si="176"/>
        <v>0</v>
      </c>
      <c r="AC421" s="377">
        <f t="shared" si="177"/>
        <v>0</v>
      </c>
      <c r="AD421" s="376"/>
      <c r="AE421" s="332">
        <v>406</v>
      </c>
      <c r="AF421" s="350">
        <v>491096.10801446892</v>
      </c>
      <c r="AG421" s="350">
        <v>489326.35393596144</v>
      </c>
      <c r="AH421" s="350">
        <v>487412.45166493487</v>
      </c>
      <c r="AI421" s="350">
        <v>485116.31618988491</v>
      </c>
      <c r="AJ421" s="350">
        <v>482227.03011874011</v>
      </c>
      <c r="AK421" s="348">
        <v>2435178.2599239904</v>
      </c>
      <c r="AL421" s="369"/>
      <c r="AM421" s="350">
        <v>17906501.18348128</v>
      </c>
      <c r="AN421" s="350">
        <v>17754657.469367415</v>
      </c>
      <c r="AO421" s="350">
        <v>17587511.096465338</v>
      </c>
      <c r="AP421" s="350">
        <v>17371073.41890993</v>
      </c>
      <c r="AQ421" s="350">
        <v>17076247.708903041</v>
      </c>
      <c r="AR421" s="348">
        <v>87695990.877126992</v>
      </c>
      <c r="AS421" s="369"/>
      <c r="AT421" s="350">
        <f t="shared" si="195"/>
        <v>17415405.075466812</v>
      </c>
      <c r="AU421" s="350">
        <f t="shared" si="178"/>
        <v>17265331.115431454</v>
      </c>
      <c r="AV421" s="350">
        <f t="shared" si="179"/>
        <v>17100098.644800402</v>
      </c>
      <c r="AW421" s="350">
        <f t="shared" si="180"/>
        <v>16885957.102720045</v>
      </c>
      <c r="AX421" s="350">
        <f t="shared" si="181"/>
        <v>16594020.678784302</v>
      </c>
      <c r="AY421" s="350">
        <f t="shared" si="182"/>
        <v>85260812.617202997</v>
      </c>
      <c r="AZ421" s="365"/>
      <c r="BA421" s="377">
        <f t="shared" si="183"/>
        <v>0</v>
      </c>
      <c r="BB421" s="377">
        <f t="shared" si="184"/>
        <v>0</v>
      </c>
      <c r="BC421" s="377">
        <f t="shared" si="185"/>
        <v>0</v>
      </c>
      <c r="BD421" s="377">
        <f t="shared" si="186"/>
        <v>0</v>
      </c>
      <c r="BE421" s="377">
        <f t="shared" si="187"/>
        <v>0</v>
      </c>
      <c r="BF421" s="377">
        <f t="shared" si="188"/>
        <v>0</v>
      </c>
      <c r="BG421" s="328"/>
    </row>
    <row r="422" spans="2:59">
      <c r="B422" s="332">
        <v>407</v>
      </c>
      <c r="C422" s="350">
        <v>4476203.9839752708</v>
      </c>
      <c r="D422" s="350">
        <v>4460073.1694003008</v>
      </c>
      <c r="E422" s="350">
        <v>4442628.4842751315</v>
      </c>
      <c r="F422" s="350">
        <v>4421699.8501576278</v>
      </c>
      <c r="G422" s="350">
        <v>4395364.8138756426</v>
      </c>
      <c r="H422" s="348">
        <v>22195970.301683974</v>
      </c>
      <c r="I422" s="369"/>
      <c r="J422" s="350">
        <v>14314669.932982594</v>
      </c>
      <c r="K422" s="350">
        <v>14003819.518969841</v>
      </c>
      <c r="L422" s="350">
        <v>13684604.856346574</v>
      </c>
      <c r="M422" s="350">
        <v>13335974.064399745</v>
      </c>
      <c r="N422" s="350">
        <v>12940278.241360601</v>
      </c>
      <c r="O422" s="348">
        <v>68279346.614059359</v>
      </c>
      <c r="P422" s="369"/>
      <c r="Q422" s="350">
        <f t="shared" si="189"/>
        <v>9838465.949007323</v>
      </c>
      <c r="R422" s="350">
        <f t="shared" si="190"/>
        <v>9543746.3495695405</v>
      </c>
      <c r="S422" s="350">
        <f t="shared" si="191"/>
        <v>9241976.3720714413</v>
      </c>
      <c r="T422" s="350">
        <f t="shared" si="192"/>
        <v>8914274.2142421175</v>
      </c>
      <c r="U422" s="350">
        <f t="shared" si="193"/>
        <v>8544913.4274849594</v>
      </c>
      <c r="V422" s="350">
        <f t="shared" si="194"/>
        <v>46083376.312375382</v>
      </c>
      <c r="W422" s="365"/>
      <c r="X422" s="377">
        <f t="shared" si="172"/>
        <v>0</v>
      </c>
      <c r="Y422" s="377">
        <f t="shared" si="173"/>
        <v>0</v>
      </c>
      <c r="Z422" s="377">
        <f t="shared" si="174"/>
        <v>0</v>
      </c>
      <c r="AA422" s="377">
        <f t="shared" si="175"/>
        <v>0</v>
      </c>
      <c r="AB422" s="377">
        <f t="shared" si="176"/>
        <v>0</v>
      </c>
      <c r="AC422" s="377">
        <f t="shared" si="177"/>
        <v>0</v>
      </c>
      <c r="AD422" s="376"/>
      <c r="AE422" s="332">
        <v>407</v>
      </c>
      <c r="AF422" s="350">
        <v>421769.41790617508</v>
      </c>
      <c r="AG422" s="350">
        <v>420249.49515511317</v>
      </c>
      <c r="AH422" s="350">
        <v>418605.77321635903</v>
      </c>
      <c r="AI422" s="350">
        <v>416633.77688622935</v>
      </c>
      <c r="AJ422" s="350">
        <v>414152.36340218014</v>
      </c>
      <c r="AK422" s="348">
        <v>2091410.8265660568</v>
      </c>
      <c r="AL422" s="369"/>
      <c r="AM422" s="350">
        <v>12787351.443708673</v>
      </c>
      <c r="AN422" s="350">
        <v>12675619.80568653</v>
      </c>
      <c r="AO422" s="350">
        <v>12553027.598230312</v>
      </c>
      <c r="AP422" s="350">
        <v>12395409.416353835</v>
      </c>
      <c r="AQ422" s="350">
        <v>12182084.425547339</v>
      </c>
      <c r="AR422" s="348">
        <v>62593492.689526692</v>
      </c>
      <c r="AS422" s="369"/>
      <c r="AT422" s="350">
        <f t="shared" si="195"/>
        <v>12365582.025802499</v>
      </c>
      <c r="AU422" s="350">
        <f t="shared" si="178"/>
        <v>12255370.310531417</v>
      </c>
      <c r="AV422" s="350">
        <f t="shared" si="179"/>
        <v>12134421.825013952</v>
      </c>
      <c r="AW422" s="350">
        <f t="shared" si="180"/>
        <v>11978775.639467606</v>
      </c>
      <c r="AX422" s="350">
        <f t="shared" si="181"/>
        <v>11767932.062145159</v>
      </c>
      <c r="AY422" s="350">
        <f t="shared" si="182"/>
        <v>60502081.862960637</v>
      </c>
      <c r="AZ422" s="365"/>
      <c r="BA422" s="377">
        <f t="shared" si="183"/>
        <v>0</v>
      </c>
      <c r="BB422" s="377">
        <f t="shared" si="184"/>
        <v>0</v>
      </c>
      <c r="BC422" s="377">
        <f t="shared" si="185"/>
        <v>0</v>
      </c>
      <c r="BD422" s="377">
        <f t="shared" si="186"/>
        <v>0</v>
      </c>
      <c r="BE422" s="377">
        <f t="shared" si="187"/>
        <v>0</v>
      </c>
      <c r="BF422" s="377">
        <f t="shared" si="188"/>
        <v>0</v>
      </c>
      <c r="BG422" s="328"/>
    </row>
    <row r="423" spans="2:59">
      <c r="B423" s="332">
        <v>408</v>
      </c>
      <c r="C423" s="350">
        <v>6004932.4057163466</v>
      </c>
      <c r="D423" s="350">
        <v>5983292.5404379498</v>
      </c>
      <c r="E423" s="350">
        <v>5959890.0870665982</v>
      </c>
      <c r="F423" s="350">
        <v>5931813.8345835805</v>
      </c>
      <c r="G423" s="350">
        <v>5896484.7670653109</v>
      </c>
      <c r="H423" s="348">
        <v>29776413.634869784</v>
      </c>
      <c r="I423" s="369"/>
      <c r="J423" s="350">
        <v>19730244.412064642</v>
      </c>
      <c r="K423" s="350">
        <v>19309434.613912068</v>
      </c>
      <c r="L423" s="350">
        <v>18876940.114028707</v>
      </c>
      <c r="M423" s="350">
        <v>18403497.783647712</v>
      </c>
      <c r="N423" s="350">
        <v>17864555.378137939</v>
      </c>
      <c r="O423" s="348">
        <v>94184672.301791072</v>
      </c>
      <c r="P423" s="369"/>
      <c r="Q423" s="350">
        <f t="shared" si="189"/>
        <v>13725312.006348295</v>
      </c>
      <c r="R423" s="350">
        <f t="shared" si="190"/>
        <v>13326142.073474118</v>
      </c>
      <c r="S423" s="350">
        <f t="shared" si="191"/>
        <v>12917050.026962109</v>
      </c>
      <c r="T423" s="350">
        <f t="shared" si="192"/>
        <v>12471683.949064132</v>
      </c>
      <c r="U423" s="350">
        <f t="shared" si="193"/>
        <v>11968070.611072628</v>
      </c>
      <c r="V423" s="350">
        <f t="shared" si="194"/>
        <v>64408258.666921288</v>
      </c>
      <c r="W423" s="365"/>
      <c r="X423" s="377">
        <f t="shared" si="172"/>
        <v>0</v>
      </c>
      <c r="Y423" s="377">
        <f t="shared" si="173"/>
        <v>0</v>
      </c>
      <c r="Z423" s="377">
        <f t="shared" si="174"/>
        <v>0</v>
      </c>
      <c r="AA423" s="377">
        <f t="shared" si="175"/>
        <v>0</v>
      </c>
      <c r="AB423" s="377">
        <f t="shared" si="176"/>
        <v>0</v>
      </c>
      <c r="AC423" s="377">
        <f t="shared" si="177"/>
        <v>0</v>
      </c>
      <c r="AD423" s="376"/>
      <c r="AE423" s="332">
        <v>408</v>
      </c>
      <c r="AF423" s="350">
        <v>459395.04491976538</v>
      </c>
      <c r="AG423" s="350">
        <v>457739.5313835658</v>
      </c>
      <c r="AH423" s="350">
        <v>455949.17465822946</v>
      </c>
      <c r="AI423" s="350">
        <v>453801.25851210643</v>
      </c>
      <c r="AJ423" s="350">
        <v>451098.4806183739</v>
      </c>
      <c r="AK423" s="348">
        <v>2277983.490092041</v>
      </c>
      <c r="AL423" s="369"/>
      <c r="AM423" s="350">
        <v>13652897.052452853</v>
      </c>
      <c r="AN423" s="350">
        <v>13533181.422049241</v>
      </c>
      <c r="AO423" s="350">
        <v>13401878.695659295</v>
      </c>
      <c r="AP423" s="350">
        <v>13233201.370527288</v>
      </c>
      <c r="AQ423" s="350">
        <v>13005081.248250611</v>
      </c>
      <c r="AR423" s="348">
        <v>66826239.78893929</v>
      </c>
      <c r="AS423" s="369"/>
      <c r="AT423" s="350">
        <f t="shared" si="195"/>
        <v>13193502.007533088</v>
      </c>
      <c r="AU423" s="350">
        <f t="shared" si="178"/>
        <v>13075441.890665675</v>
      </c>
      <c r="AV423" s="350">
        <f t="shared" si="179"/>
        <v>12945929.521001065</v>
      </c>
      <c r="AW423" s="350">
        <f t="shared" si="180"/>
        <v>12779400.112015182</v>
      </c>
      <c r="AX423" s="350">
        <f t="shared" si="181"/>
        <v>12553982.767632237</v>
      </c>
      <c r="AY423" s="350">
        <f t="shared" si="182"/>
        <v>64548256.298847251</v>
      </c>
      <c r="AZ423" s="365"/>
      <c r="BA423" s="377">
        <f t="shared" si="183"/>
        <v>0</v>
      </c>
      <c r="BB423" s="377">
        <f t="shared" si="184"/>
        <v>0</v>
      </c>
      <c r="BC423" s="377">
        <f t="shared" si="185"/>
        <v>0</v>
      </c>
      <c r="BD423" s="377">
        <f t="shared" si="186"/>
        <v>0</v>
      </c>
      <c r="BE423" s="377">
        <f t="shared" si="187"/>
        <v>0</v>
      </c>
      <c r="BF423" s="377">
        <f t="shared" si="188"/>
        <v>0</v>
      </c>
      <c r="BG423" s="328"/>
    </row>
    <row r="424" spans="2:59">
      <c r="B424" s="332">
        <v>409</v>
      </c>
      <c r="C424" s="350">
        <v>5042044.9474070165</v>
      </c>
      <c r="D424" s="350">
        <v>5023875.0220826874</v>
      </c>
      <c r="E424" s="350">
        <v>5004225.1386525882</v>
      </c>
      <c r="F424" s="350">
        <v>4980650.8971108571</v>
      </c>
      <c r="G424" s="350">
        <v>4950986.8252542755</v>
      </c>
      <c r="H424" s="348">
        <v>25001782.830507427</v>
      </c>
      <c r="I424" s="369"/>
      <c r="J424" s="350">
        <v>16979989.926257987</v>
      </c>
      <c r="K424" s="350">
        <v>16623676.644824984</v>
      </c>
      <c r="L424" s="350">
        <v>16257188.199719276</v>
      </c>
      <c r="M424" s="350">
        <v>15855151.964388525</v>
      </c>
      <c r="N424" s="350">
        <v>15396265.177875981</v>
      </c>
      <c r="O424" s="348">
        <v>81112271.913066745</v>
      </c>
      <c r="P424" s="369"/>
      <c r="Q424" s="350">
        <f t="shared" si="189"/>
        <v>11937944.97885097</v>
      </c>
      <c r="R424" s="350">
        <f t="shared" si="190"/>
        <v>11599801.622742295</v>
      </c>
      <c r="S424" s="350">
        <f t="shared" si="191"/>
        <v>11252963.061066687</v>
      </c>
      <c r="T424" s="350">
        <f t="shared" si="192"/>
        <v>10874501.067277668</v>
      </c>
      <c r="U424" s="350">
        <f t="shared" si="193"/>
        <v>10445278.352621704</v>
      </c>
      <c r="V424" s="350">
        <f t="shared" si="194"/>
        <v>56110489.082559317</v>
      </c>
      <c r="W424" s="365"/>
      <c r="X424" s="377">
        <f t="shared" si="172"/>
        <v>0</v>
      </c>
      <c r="Y424" s="377">
        <f t="shared" si="173"/>
        <v>0</v>
      </c>
      <c r="Z424" s="377">
        <f t="shared" si="174"/>
        <v>0</v>
      </c>
      <c r="AA424" s="377">
        <f t="shared" si="175"/>
        <v>0</v>
      </c>
      <c r="AB424" s="377">
        <f t="shared" si="176"/>
        <v>0</v>
      </c>
      <c r="AC424" s="377">
        <f t="shared" si="177"/>
        <v>0</v>
      </c>
      <c r="AD424" s="376"/>
      <c r="AE424" s="332">
        <v>409</v>
      </c>
      <c r="AF424" s="350">
        <v>425589.19198673125</v>
      </c>
      <c r="AG424" s="350">
        <v>424055.50398555282</v>
      </c>
      <c r="AH424" s="350">
        <v>422396.89560365991</v>
      </c>
      <c r="AI424" s="350">
        <v>420407.03979830764</v>
      </c>
      <c r="AJ424" s="350">
        <v>417903.15327921347</v>
      </c>
      <c r="AK424" s="348">
        <v>2110351.7846534653</v>
      </c>
      <c r="AL424" s="369"/>
      <c r="AM424" s="350">
        <v>11279546.23414981</v>
      </c>
      <c r="AN424" s="350">
        <v>11178504.672885112</v>
      </c>
      <c r="AO424" s="350">
        <v>11067933.889369396</v>
      </c>
      <c r="AP424" s="350">
        <v>10926598.158050092</v>
      </c>
      <c r="AQ424" s="350">
        <v>10736328.787247213</v>
      </c>
      <c r="AR424" s="348">
        <v>55188911.741701618</v>
      </c>
      <c r="AS424" s="369"/>
      <c r="AT424" s="350">
        <f t="shared" si="195"/>
        <v>10853957.042163078</v>
      </c>
      <c r="AU424" s="350">
        <f t="shared" si="178"/>
        <v>10754449.16889956</v>
      </c>
      <c r="AV424" s="350">
        <f t="shared" si="179"/>
        <v>10645536.993765736</v>
      </c>
      <c r="AW424" s="350">
        <f t="shared" si="180"/>
        <v>10506191.118251784</v>
      </c>
      <c r="AX424" s="350">
        <f t="shared" si="181"/>
        <v>10318425.633967999</v>
      </c>
      <c r="AY424" s="350">
        <f t="shared" si="182"/>
        <v>53078559.957048155</v>
      </c>
      <c r="AZ424" s="365"/>
      <c r="BA424" s="377">
        <f t="shared" si="183"/>
        <v>0</v>
      </c>
      <c r="BB424" s="377">
        <f t="shared" si="184"/>
        <v>0</v>
      </c>
      <c r="BC424" s="377">
        <f t="shared" si="185"/>
        <v>0</v>
      </c>
      <c r="BD424" s="377">
        <f t="shared" si="186"/>
        <v>0</v>
      </c>
      <c r="BE424" s="377">
        <f t="shared" si="187"/>
        <v>0</v>
      </c>
      <c r="BF424" s="377">
        <f t="shared" si="188"/>
        <v>0</v>
      </c>
      <c r="BG424" s="328"/>
    </row>
    <row r="425" spans="2:59">
      <c r="B425" s="332">
        <v>410</v>
      </c>
      <c r="C425" s="350">
        <v>8141801.650464504</v>
      </c>
      <c r="D425" s="350">
        <v>8112461.188501643</v>
      </c>
      <c r="E425" s="350">
        <v>8080730.9173494801</v>
      </c>
      <c r="F425" s="350">
        <v>8042663.6647376958</v>
      </c>
      <c r="G425" s="350">
        <v>7994762.665892845</v>
      </c>
      <c r="H425" s="348">
        <v>40372420.086946167</v>
      </c>
      <c r="I425" s="369"/>
      <c r="J425" s="350">
        <v>27834751.511261787</v>
      </c>
      <c r="K425" s="350">
        <v>27256386.719017573</v>
      </c>
      <c r="L425" s="350">
        <v>26661225.13980474</v>
      </c>
      <c r="M425" s="350">
        <v>26007489.244779803</v>
      </c>
      <c r="N425" s="350">
        <v>25260088.45362049</v>
      </c>
      <c r="O425" s="348">
        <v>133019941.0684844</v>
      </c>
      <c r="P425" s="369"/>
      <c r="Q425" s="350">
        <f t="shared" si="189"/>
        <v>19692949.860797282</v>
      </c>
      <c r="R425" s="350">
        <f t="shared" si="190"/>
        <v>19143925.530515932</v>
      </c>
      <c r="S425" s="350">
        <f t="shared" si="191"/>
        <v>18580494.222455259</v>
      </c>
      <c r="T425" s="350">
        <f t="shared" si="192"/>
        <v>17964825.580042109</v>
      </c>
      <c r="U425" s="350">
        <f t="shared" si="193"/>
        <v>17265325.787727647</v>
      </c>
      <c r="V425" s="350">
        <f t="shared" si="194"/>
        <v>92647520.981538236</v>
      </c>
      <c r="W425" s="365"/>
      <c r="X425" s="377">
        <f t="shared" si="172"/>
        <v>0</v>
      </c>
      <c r="Y425" s="377">
        <f t="shared" si="173"/>
        <v>0</v>
      </c>
      <c r="Z425" s="377">
        <f t="shared" si="174"/>
        <v>0</v>
      </c>
      <c r="AA425" s="377">
        <f t="shared" si="175"/>
        <v>0</v>
      </c>
      <c r="AB425" s="377">
        <f t="shared" si="176"/>
        <v>0</v>
      </c>
      <c r="AC425" s="377">
        <f t="shared" si="177"/>
        <v>0</v>
      </c>
      <c r="AD425" s="376"/>
      <c r="AE425" s="332">
        <v>410</v>
      </c>
      <c r="AF425" s="350">
        <v>312474.71386612981</v>
      </c>
      <c r="AG425" s="350">
        <v>311348.65444462298</v>
      </c>
      <c r="AH425" s="350">
        <v>310130.87638703536</v>
      </c>
      <c r="AI425" s="350">
        <v>308669.89092236751</v>
      </c>
      <c r="AJ425" s="350">
        <v>306831.49549706356</v>
      </c>
      <c r="AK425" s="348">
        <v>1549455.6311172191</v>
      </c>
      <c r="AL425" s="369"/>
      <c r="AM425" s="350">
        <v>10799566.936791347</v>
      </c>
      <c r="AN425" s="350">
        <v>10707232.856114822</v>
      </c>
      <c r="AO425" s="350">
        <v>10605685.042285893</v>
      </c>
      <c r="AP425" s="350">
        <v>10474449.056855274</v>
      </c>
      <c r="AQ425" s="350">
        <v>10295998.794565439</v>
      </c>
      <c r="AR425" s="348">
        <v>52882932.686612777</v>
      </c>
      <c r="AS425" s="369"/>
      <c r="AT425" s="350">
        <f t="shared" si="195"/>
        <v>10487092.222925218</v>
      </c>
      <c r="AU425" s="350">
        <f t="shared" si="178"/>
        <v>10395884.201670198</v>
      </c>
      <c r="AV425" s="350">
        <f t="shared" si="179"/>
        <v>10295554.165898858</v>
      </c>
      <c r="AW425" s="350">
        <f t="shared" si="180"/>
        <v>10165779.165932907</v>
      </c>
      <c r="AX425" s="350">
        <f t="shared" si="181"/>
        <v>9989167.2990683764</v>
      </c>
      <c r="AY425" s="350">
        <f t="shared" si="182"/>
        <v>51333477.05549556</v>
      </c>
      <c r="AZ425" s="365"/>
      <c r="BA425" s="377">
        <f t="shared" si="183"/>
        <v>0</v>
      </c>
      <c r="BB425" s="377">
        <f t="shared" si="184"/>
        <v>0</v>
      </c>
      <c r="BC425" s="377">
        <f t="shared" si="185"/>
        <v>0</v>
      </c>
      <c r="BD425" s="377">
        <f t="shared" si="186"/>
        <v>0</v>
      </c>
      <c r="BE425" s="377">
        <f t="shared" si="187"/>
        <v>0</v>
      </c>
      <c r="BF425" s="377">
        <f t="shared" si="188"/>
        <v>0</v>
      </c>
      <c r="BG425" s="328"/>
    </row>
    <row r="426" spans="2:59">
      <c r="B426" s="332">
        <v>411</v>
      </c>
      <c r="C426" s="350">
        <v>6755621.2752750954</v>
      </c>
      <c r="D426" s="350">
        <v>6731276.1662228014</v>
      </c>
      <c r="E426" s="350">
        <v>6704948.1243386585</v>
      </c>
      <c r="F426" s="350">
        <v>6673362.0021662079</v>
      </c>
      <c r="G426" s="350">
        <v>6633616.3757317029</v>
      </c>
      <c r="H426" s="348">
        <v>33498823.943734467</v>
      </c>
      <c r="I426" s="369"/>
      <c r="J426" s="350">
        <v>22883439.118487719</v>
      </c>
      <c r="K426" s="350">
        <v>22405073.900239818</v>
      </c>
      <c r="L426" s="350">
        <v>21912958.584954631</v>
      </c>
      <c r="M426" s="350">
        <v>21372840.188151047</v>
      </c>
      <c r="N426" s="350">
        <v>20755955.462743167</v>
      </c>
      <c r="O426" s="348">
        <v>109330267.25457639</v>
      </c>
      <c r="P426" s="369"/>
      <c r="Q426" s="350">
        <f t="shared" si="189"/>
        <v>16127817.843212623</v>
      </c>
      <c r="R426" s="350">
        <f t="shared" si="190"/>
        <v>15673797.734017016</v>
      </c>
      <c r="S426" s="350">
        <f t="shared" si="191"/>
        <v>15208010.460615972</v>
      </c>
      <c r="T426" s="350">
        <f t="shared" si="192"/>
        <v>14699478.185984839</v>
      </c>
      <c r="U426" s="350">
        <f t="shared" si="193"/>
        <v>14122339.087011464</v>
      </c>
      <c r="V426" s="350">
        <f t="shared" si="194"/>
        <v>75831443.310841918</v>
      </c>
      <c r="W426" s="365"/>
      <c r="X426" s="377">
        <f t="shared" si="172"/>
        <v>0</v>
      </c>
      <c r="Y426" s="377">
        <f t="shared" si="173"/>
        <v>0</v>
      </c>
      <c r="Z426" s="377">
        <f t="shared" si="174"/>
        <v>0</v>
      </c>
      <c r="AA426" s="377">
        <f t="shared" si="175"/>
        <v>0</v>
      </c>
      <c r="AB426" s="377">
        <f t="shared" si="176"/>
        <v>0</v>
      </c>
      <c r="AC426" s="377">
        <f t="shared" si="177"/>
        <v>0</v>
      </c>
      <c r="AD426" s="376"/>
      <c r="AE426" s="332">
        <v>411</v>
      </c>
      <c r="AF426" s="350">
        <v>563540.88441325538</v>
      </c>
      <c r="AG426" s="350">
        <v>561510.06241666444</v>
      </c>
      <c r="AH426" s="350">
        <v>559313.82799148117</v>
      </c>
      <c r="AI426" s="350">
        <v>556678.97465987201</v>
      </c>
      <c r="AJ426" s="350">
        <v>553363.47123542253</v>
      </c>
      <c r="AK426" s="348">
        <v>2794407.2207166953</v>
      </c>
      <c r="AL426" s="369"/>
      <c r="AM426" s="350">
        <v>15773361.354598738</v>
      </c>
      <c r="AN426" s="350">
        <v>15633530.783696229</v>
      </c>
      <c r="AO426" s="350">
        <v>15480344.56854615</v>
      </c>
      <c r="AP426" s="350">
        <v>15284059.230191875</v>
      </c>
      <c r="AQ426" s="350">
        <v>15019224.170903604</v>
      </c>
      <c r="AR426" s="348">
        <v>77190520.107936591</v>
      </c>
      <c r="AS426" s="369"/>
      <c r="AT426" s="350">
        <f t="shared" si="195"/>
        <v>15209820.470185483</v>
      </c>
      <c r="AU426" s="350">
        <f t="shared" si="178"/>
        <v>15072020.721279563</v>
      </c>
      <c r="AV426" s="350">
        <f t="shared" si="179"/>
        <v>14921030.740554668</v>
      </c>
      <c r="AW426" s="350">
        <f t="shared" si="180"/>
        <v>14727380.255532004</v>
      </c>
      <c r="AX426" s="350">
        <f t="shared" si="181"/>
        <v>14465860.699668182</v>
      </c>
      <c r="AY426" s="350">
        <f t="shared" si="182"/>
        <v>74396112.887219891</v>
      </c>
      <c r="AZ426" s="365"/>
      <c r="BA426" s="377">
        <f t="shared" si="183"/>
        <v>0</v>
      </c>
      <c r="BB426" s="377">
        <f t="shared" si="184"/>
        <v>0</v>
      </c>
      <c r="BC426" s="377">
        <f t="shared" si="185"/>
        <v>0</v>
      </c>
      <c r="BD426" s="377">
        <f t="shared" si="186"/>
        <v>0</v>
      </c>
      <c r="BE426" s="377">
        <f t="shared" si="187"/>
        <v>0</v>
      </c>
      <c r="BF426" s="377">
        <f t="shared" si="188"/>
        <v>0</v>
      </c>
      <c r="BG426" s="328"/>
    </row>
    <row r="427" spans="2:59">
      <c r="B427" s="332">
        <v>412</v>
      </c>
      <c r="C427" s="350">
        <v>4615389.1434159493</v>
      </c>
      <c r="D427" s="350">
        <v>4598756.7498230049</v>
      </c>
      <c r="E427" s="350">
        <v>4580769.6315805726</v>
      </c>
      <c r="F427" s="350">
        <v>4559190.2328225505</v>
      </c>
      <c r="G427" s="350">
        <v>4532036.3227276411</v>
      </c>
      <c r="H427" s="348">
        <v>22886142.080369718</v>
      </c>
      <c r="I427" s="369"/>
      <c r="J427" s="350">
        <v>17398918.713926621</v>
      </c>
      <c r="K427" s="350">
        <v>17059381.318914317</v>
      </c>
      <c r="L427" s="350">
        <v>16708895.643954741</v>
      </c>
      <c r="M427" s="350">
        <v>16320637.352830714</v>
      </c>
      <c r="N427" s="350">
        <v>15872020.89360608</v>
      </c>
      <c r="O427" s="348">
        <v>83359853.923232466</v>
      </c>
      <c r="P427" s="369"/>
      <c r="Q427" s="350">
        <f t="shared" si="189"/>
        <v>12783529.570510671</v>
      </c>
      <c r="R427" s="350">
        <f t="shared" si="190"/>
        <v>12460624.569091313</v>
      </c>
      <c r="S427" s="350">
        <f t="shared" si="191"/>
        <v>12128126.012374168</v>
      </c>
      <c r="T427" s="350">
        <f t="shared" si="192"/>
        <v>11761447.120008163</v>
      </c>
      <c r="U427" s="350">
        <f t="shared" si="193"/>
        <v>11339984.570878439</v>
      </c>
      <c r="V427" s="350">
        <f t="shared" si="194"/>
        <v>60473711.842862748</v>
      </c>
      <c r="W427" s="365"/>
      <c r="X427" s="377">
        <f t="shared" si="172"/>
        <v>0</v>
      </c>
      <c r="Y427" s="377">
        <f t="shared" si="173"/>
        <v>0</v>
      </c>
      <c r="Z427" s="377">
        <f t="shared" si="174"/>
        <v>0</v>
      </c>
      <c r="AA427" s="377">
        <f t="shared" si="175"/>
        <v>0</v>
      </c>
      <c r="AB427" s="377">
        <f t="shared" si="176"/>
        <v>0</v>
      </c>
      <c r="AC427" s="377">
        <f t="shared" si="177"/>
        <v>0</v>
      </c>
      <c r="AD427" s="376"/>
      <c r="AE427" s="332">
        <v>412</v>
      </c>
      <c r="AF427" s="350">
        <v>462924.72681688296</v>
      </c>
      <c r="AG427" s="350">
        <v>461256.4934304721</v>
      </c>
      <c r="AH427" s="350">
        <v>459452.38081074209</v>
      </c>
      <c r="AI427" s="350">
        <v>457287.96152462816</v>
      </c>
      <c r="AJ427" s="350">
        <v>454564.41730720771</v>
      </c>
      <c r="AK427" s="348">
        <v>2295485.979889933</v>
      </c>
      <c r="AL427" s="369"/>
      <c r="AM427" s="350">
        <v>17250959.000319432</v>
      </c>
      <c r="AN427" s="350">
        <v>17105147.065367796</v>
      </c>
      <c r="AO427" s="350">
        <v>16944583.032524314</v>
      </c>
      <c r="AP427" s="350">
        <v>16736507.278887255</v>
      </c>
      <c r="AQ427" s="350">
        <v>16452874.277723836</v>
      </c>
      <c r="AR427" s="348">
        <v>84490070.654822633</v>
      </c>
      <c r="AS427" s="369"/>
      <c r="AT427" s="350">
        <f t="shared" si="195"/>
        <v>16788034.273502551</v>
      </c>
      <c r="AU427" s="350">
        <f t="shared" si="178"/>
        <v>16643890.571937323</v>
      </c>
      <c r="AV427" s="350">
        <f t="shared" si="179"/>
        <v>16485130.651713572</v>
      </c>
      <c r="AW427" s="350">
        <f t="shared" si="180"/>
        <v>16279219.317362627</v>
      </c>
      <c r="AX427" s="350">
        <f t="shared" si="181"/>
        <v>15998309.860416628</v>
      </c>
      <c r="AY427" s="350">
        <f t="shared" si="182"/>
        <v>82194584.674932703</v>
      </c>
      <c r="AZ427" s="365"/>
      <c r="BA427" s="377">
        <f t="shared" si="183"/>
        <v>0</v>
      </c>
      <c r="BB427" s="377">
        <f t="shared" si="184"/>
        <v>0</v>
      </c>
      <c r="BC427" s="377">
        <f t="shared" si="185"/>
        <v>0</v>
      </c>
      <c r="BD427" s="377">
        <f t="shared" si="186"/>
        <v>0</v>
      </c>
      <c r="BE427" s="377">
        <f t="shared" si="187"/>
        <v>0</v>
      </c>
      <c r="BF427" s="377">
        <f t="shared" si="188"/>
        <v>0</v>
      </c>
      <c r="BG427" s="328"/>
    </row>
    <row r="428" spans="2:59">
      <c r="B428" s="332">
        <v>413</v>
      </c>
      <c r="C428" s="350">
        <v>4188960.0433272449</v>
      </c>
      <c r="D428" s="350">
        <v>4173864.3644969724</v>
      </c>
      <c r="E428" s="350">
        <v>4157539.1279305965</v>
      </c>
      <c r="F428" s="350">
        <v>4137953.5119949738</v>
      </c>
      <c r="G428" s="350">
        <v>4113308.4298852803</v>
      </c>
      <c r="H428" s="348">
        <v>20771625.477635067</v>
      </c>
      <c r="I428" s="369"/>
      <c r="J428" s="350">
        <v>13819109.8339363</v>
      </c>
      <c r="K428" s="350">
        <v>13525158.162974223</v>
      </c>
      <c r="L428" s="350">
        <v>13223006.479633849</v>
      </c>
      <c r="M428" s="350">
        <v>12892133.482529225</v>
      </c>
      <c r="N428" s="350">
        <v>12515319.486778356</v>
      </c>
      <c r="O428" s="348">
        <v>65974727.445851952</v>
      </c>
      <c r="P428" s="369"/>
      <c r="Q428" s="350">
        <f t="shared" si="189"/>
        <v>9630149.7906090543</v>
      </c>
      <c r="R428" s="350">
        <f t="shared" si="190"/>
        <v>9351293.7984772511</v>
      </c>
      <c r="S428" s="350">
        <f t="shared" si="191"/>
        <v>9065467.3517032526</v>
      </c>
      <c r="T428" s="350">
        <f t="shared" si="192"/>
        <v>8754179.9705342501</v>
      </c>
      <c r="U428" s="350">
        <f t="shared" si="193"/>
        <v>8402011.0568930767</v>
      </c>
      <c r="V428" s="350">
        <f t="shared" si="194"/>
        <v>45203101.968216881</v>
      </c>
      <c r="W428" s="365"/>
      <c r="X428" s="377">
        <f t="shared" si="172"/>
        <v>0</v>
      </c>
      <c r="Y428" s="377">
        <f t="shared" si="173"/>
        <v>0</v>
      </c>
      <c r="Z428" s="377">
        <f t="shared" si="174"/>
        <v>0</v>
      </c>
      <c r="AA428" s="377">
        <f t="shared" si="175"/>
        <v>0</v>
      </c>
      <c r="AB428" s="377">
        <f t="shared" si="176"/>
        <v>0</v>
      </c>
      <c r="AC428" s="377">
        <f t="shared" si="177"/>
        <v>0</v>
      </c>
      <c r="AD428" s="376"/>
      <c r="AE428" s="332">
        <v>413</v>
      </c>
      <c r="AF428" s="350">
        <v>589178.86249166366</v>
      </c>
      <c r="AG428" s="350">
        <v>587055.64938154421</v>
      </c>
      <c r="AH428" s="350">
        <v>584759.49849669461</v>
      </c>
      <c r="AI428" s="350">
        <v>582004.77398302208</v>
      </c>
      <c r="AJ428" s="350">
        <v>578538.43358034082</v>
      </c>
      <c r="AK428" s="348">
        <v>2921537.2179332655</v>
      </c>
      <c r="AL428" s="369"/>
      <c r="AM428" s="350">
        <v>20633351.070575643</v>
      </c>
      <c r="AN428" s="350">
        <v>20457303.279461518</v>
      </c>
      <c r="AO428" s="350">
        <v>20263644.571990121</v>
      </c>
      <c r="AP428" s="350">
        <v>20013245.330016568</v>
      </c>
      <c r="AQ428" s="350">
        <v>19672609.911485642</v>
      </c>
      <c r="AR428" s="348">
        <v>101040154.16352949</v>
      </c>
      <c r="AS428" s="369"/>
      <c r="AT428" s="350">
        <f t="shared" si="195"/>
        <v>20044172.20808398</v>
      </c>
      <c r="AU428" s="350">
        <f t="shared" si="178"/>
        <v>19870247.630079973</v>
      </c>
      <c r="AV428" s="350">
        <f t="shared" si="179"/>
        <v>19678885.073493425</v>
      </c>
      <c r="AW428" s="350">
        <f t="shared" si="180"/>
        <v>19431240.556033548</v>
      </c>
      <c r="AX428" s="350">
        <f t="shared" si="181"/>
        <v>19094071.477905303</v>
      </c>
      <c r="AY428" s="350">
        <f t="shared" si="182"/>
        <v>98118616.945596218</v>
      </c>
      <c r="AZ428" s="365"/>
      <c r="BA428" s="377">
        <f t="shared" si="183"/>
        <v>0</v>
      </c>
      <c r="BB428" s="377">
        <f t="shared" si="184"/>
        <v>0</v>
      </c>
      <c r="BC428" s="377">
        <f t="shared" si="185"/>
        <v>0</v>
      </c>
      <c r="BD428" s="377">
        <f t="shared" si="186"/>
        <v>0</v>
      </c>
      <c r="BE428" s="377">
        <f t="shared" si="187"/>
        <v>0</v>
      </c>
      <c r="BF428" s="377">
        <f t="shared" si="188"/>
        <v>0</v>
      </c>
      <c r="BG428" s="328"/>
    </row>
    <row r="429" spans="2:59">
      <c r="B429" s="332">
        <v>414</v>
      </c>
      <c r="C429" s="350">
        <v>10994876.085758533</v>
      </c>
      <c r="D429" s="350">
        <v>10955254.051541798</v>
      </c>
      <c r="E429" s="350">
        <v>10912404.764066752</v>
      </c>
      <c r="F429" s="350">
        <v>10860997.871174937</v>
      </c>
      <c r="G429" s="350">
        <v>10796311.261344159</v>
      </c>
      <c r="H429" s="348">
        <v>54519844.033886179</v>
      </c>
      <c r="I429" s="369"/>
      <c r="J429" s="350">
        <v>32409470.949240845</v>
      </c>
      <c r="K429" s="350">
        <v>31665762.341649868</v>
      </c>
      <c r="L429" s="350">
        <v>30903931.631034151</v>
      </c>
      <c r="M429" s="350">
        <v>30077605.088589467</v>
      </c>
      <c r="N429" s="350">
        <v>29148006.61336071</v>
      </c>
      <c r="O429" s="348">
        <v>154204776.62387502</v>
      </c>
      <c r="P429" s="369"/>
      <c r="Q429" s="350">
        <f t="shared" si="189"/>
        <v>21414594.863482311</v>
      </c>
      <c r="R429" s="350">
        <f t="shared" si="190"/>
        <v>20710508.29010807</v>
      </c>
      <c r="S429" s="350">
        <f t="shared" si="191"/>
        <v>19991526.866967399</v>
      </c>
      <c r="T429" s="350">
        <f t="shared" si="192"/>
        <v>19216607.217414528</v>
      </c>
      <c r="U429" s="350">
        <f t="shared" si="193"/>
        <v>18351695.352016553</v>
      </c>
      <c r="V429" s="350">
        <f t="shared" si="194"/>
        <v>99684932.589988843</v>
      </c>
      <c r="W429" s="365"/>
      <c r="X429" s="377">
        <f t="shared" si="172"/>
        <v>0</v>
      </c>
      <c r="Y429" s="377">
        <f t="shared" si="173"/>
        <v>0</v>
      </c>
      <c r="Z429" s="377">
        <f t="shared" si="174"/>
        <v>0</v>
      </c>
      <c r="AA429" s="377">
        <f t="shared" si="175"/>
        <v>0</v>
      </c>
      <c r="AB429" s="377">
        <f t="shared" si="176"/>
        <v>0</v>
      </c>
      <c r="AC429" s="377">
        <f t="shared" si="177"/>
        <v>0</v>
      </c>
      <c r="AD429" s="376"/>
      <c r="AE429" s="332">
        <v>414</v>
      </c>
      <c r="AF429" s="350">
        <v>603164.22347277752</v>
      </c>
      <c r="AG429" s="350">
        <v>600990.61157262139</v>
      </c>
      <c r="AH429" s="350">
        <v>598639.95686722395</v>
      </c>
      <c r="AI429" s="350">
        <v>595819.84335340245</v>
      </c>
      <c r="AJ429" s="350">
        <v>592271.2222972539</v>
      </c>
      <c r="AK429" s="348">
        <v>2990885.8575632791</v>
      </c>
      <c r="AL429" s="369"/>
      <c r="AM429" s="350">
        <v>14726739.743976057</v>
      </c>
      <c r="AN429" s="350">
        <v>14592614.178404188</v>
      </c>
      <c r="AO429" s="350">
        <v>14446092.132085716</v>
      </c>
      <c r="AP429" s="350">
        <v>14259519.121619837</v>
      </c>
      <c r="AQ429" s="350">
        <v>14009239.121341521</v>
      </c>
      <c r="AR429" s="348">
        <v>72034204.297427326</v>
      </c>
      <c r="AS429" s="369"/>
      <c r="AT429" s="350">
        <f t="shared" si="195"/>
        <v>14123575.520503279</v>
      </c>
      <c r="AU429" s="350">
        <f t="shared" si="178"/>
        <v>13991623.566831566</v>
      </c>
      <c r="AV429" s="350">
        <f t="shared" si="179"/>
        <v>13847452.175218493</v>
      </c>
      <c r="AW429" s="350">
        <f t="shared" si="180"/>
        <v>13663699.278266435</v>
      </c>
      <c r="AX429" s="350">
        <f t="shared" si="181"/>
        <v>13416967.899044268</v>
      </c>
      <c r="AY429" s="350">
        <f t="shared" si="182"/>
        <v>69043318.439864054</v>
      </c>
      <c r="AZ429" s="365"/>
      <c r="BA429" s="377">
        <f t="shared" si="183"/>
        <v>0</v>
      </c>
      <c r="BB429" s="377">
        <f t="shared" si="184"/>
        <v>0</v>
      </c>
      <c r="BC429" s="377">
        <f t="shared" si="185"/>
        <v>0</v>
      </c>
      <c r="BD429" s="377">
        <f t="shared" si="186"/>
        <v>0</v>
      </c>
      <c r="BE429" s="377">
        <f t="shared" si="187"/>
        <v>0</v>
      </c>
      <c r="BF429" s="377">
        <f t="shared" si="188"/>
        <v>0</v>
      </c>
      <c r="BG429" s="328"/>
    </row>
    <row r="430" spans="2:59">
      <c r="B430" s="332">
        <v>415</v>
      </c>
      <c r="C430" s="350">
        <v>5741218.6071979385</v>
      </c>
      <c r="D430" s="350">
        <v>5720529.0825206386</v>
      </c>
      <c r="E430" s="350">
        <v>5698154.3759174813</v>
      </c>
      <c r="F430" s="350">
        <v>5671311.1256883116</v>
      </c>
      <c r="G430" s="350">
        <v>5637533.5764826369</v>
      </c>
      <c r="H430" s="348">
        <v>28468746.767807007</v>
      </c>
      <c r="I430" s="369"/>
      <c r="J430" s="350">
        <v>16164839.453937128</v>
      </c>
      <c r="K430" s="350">
        <v>15781962.174617346</v>
      </c>
      <c r="L430" s="350">
        <v>15390289.936380733</v>
      </c>
      <c r="M430" s="350">
        <v>14967078.531871669</v>
      </c>
      <c r="N430" s="350">
        <v>14493341.225343581</v>
      </c>
      <c r="O430" s="348">
        <v>76797511.322150454</v>
      </c>
      <c r="P430" s="369"/>
      <c r="Q430" s="350">
        <f t="shared" si="189"/>
        <v>10423620.84673919</v>
      </c>
      <c r="R430" s="350">
        <f t="shared" si="190"/>
        <v>10061433.092096709</v>
      </c>
      <c r="S430" s="350">
        <f t="shared" si="191"/>
        <v>9692135.5604632515</v>
      </c>
      <c r="T430" s="350">
        <f t="shared" si="192"/>
        <v>9295767.4061833583</v>
      </c>
      <c r="U430" s="350">
        <f t="shared" si="193"/>
        <v>8855807.6488609444</v>
      </c>
      <c r="V430" s="350">
        <f t="shared" si="194"/>
        <v>48328764.554343447</v>
      </c>
      <c r="W430" s="365"/>
      <c r="X430" s="377">
        <f t="shared" si="172"/>
        <v>0</v>
      </c>
      <c r="Y430" s="377">
        <f t="shared" si="173"/>
        <v>0</v>
      </c>
      <c r="Z430" s="377">
        <f t="shared" si="174"/>
        <v>0</v>
      </c>
      <c r="AA430" s="377">
        <f t="shared" si="175"/>
        <v>0</v>
      </c>
      <c r="AB430" s="377">
        <f t="shared" si="176"/>
        <v>0</v>
      </c>
      <c r="AC430" s="377">
        <f t="shared" si="177"/>
        <v>0</v>
      </c>
      <c r="AD430" s="376"/>
      <c r="AE430" s="332">
        <v>415</v>
      </c>
      <c r="AF430" s="350">
        <v>559557.39418938034</v>
      </c>
      <c r="AG430" s="350">
        <v>557540.92742378241</v>
      </c>
      <c r="AH430" s="350">
        <v>555360.21747713152</v>
      </c>
      <c r="AI430" s="350">
        <v>552743.989080781</v>
      </c>
      <c r="AJ430" s="350">
        <v>549451.92188934272</v>
      </c>
      <c r="AK430" s="348">
        <v>2774654.4500604183</v>
      </c>
      <c r="AL430" s="369"/>
      <c r="AM430" s="350">
        <v>16748503.99989567</v>
      </c>
      <c r="AN430" s="350">
        <v>16601830.040778005</v>
      </c>
      <c r="AO430" s="350">
        <v>16440937.98188114</v>
      </c>
      <c r="AP430" s="350">
        <v>16234187.365762094</v>
      </c>
      <c r="AQ430" s="350">
        <v>15954500.837705677</v>
      </c>
      <c r="AR430" s="348">
        <v>81979960.226022586</v>
      </c>
      <c r="AS430" s="369"/>
      <c r="AT430" s="350">
        <f t="shared" si="195"/>
        <v>16188946.605706289</v>
      </c>
      <c r="AU430" s="350">
        <f t="shared" si="178"/>
        <v>16044289.113354223</v>
      </c>
      <c r="AV430" s="350">
        <f t="shared" si="179"/>
        <v>15885577.764404008</v>
      </c>
      <c r="AW430" s="350">
        <f t="shared" si="180"/>
        <v>15681443.376681313</v>
      </c>
      <c r="AX430" s="350">
        <f t="shared" si="181"/>
        <v>15405048.915816335</v>
      </c>
      <c r="AY430" s="350">
        <f t="shared" si="182"/>
        <v>79205305.775962174</v>
      </c>
      <c r="AZ430" s="365"/>
      <c r="BA430" s="377">
        <f t="shared" si="183"/>
        <v>0</v>
      </c>
      <c r="BB430" s="377">
        <f t="shared" si="184"/>
        <v>0</v>
      </c>
      <c r="BC430" s="377">
        <f t="shared" si="185"/>
        <v>0</v>
      </c>
      <c r="BD430" s="377">
        <f t="shared" si="186"/>
        <v>0</v>
      </c>
      <c r="BE430" s="377">
        <f t="shared" si="187"/>
        <v>0</v>
      </c>
      <c r="BF430" s="377">
        <f t="shared" si="188"/>
        <v>0</v>
      </c>
      <c r="BG430" s="328"/>
    </row>
    <row r="431" spans="2:59">
      <c r="B431" s="332">
        <v>416</v>
      </c>
      <c r="C431" s="350">
        <v>5660381.5018149838</v>
      </c>
      <c r="D431" s="350">
        <v>5639983.2883385075</v>
      </c>
      <c r="E431" s="350">
        <v>5617923.6205170704</v>
      </c>
      <c r="F431" s="350">
        <v>5591458.3267455902</v>
      </c>
      <c r="G431" s="350">
        <v>5558156.3698299024</v>
      </c>
      <c r="H431" s="348">
        <v>28067903.107246056</v>
      </c>
      <c r="I431" s="369"/>
      <c r="J431" s="350">
        <v>21265467.375839107</v>
      </c>
      <c r="K431" s="350">
        <v>20849578.561147716</v>
      </c>
      <c r="L431" s="350">
        <v>20420326.740521185</v>
      </c>
      <c r="M431" s="350">
        <v>19944955.372281745</v>
      </c>
      <c r="N431" s="350">
        <v>19395886.279269598</v>
      </c>
      <c r="O431" s="348">
        <v>101876214.32905936</v>
      </c>
      <c r="P431" s="369"/>
      <c r="Q431" s="350">
        <f t="shared" si="189"/>
        <v>15605085.874024123</v>
      </c>
      <c r="R431" s="350">
        <f t="shared" si="190"/>
        <v>15209595.272809207</v>
      </c>
      <c r="S431" s="350">
        <f t="shared" si="191"/>
        <v>14802403.120004114</v>
      </c>
      <c r="T431" s="350">
        <f t="shared" si="192"/>
        <v>14353497.045536155</v>
      </c>
      <c r="U431" s="350">
        <f t="shared" si="193"/>
        <v>13837729.909439696</v>
      </c>
      <c r="V431" s="350">
        <f t="shared" si="194"/>
        <v>73808311.221813306</v>
      </c>
      <c r="W431" s="365"/>
      <c r="X431" s="377">
        <f t="shared" si="172"/>
        <v>0</v>
      </c>
      <c r="Y431" s="377">
        <f t="shared" si="173"/>
        <v>0</v>
      </c>
      <c r="Z431" s="377">
        <f t="shared" si="174"/>
        <v>0</v>
      </c>
      <c r="AA431" s="377">
        <f t="shared" si="175"/>
        <v>0</v>
      </c>
      <c r="AB431" s="377">
        <f t="shared" si="176"/>
        <v>0</v>
      </c>
      <c r="AC431" s="377">
        <f t="shared" si="177"/>
        <v>0</v>
      </c>
      <c r="AD431" s="376"/>
      <c r="AE431" s="332">
        <v>416</v>
      </c>
      <c r="AF431" s="350">
        <v>468015.47356467962</v>
      </c>
      <c r="AG431" s="350">
        <v>466328.89474715554</v>
      </c>
      <c r="AH431" s="350">
        <v>464504.94244308933</v>
      </c>
      <c r="AI431" s="350">
        <v>462316.72120861674</v>
      </c>
      <c r="AJ431" s="350">
        <v>459563.22639002034</v>
      </c>
      <c r="AK431" s="348">
        <v>2320729.2583535616</v>
      </c>
      <c r="AL431" s="369"/>
      <c r="AM431" s="350">
        <v>12730623.694972549</v>
      </c>
      <c r="AN431" s="350">
        <v>12617155.267738827</v>
      </c>
      <c r="AO431" s="350">
        <v>12492920.038038054</v>
      </c>
      <c r="AP431" s="350">
        <v>12333931.90494754</v>
      </c>
      <c r="AQ431" s="350">
        <v>12119667.897672128</v>
      </c>
      <c r="AR431" s="348">
        <v>62294298.803369105</v>
      </c>
      <c r="AS431" s="369"/>
      <c r="AT431" s="350">
        <f t="shared" si="195"/>
        <v>12262608.22140787</v>
      </c>
      <c r="AU431" s="350">
        <f t="shared" si="178"/>
        <v>12150826.372991672</v>
      </c>
      <c r="AV431" s="350">
        <f t="shared" si="179"/>
        <v>12028415.095594965</v>
      </c>
      <c r="AW431" s="350">
        <f t="shared" si="180"/>
        <v>11871615.183738923</v>
      </c>
      <c r="AX431" s="350">
        <f t="shared" si="181"/>
        <v>11660104.671282107</v>
      </c>
      <c r="AY431" s="350">
        <f t="shared" si="182"/>
        <v>59973569.545015544</v>
      </c>
      <c r="AZ431" s="365"/>
      <c r="BA431" s="377">
        <f t="shared" si="183"/>
        <v>0</v>
      </c>
      <c r="BB431" s="377">
        <f t="shared" si="184"/>
        <v>0</v>
      </c>
      <c r="BC431" s="377">
        <f t="shared" si="185"/>
        <v>0</v>
      </c>
      <c r="BD431" s="377">
        <f t="shared" si="186"/>
        <v>0</v>
      </c>
      <c r="BE431" s="377">
        <f t="shared" si="187"/>
        <v>0</v>
      </c>
      <c r="BF431" s="377">
        <f t="shared" si="188"/>
        <v>0</v>
      </c>
      <c r="BG431" s="328"/>
    </row>
    <row r="432" spans="2:59">
      <c r="B432" s="332">
        <v>417</v>
      </c>
      <c r="C432" s="350">
        <v>7583498.5793994796</v>
      </c>
      <c r="D432" s="350">
        <v>7556170.0640208703</v>
      </c>
      <c r="E432" s="350">
        <v>7526615.6144608436</v>
      </c>
      <c r="F432" s="350">
        <v>7491158.7256177403</v>
      </c>
      <c r="G432" s="350">
        <v>7446542.4143531425</v>
      </c>
      <c r="H432" s="348">
        <v>37603985.397852078</v>
      </c>
      <c r="I432" s="369"/>
      <c r="J432" s="350">
        <v>22763592.908335052</v>
      </c>
      <c r="K432" s="350">
        <v>22247681.006406225</v>
      </c>
      <c r="L432" s="350">
        <v>21718908.883768145</v>
      </c>
      <c r="M432" s="350">
        <v>21144496.486428145</v>
      </c>
      <c r="N432" s="350">
        <v>20497017.425711133</v>
      </c>
      <c r="O432" s="348">
        <v>108371696.71064869</v>
      </c>
      <c r="P432" s="369"/>
      <c r="Q432" s="350">
        <f t="shared" si="189"/>
        <v>15180094.328935573</v>
      </c>
      <c r="R432" s="350">
        <f t="shared" si="190"/>
        <v>14691510.942385355</v>
      </c>
      <c r="S432" s="350">
        <f t="shared" si="191"/>
        <v>14192293.2693073</v>
      </c>
      <c r="T432" s="350">
        <f t="shared" si="192"/>
        <v>13653337.760810405</v>
      </c>
      <c r="U432" s="350">
        <f t="shared" si="193"/>
        <v>13050475.011357989</v>
      </c>
      <c r="V432" s="350">
        <f t="shared" si="194"/>
        <v>70767711.312796608</v>
      </c>
      <c r="W432" s="365"/>
      <c r="X432" s="377">
        <f t="shared" si="172"/>
        <v>0</v>
      </c>
      <c r="Y432" s="377">
        <f t="shared" si="173"/>
        <v>0</v>
      </c>
      <c r="Z432" s="377">
        <f t="shared" si="174"/>
        <v>0</v>
      </c>
      <c r="AA432" s="377">
        <f t="shared" si="175"/>
        <v>0</v>
      </c>
      <c r="AB432" s="377">
        <f t="shared" si="176"/>
        <v>0</v>
      </c>
      <c r="AC432" s="377">
        <f t="shared" si="177"/>
        <v>0</v>
      </c>
      <c r="AD432" s="376"/>
      <c r="AE432" s="332">
        <v>417</v>
      </c>
      <c r="AF432" s="350">
        <v>327260.30607636226</v>
      </c>
      <c r="AG432" s="350">
        <v>326080.96408614807</v>
      </c>
      <c r="AH432" s="350">
        <v>324805.56354276207</v>
      </c>
      <c r="AI432" s="350">
        <v>323275.44757137779</v>
      </c>
      <c r="AJ432" s="350">
        <v>321350.06345907453</v>
      </c>
      <c r="AK432" s="348">
        <v>1622772.3447357249</v>
      </c>
      <c r="AL432" s="369"/>
      <c r="AM432" s="350">
        <v>8036066.8083530301</v>
      </c>
      <c r="AN432" s="350">
        <v>7962964.2805539342</v>
      </c>
      <c r="AO432" s="350">
        <v>7883095.4834389435</v>
      </c>
      <c r="AP432" s="350">
        <v>7781367.1497338219</v>
      </c>
      <c r="AQ432" s="350">
        <v>7644868.1179219391</v>
      </c>
      <c r="AR432" s="348">
        <v>39308361.840001673</v>
      </c>
      <c r="AS432" s="369"/>
      <c r="AT432" s="350">
        <f t="shared" si="195"/>
        <v>7708806.5022766683</v>
      </c>
      <c r="AU432" s="350">
        <f t="shared" si="178"/>
        <v>7636883.3164677862</v>
      </c>
      <c r="AV432" s="350">
        <f t="shared" si="179"/>
        <v>7558289.9198961817</v>
      </c>
      <c r="AW432" s="350">
        <f t="shared" si="180"/>
        <v>7458091.7021624437</v>
      </c>
      <c r="AX432" s="350">
        <f t="shared" si="181"/>
        <v>7323518.054462865</v>
      </c>
      <c r="AY432" s="350">
        <f t="shared" si="182"/>
        <v>37685589.495265946</v>
      </c>
      <c r="AZ432" s="365"/>
      <c r="BA432" s="377">
        <f t="shared" si="183"/>
        <v>0</v>
      </c>
      <c r="BB432" s="377">
        <f t="shared" si="184"/>
        <v>0</v>
      </c>
      <c r="BC432" s="377">
        <f t="shared" si="185"/>
        <v>0</v>
      </c>
      <c r="BD432" s="377">
        <f t="shared" si="186"/>
        <v>0</v>
      </c>
      <c r="BE432" s="377">
        <f t="shared" si="187"/>
        <v>0</v>
      </c>
      <c r="BF432" s="377">
        <f t="shared" si="188"/>
        <v>0</v>
      </c>
      <c r="BG432" s="328"/>
    </row>
    <row r="433" spans="2:59">
      <c r="B433" s="332">
        <v>418</v>
      </c>
      <c r="C433" s="350">
        <v>5620109.6395901442</v>
      </c>
      <c r="D433" s="350">
        <v>5599856.5530883251</v>
      </c>
      <c r="E433" s="350">
        <v>5577953.832974907</v>
      </c>
      <c r="F433" s="350">
        <v>5551676.8315763297</v>
      </c>
      <c r="G433" s="350">
        <v>5518611.8077755384</v>
      </c>
      <c r="H433" s="348">
        <v>27868208.665005244</v>
      </c>
      <c r="I433" s="369"/>
      <c r="J433" s="350">
        <v>17076335.351907078</v>
      </c>
      <c r="K433" s="350">
        <v>16692507.600539546</v>
      </c>
      <c r="L433" s="350">
        <v>16298967.513721995</v>
      </c>
      <c r="M433" s="350">
        <v>15871021.824911691</v>
      </c>
      <c r="N433" s="350">
        <v>15388001.917003497</v>
      </c>
      <c r="O433" s="348">
        <v>81326834.208083808</v>
      </c>
      <c r="P433" s="369"/>
      <c r="Q433" s="350">
        <f t="shared" si="189"/>
        <v>11456225.712316934</v>
      </c>
      <c r="R433" s="350">
        <f t="shared" si="190"/>
        <v>11092651.04745122</v>
      </c>
      <c r="S433" s="350">
        <f t="shared" si="191"/>
        <v>10721013.680747088</v>
      </c>
      <c r="T433" s="350">
        <f t="shared" si="192"/>
        <v>10319344.993335363</v>
      </c>
      <c r="U433" s="350">
        <f t="shared" si="193"/>
        <v>9869390.1092279591</v>
      </c>
      <c r="V433" s="350">
        <f t="shared" si="194"/>
        <v>53458625.543078564</v>
      </c>
      <c r="W433" s="365"/>
      <c r="X433" s="377">
        <f t="shared" si="172"/>
        <v>0</v>
      </c>
      <c r="Y433" s="377">
        <f t="shared" si="173"/>
        <v>0</v>
      </c>
      <c r="Z433" s="377">
        <f t="shared" si="174"/>
        <v>0</v>
      </c>
      <c r="AA433" s="377">
        <f t="shared" si="175"/>
        <v>0</v>
      </c>
      <c r="AB433" s="377">
        <f t="shared" si="176"/>
        <v>0</v>
      </c>
      <c r="AC433" s="377">
        <f t="shared" si="177"/>
        <v>0</v>
      </c>
      <c r="AD433" s="376"/>
      <c r="AE433" s="332">
        <v>418</v>
      </c>
      <c r="AF433" s="350">
        <v>334317.93903913576</v>
      </c>
      <c r="AG433" s="350">
        <v>333113.16358586482</v>
      </c>
      <c r="AH433" s="350">
        <v>331810.25799909717</v>
      </c>
      <c r="AI433" s="350">
        <v>330247.14384028839</v>
      </c>
      <c r="AJ433" s="350">
        <v>328280.23726368166</v>
      </c>
      <c r="AK433" s="348">
        <v>1657768.7417280676</v>
      </c>
      <c r="AL433" s="369"/>
      <c r="AM433" s="350">
        <v>11210930.790676629</v>
      </c>
      <c r="AN433" s="350">
        <v>11114618.415953269</v>
      </c>
      <c r="AO433" s="350">
        <v>11008750.767941587</v>
      </c>
      <c r="AP433" s="350">
        <v>10872088.41671174</v>
      </c>
      <c r="AQ433" s="350">
        <v>10686451.333965067</v>
      </c>
      <c r="AR433" s="348">
        <v>54892839.725248292</v>
      </c>
      <c r="AS433" s="369"/>
      <c r="AT433" s="350">
        <f t="shared" si="195"/>
        <v>10876612.851637494</v>
      </c>
      <c r="AU433" s="350">
        <f t="shared" si="178"/>
        <v>10781505.252367405</v>
      </c>
      <c r="AV433" s="350">
        <f t="shared" si="179"/>
        <v>10676940.509942489</v>
      </c>
      <c r="AW433" s="350">
        <f t="shared" si="180"/>
        <v>10541841.272871451</v>
      </c>
      <c r="AX433" s="350">
        <f t="shared" si="181"/>
        <v>10358171.096701385</v>
      </c>
      <c r="AY433" s="350">
        <f t="shared" si="182"/>
        <v>53235070.983520225</v>
      </c>
      <c r="AZ433" s="365"/>
      <c r="BA433" s="377">
        <f t="shared" si="183"/>
        <v>0</v>
      </c>
      <c r="BB433" s="377">
        <f t="shared" si="184"/>
        <v>0</v>
      </c>
      <c r="BC433" s="377">
        <f t="shared" si="185"/>
        <v>0</v>
      </c>
      <c r="BD433" s="377">
        <f t="shared" si="186"/>
        <v>0</v>
      </c>
      <c r="BE433" s="377">
        <f t="shared" si="187"/>
        <v>0</v>
      </c>
      <c r="BF433" s="377">
        <f t="shared" si="188"/>
        <v>0</v>
      </c>
      <c r="BG433" s="328"/>
    </row>
    <row r="434" spans="2:59">
      <c r="B434" s="332">
        <v>419</v>
      </c>
      <c r="C434" s="350">
        <v>5147235.6297292076</v>
      </c>
      <c r="D434" s="350">
        <v>5128686.6306634601</v>
      </c>
      <c r="E434" s="350">
        <v>5108626.797566683</v>
      </c>
      <c r="F434" s="350">
        <v>5084560.7336435821</v>
      </c>
      <c r="G434" s="350">
        <v>5054277.7890891964</v>
      </c>
      <c r="H434" s="348">
        <v>25523387.580692127</v>
      </c>
      <c r="I434" s="369"/>
      <c r="J434" s="350">
        <v>17421715.263393801</v>
      </c>
      <c r="K434" s="350">
        <v>17057337.846520398</v>
      </c>
      <c r="L434" s="350">
        <v>16682495.955048919</v>
      </c>
      <c r="M434" s="350">
        <v>16271117.984587759</v>
      </c>
      <c r="N434" s="350">
        <v>15801311.300998103</v>
      </c>
      <c r="O434" s="348">
        <v>83233978.350548983</v>
      </c>
      <c r="P434" s="369"/>
      <c r="Q434" s="350">
        <f t="shared" si="189"/>
        <v>12274479.633664593</v>
      </c>
      <c r="R434" s="350">
        <f t="shared" si="190"/>
        <v>11928651.215856938</v>
      </c>
      <c r="S434" s="350">
        <f t="shared" si="191"/>
        <v>11573869.157482237</v>
      </c>
      <c r="T434" s="350">
        <f t="shared" si="192"/>
        <v>11186557.250944177</v>
      </c>
      <c r="U434" s="350">
        <f t="shared" si="193"/>
        <v>10747033.511908907</v>
      </c>
      <c r="V434" s="350">
        <f t="shared" si="194"/>
        <v>57710590.769856855</v>
      </c>
      <c r="W434" s="365"/>
      <c r="X434" s="377">
        <f t="shared" si="172"/>
        <v>0</v>
      </c>
      <c r="Y434" s="377">
        <f t="shared" si="173"/>
        <v>0</v>
      </c>
      <c r="Z434" s="377">
        <f t="shared" si="174"/>
        <v>0</v>
      </c>
      <c r="AA434" s="377">
        <f t="shared" si="175"/>
        <v>0</v>
      </c>
      <c r="AB434" s="377">
        <f t="shared" si="176"/>
        <v>0</v>
      </c>
      <c r="AC434" s="377">
        <f t="shared" si="177"/>
        <v>0</v>
      </c>
      <c r="AD434" s="376"/>
      <c r="AE434" s="332">
        <v>419</v>
      </c>
      <c r="AF434" s="350">
        <v>401031.16172450228</v>
      </c>
      <c r="AG434" s="350">
        <v>399585.97304862383</v>
      </c>
      <c r="AH434" s="350">
        <v>398023.07234822895</v>
      </c>
      <c r="AI434" s="350">
        <v>396148.03839457181</v>
      </c>
      <c r="AJ434" s="350">
        <v>393788.63515199616</v>
      </c>
      <c r="AK434" s="348">
        <v>1988576.880667923</v>
      </c>
      <c r="AL434" s="369"/>
      <c r="AM434" s="350">
        <v>14967730.808270691</v>
      </c>
      <c r="AN434" s="350">
        <v>14841246.562364703</v>
      </c>
      <c r="AO434" s="350">
        <v>14701962.122288613</v>
      </c>
      <c r="AP434" s="350">
        <v>14521452.787652744</v>
      </c>
      <c r="AQ434" s="350">
        <v>14275384.103729663</v>
      </c>
      <c r="AR434" s="348">
        <v>73307776.384306416</v>
      </c>
      <c r="AS434" s="369"/>
      <c r="AT434" s="350">
        <f t="shared" si="195"/>
        <v>14566699.646546189</v>
      </c>
      <c r="AU434" s="350">
        <f t="shared" si="178"/>
        <v>14441660.589316079</v>
      </c>
      <c r="AV434" s="350">
        <f t="shared" si="179"/>
        <v>14303939.049940383</v>
      </c>
      <c r="AW434" s="350">
        <f t="shared" si="180"/>
        <v>14125304.749258172</v>
      </c>
      <c r="AX434" s="350">
        <f t="shared" si="181"/>
        <v>13881595.468577668</v>
      </c>
      <c r="AY434" s="350">
        <f t="shared" si="182"/>
        <v>71319199.503638491</v>
      </c>
      <c r="AZ434" s="365"/>
      <c r="BA434" s="377">
        <f t="shared" si="183"/>
        <v>0</v>
      </c>
      <c r="BB434" s="377">
        <f t="shared" si="184"/>
        <v>0</v>
      </c>
      <c r="BC434" s="377">
        <f t="shared" si="185"/>
        <v>0</v>
      </c>
      <c r="BD434" s="377">
        <f t="shared" si="186"/>
        <v>0</v>
      </c>
      <c r="BE434" s="377">
        <f t="shared" si="187"/>
        <v>0</v>
      </c>
      <c r="BF434" s="377">
        <f t="shared" si="188"/>
        <v>0</v>
      </c>
      <c r="BG434" s="328"/>
    </row>
    <row r="435" spans="2:59">
      <c r="B435" s="332">
        <v>420</v>
      </c>
      <c r="C435" s="350">
        <v>6198772.5479588136</v>
      </c>
      <c r="D435" s="350">
        <v>6176434.144498758</v>
      </c>
      <c r="E435" s="350">
        <v>6152276.2563308366</v>
      </c>
      <c r="F435" s="350">
        <v>6123293.6980966059</v>
      </c>
      <c r="G435" s="350">
        <v>6086824.2028415464</v>
      </c>
      <c r="H435" s="348">
        <v>30737600.849726561</v>
      </c>
      <c r="I435" s="369"/>
      <c r="J435" s="350">
        <v>18609622.567454625</v>
      </c>
      <c r="K435" s="350">
        <v>18187896.029336024</v>
      </c>
      <c r="L435" s="350">
        <v>17755655.222689707</v>
      </c>
      <c r="M435" s="350">
        <v>17286100.60091269</v>
      </c>
      <c r="N435" s="350">
        <v>16756809.437083423</v>
      </c>
      <c r="O435" s="348">
        <v>88596083.857476473</v>
      </c>
      <c r="P435" s="369"/>
      <c r="Q435" s="350">
        <f t="shared" si="189"/>
        <v>12410850.019495811</v>
      </c>
      <c r="R435" s="350">
        <f t="shared" si="190"/>
        <v>12011461.884837266</v>
      </c>
      <c r="S435" s="350">
        <f t="shared" si="191"/>
        <v>11603378.96635887</v>
      </c>
      <c r="T435" s="350">
        <f t="shared" si="192"/>
        <v>11162806.902816083</v>
      </c>
      <c r="U435" s="350">
        <f t="shared" si="193"/>
        <v>10669985.234241877</v>
      </c>
      <c r="V435" s="350">
        <f t="shared" si="194"/>
        <v>57858483.007749915</v>
      </c>
      <c r="W435" s="365"/>
      <c r="X435" s="377">
        <f t="shared" si="172"/>
        <v>0</v>
      </c>
      <c r="Y435" s="377">
        <f t="shared" si="173"/>
        <v>0</v>
      </c>
      <c r="Z435" s="377">
        <f t="shared" si="174"/>
        <v>0</v>
      </c>
      <c r="AA435" s="377">
        <f t="shared" si="175"/>
        <v>0</v>
      </c>
      <c r="AB435" s="377">
        <f t="shared" si="176"/>
        <v>0</v>
      </c>
      <c r="AC435" s="377">
        <f t="shared" si="177"/>
        <v>0</v>
      </c>
      <c r="AD435" s="376"/>
      <c r="AE435" s="332">
        <v>420</v>
      </c>
      <c r="AF435" s="350">
        <v>386876.97282662307</v>
      </c>
      <c r="AG435" s="350">
        <v>385482.79134286277</v>
      </c>
      <c r="AH435" s="350">
        <v>383975.0524200389</v>
      </c>
      <c r="AI435" s="350">
        <v>382166.19682682591</v>
      </c>
      <c r="AJ435" s="350">
        <v>379890.06750999222</v>
      </c>
      <c r="AK435" s="348">
        <v>1918391.0809263429</v>
      </c>
      <c r="AL435" s="369"/>
      <c r="AM435" s="350">
        <v>13099922.903501878</v>
      </c>
      <c r="AN435" s="350">
        <v>12987557.330340335</v>
      </c>
      <c r="AO435" s="350">
        <v>12864022.889020905</v>
      </c>
      <c r="AP435" s="350">
        <v>12704495.747683084</v>
      </c>
      <c r="AQ435" s="350">
        <v>12487727.440647773</v>
      </c>
      <c r="AR435" s="348">
        <v>64143726.311193973</v>
      </c>
      <c r="AS435" s="369"/>
      <c r="AT435" s="350">
        <f t="shared" si="195"/>
        <v>12713045.930675255</v>
      </c>
      <c r="AU435" s="350">
        <f t="shared" si="178"/>
        <v>12602074.538997473</v>
      </c>
      <c r="AV435" s="350">
        <f t="shared" si="179"/>
        <v>12480047.836600866</v>
      </c>
      <c r="AW435" s="350">
        <f t="shared" si="180"/>
        <v>12322329.550856257</v>
      </c>
      <c r="AX435" s="350">
        <f t="shared" si="181"/>
        <v>12107837.373137781</v>
      </c>
      <c r="AY435" s="350">
        <f t="shared" si="182"/>
        <v>62225335.230267629</v>
      </c>
      <c r="AZ435" s="365"/>
      <c r="BA435" s="377">
        <f t="shared" si="183"/>
        <v>0</v>
      </c>
      <c r="BB435" s="377">
        <f t="shared" si="184"/>
        <v>0</v>
      </c>
      <c r="BC435" s="377">
        <f t="shared" si="185"/>
        <v>0</v>
      </c>
      <c r="BD435" s="377">
        <f t="shared" si="186"/>
        <v>0</v>
      </c>
      <c r="BE435" s="377">
        <f t="shared" si="187"/>
        <v>0</v>
      </c>
      <c r="BF435" s="377">
        <f t="shared" si="188"/>
        <v>0</v>
      </c>
      <c r="BG435" s="328"/>
    </row>
    <row r="436" spans="2:59">
      <c r="B436" s="332">
        <v>421</v>
      </c>
      <c r="C436" s="350">
        <v>6334898.9898427948</v>
      </c>
      <c r="D436" s="350">
        <v>6312070.0300093833</v>
      </c>
      <c r="E436" s="350">
        <v>6287381.6291739484</v>
      </c>
      <c r="F436" s="350">
        <v>6257762.6074304339</v>
      </c>
      <c r="G436" s="350">
        <v>6220492.233842128</v>
      </c>
      <c r="H436" s="348">
        <v>31412605.490298688</v>
      </c>
      <c r="I436" s="369"/>
      <c r="J436" s="350">
        <v>22072333.833289173</v>
      </c>
      <c r="K436" s="350">
        <v>21619334.510709837</v>
      </c>
      <c r="L436" s="350">
        <v>21152900.727621038</v>
      </c>
      <c r="M436" s="350">
        <v>20639721.979176532</v>
      </c>
      <c r="N436" s="350">
        <v>20051805.449237876</v>
      </c>
      <c r="O436" s="348">
        <v>105536096.50003445</v>
      </c>
      <c r="P436" s="369"/>
      <c r="Q436" s="350">
        <f t="shared" si="189"/>
        <v>15737434.843446378</v>
      </c>
      <c r="R436" s="350">
        <f t="shared" si="190"/>
        <v>15307264.480700454</v>
      </c>
      <c r="S436" s="350">
        <f t="shared" si="191"/>
        <v>14865519.098447088</v>
      </c>
      <c r="T436" s="350">
        <f t="shared" si="192"/>
        <v>14381959.371746099</v>
      </c>
      <c r="U436" s="350">
        <f t="shared" si="193"/>
        <v>13831313.215395749</v>
      </c>
      <c r="V436" s="350">
        <f t="shared" si="194"/>
        <v>74123491.009735763</v>
      </c>
      <c r="W436" s="365"/>
      <c r="X436" s="377">
        <f t="shared" si="172"/>
        <v>0</v>
      </c>
      <c r="Y436" s="377">
        <f t="shared" si="173"/>
        <v>0</v>
      </c>
      <c r="Z436" s="377">
        <f t="shared" si="174"/>
        <v>0</v>
      </c>
      <c r="AA436" s="377">
        <f t="shared" si="175"/>
        <v>0</v>
      </c>
      <c r="AB436" s="377">
        <f t="shared" si="176"/>
        <v>0</v>
      </c>
      <c r="AC436" s="377">
        <f t="shared" si="177"/>
        <v>0</v>
      </c>
      <c r="AD436" s="376"/>
      <c r="AE436" s="332">
        <v>421</v>
      </c>
      <c r="AF436" s="350">
        <v>476815.82162089273</v>
      </c>
      <c r="AG436" s="350">
        <v>475097.52914974664</v>
      </c>
      <c r="AH436" s="350">
        <v>473239.28008409793</v>
      </c>
      <c r="AI436" s="350">
        <v>471009.91254234471</v>
      </c>
      <c r="AJ436" s="350">
        <v>468204.64227156073</v>
      </c>
      <c r="AK436" s="348">
        <v>2364367.1856686426</v>
      </c>
      <c r="AL436" s="369"/>
      <c r="AM436" s="350">
        <v>16347730.757058922</v>
      </c>
      <c r="AN436" s="350">
        <v>16207784.220711824</v>
      </c>
      <c r="AO436" s="350">
        <v>16053894.10294082</v>
      </c>
      <c r="AP436" s="350">
        <v>15855073.147909151</v>
      </c>
      <c r="AQ436" s="350">
        <v>15584796.634384088</v>
      </c>
      <c r="AR436" s="348">
        <v>80049278.863004804</v>
      </c>
      <c r="AS436" s="369"/>
      <c r="AT436" s="350">
        <f t="shared" si="195"/>
        <v>15870914.935438029</v>
      </c>
      <c r="AU436" s="350">
        <f t="shared" si="178"/>
        <v>15732686.691562077</v>
      </c>
      <c r="AV436" s="350">
        <f t="shared" si="179"/>
        <v>15580654.822856722</v>
      </c>
      <c r="AW436" s="350">
        <f t="shared" si="180"/>
        <v>15384063.235366806</v>
      </c>
      <c r="AX436" s="350">
        <f t="shared" si="181"/>
        <v>15116591.992112527</v>
      </c>
      <c r="AY436" s="350">
        <f t="shared" si="182"/>
        <v>77684911.677336156</v>
      </c>
      <c r="AZ436" s="365"/>
      <c r="BA436" s="377">
        <f t="shared" si="183"/>
        <v>0</v>
      </c>
      <c r="BB436" s="377">
        <f t="shared" si="184"/>
        <v>0</v>
      </c>
      <c r="BC436" s="377">
        <f t="shared" si="185"/>
        <v>0</v>
      </c>
      <c r="BD436" s="377">
        <f t="shared" si="186"/>
        <v>0</v>
      </c>
      <c r="BE436" s="377">
        <f t="shared" si="187"/>
        <v>0</v>
      </c>
      <c r="BF436" s="377">
        <f t="shared" si="188"/>
        <v>0</v>
      </c>
      <c r="BG436" s="328"/>
    </row>
    <row r="437" spans="2:59">
      <c r="B437" s="332">
        <v>422</v>
      </c>
      <c r="C437" s="350">
        <v>4430449.9583212221</v>
      </c>
      <c r="D437" s="350">
        <v>4414484.026693169</v>
      </c>
      <c r="E437" s="350">
        <v>4397217.6543914564</v>
      </c>
      <c r="F437" s="350">
        <v>4376502.9446763573</v>
      </c>
      <c r="G437" s="350">
        <v>4350437.0949484166</v>
      </c>
      <c r="H437" s="348">
        <v>21969091.67903062</v>
      </c>
      <c r="I437" s="369"/>
      <c r="J437" s="350">
        <v>16718840.614510858</v>
      </c>
      <c r="K437" s="350">
        <v>16392785.286849748</v>
      </c>
      <c r="L437" s="350">
        <v>16056205.321572859</v>
      </c>
      <c r="M437" s="350">
        <v>15683318.078902295</v>
      </c>
      <c r="N437" s="350">
        <v>15252414.584266504</v>
      </c>
      <c r="O437" s="348">
        <v>80103563.886102274</v>
      </c>
      <c r="P437" s="369"/>
      <c r="Q437" s="350">
        <f t="shared" si="189"/>
        <v>12288390.656189635</v>
      </c>
      <c r="R437" s="350">
        <f t="shared" si="190"/>
        <v>11978301.260156579</v>
      </c>
      <c r="S437" s="350">
        <f t="shared" si="191"/>
        <v>11658987.667181402</v>
      </c>
      <c r="T437" s="350">
        <f t="shared" si="192"/>
        <v>11306815.134225938</v>
      </c>
      <c r="U437" s="350">
        <f t="shared" si="193"/>
        <v>10901977.489318088</v>
      </c>
      <c r="V437" s="350">
        <f t="shared" si="194"/>
        <v>58134472.207071654</v>
      </c>
      <c r="W437" s="365"/>
      <c r="X437" s="377">
        <f t="shared" si="172"/>
        <v>0</v>
      </c>
      <c r="Y437" s="377">
        <f t="shared" si="173"/>
        <v>0</v>
      </c>
      <c r="Z437" s="377">
        <f t="shared" si="174"/>
        <v>0</v>
      </c>
      <c r="AA437" s="377">
        <f t="shared" si="175"/>
        <v>0</v>
      </c>
      <c r="AB437" s="377">
        <f t="shared" si="176"/>
        <v>0</v>
      </c>
      <c r="AC437" s="377">
        <f t="shared" si="177"/>
        <v>0</v>
      </c>
      <c r="AD437" s="376"/>
      <c r="AE437" s="332">
        <v>422</v>
      </c>
      <c r="AF437" s="350">
        <v>365788.56180281594</v>
      </c>
      <c r="AG437" s="350">
        <v>364470.37624085078</v>
      </c>
      <c r="AH437" s="350">
        <v>363044.82318163308</v>
      </c>
      <c r="AI437" s="350">
        <v>361334.5671249954</v>
      </c>
      <c r="AJ437" s="350">
        <v>359182.50813011976</v>
      </c>
      <c r="AK437" s="348">
        <v>1813820.836480415</v>
      </c>
      <c r="AL437" s="369"/>
      <c r="AM437" s="350">
        <v>11566126.951021802</v>
      </c>
      <c r="AN437" s="350">
        <v>11465794.427432511</v>
      </c>
      <c r="AO437" s="350">
        <v>11355623.671154158</v>
      </c>
      <c r="AP437" s="350">
        <v>11213733.607970174</v>
      </c>
      <c r="AQ437" s="350">
        <v>11021396.90076009</v>
      </c>
      <c r="AR437" s="348">
        <v>56622675.558338739</v>
      </c>
      <c r="AS437" s="369"/>
      <c r="AT437" s="350">
        <f t="shared" si="195"/>
        <v>11200338.389218986</v>
      </c>
      <c r="AU437" s="350">
        <f t="shared" si="178"/>
        <v>11101324.05119166</v>
      </c>
      <c r="AV437" s="350">
        <f t="shared" si="179"/>
        <v>10992578.847972525</v>
      </c>
      <c r="AW437" s="350">
        <f t="shared" si="180"/>
        <v>10852399.040845178</v>
      </c>
      <c r="AX437" s="350">
        <f t="shared" si="181"/>
        <v>10662214.39262997</v>
      </c>
      <c r="AY437" s="350">
        <f t="shared" si="182"/>
        <v>54808854.721858323</v>
      </c>
      <c r="AZ437" s="365"/>
      <c r="BA437" s="377">
        <f t="shared" si="183"/>
        <v>0</v>
      </c>
      <c r="BB437" s="377">
        <f t="shared" si="184"/>
        <v>0</v>
      </c>
      <c r="BC437" s="377">
        <f t="shared" si="185"/>
        <v>0</v>
      </c>
      <c r="BD437" s="377">
        <f t="shared" si="186"/>
        <v>0</v>
      </c>
      <c r="BE437" s="377">
        <f t="shared" si="187"/>
        <v>0</v>
      </c>
      <c r="BF437" s="377">
        <f t="shared" si="188"/>
        <v>0</v>
      </c>
      <c r="BG437" s="328"/>
    </row>
    <row r="438" spans="2:59">
      <c r="B438" s="332">
        <v>423</v>
      </c>
      <c r="C438" s="350">
        <v>7655146.2360060737</v>
      </c>
      <c r="D438" s="350">
        <v>7627559.5252754269</v>
      </c>
      <c r="E438" s="350">
        <v>7597725.8501005862</v>
      </c>
      <c r="F438" s="350">
        <v>7561933.9703598693</v>
      </c>
      <c r="G438" s="350">
        <v>7516896.1314698551</v>
      </c>
      <c r="H438" s="348">
        <v>37959261.713211812</v>
      </c>
      <c r="I438" s="369"/>
      <c r="J438" s="350">
        <v>25434573.185027093</v>
      </c>
      <c r="K438" s="350">
        <v>24896086.369901955</v>
      </c>
      <c r="L438" s="350">
        <v>24342455.228603348</v>
      </c>
      <c r="M438" s="350">
        <v>23735827.466578148</v>
      </c>
      <c r="N438" s="350">
        <v>23044434.3454087</v>
      </c>
      <c r="O438" s="348">
        <v>121453376.59551924</v>
      </c>
      <c r="P438" s="369"/>
      <c r="Q438" s="350">
        <f t="shared" si="189"/>
        <v>17779426.949021019</v>
      </c>
      <c r="R438" s="350">
        <f t="shared" si="190"/>
        <v>17268526.844626527</v>
      </c>
      <c r="S438" s="350">
        <f t="shared" si="191"/>
        <v>16744729.378502762</v>
      </c>
      <c r="T438" s="350">
        <f t="shared" si="192"/>
        <v>16173893.496218279</v>
      </c>
      <c r="U438" s="350">
        <f t="shared" si="193"/>
        <v>15527538.213938845</v>
      </c>
      <c r="V438" s="350">
        <f t="shared" si="194"/>
        <v>83494114.88230744</v>
      </c>
      <c r="W438" s="365"/>
      <c r="X438" s="377">
        <f t="shared" si="172"/>
        <v>0</v>
      </c>
      <c r="Y438" s="377">
        <f t="shared" si="173"/>
        <v>0</v>
      </c>
      <c r="Z438" s="377">
        <f t="shared" si="174"/>
        <v>0</v>
      </c>
      <c r="AA438" s="377">
        <f t="shared" si="175"/>
        <v>0</v>
      </c>
      <c r="AB438" s="377">
        <f t="shared" si="176"/>
        <v>0</v>
      </c>
      <c r="AC438" s="377">
        <f t="shared" si="177"/>
        <v>0</v>
      </c>
      <c r="AD438" s="376"/>
      <c r="AE438" s="332">
        <v>423</v>
      </c>
      <c r="AF438" s="350">
        <v>529089.70631404268</v>
      </c>
      <c r="AG438" s="350">
        <v>527183.03539899236</v>
      </c>
      <c r="AH438" s="350">
        <v>525121.06428180053</v>
      </c>
      <c r="AI438" s="350">
        <v>522647.2885293045</v>
      </c>
      <c r="AJ438" s="350">
        <v>519534.47314776975</v>
      </c>
      <c r="AK438" s="348">
        <v>2623575.5676719099</v>
      </c>
      <c r="AL438" s="369"/>
      <c r="AM438" s="350">
        <v>12796724.114160229</v>
      </c>
      <c r="AN438" s="350">
        <v>12679945.657638894</v>
      </c>
      <c r="AO438" s="350">
        <v>12552400.055234903</v>
      </c>
      <c r="AP438" s="350">
        <v>12390064.539196545</v>
      </c>
      <c r="AQ438" s="350">
        <v>12172390.162599435</v>
      </c>
      <c r="AR438" s="348">
        <v>62591524.528830007</v>
      </c>
      <c r="AS438" s="369"/>
      <c r="AT438" s="350">
        <f t="shared" si="195"/>
        <v>12267634.407846186</v>
      </c>
      <c r="AU438" s="350">
        <f t="shared" si="178"/>
        <v>12152762.622239903</v>
      </c>
      <c r="AV438" s="350">
        <f t="shared" si="179"/>
        <v>12027278.990953103</v>
      </c>
      <c r="AW438" s="350">
        <f t="shared" si="180"/>
        <v>11867417.25066724</v>
      </c>
      <c r="AX438" s="350">
        <f t="shared" si="181"/>
        <v>11652855.689451665</v>
      </c>
      <c r="AY438" s="350">
        <f t="shared" si="182"/>
        <v>59967948.961158097</v>
      </c>
      <c r="AZ438" s="365"/>
      <c r="BA438" s="377">
        <f t="shared" si="183"/>
        <v>0</v>
      </c>
      <c r="BB438" s="377">
        <f t="shared" si="184"/>
        <v>0</v>
      </c>
      <c r="BC438" s="377">
        <f t="shared" si="185"/>
        <v>0</v>
      </c>
      <c r="BD438" s="377">
        <f t="shared" si="186"/>
        <v>0</v>
      </c>
      <c r="BE438" s="377">
        <f t="shared" si="187"/>
        <v>0</v>
      </c>
      <c r="BF438" s="377">
        <f t="shared" si="188"/>
        <v>0</v>
      </c>
      <c r="BG438" s="328"/>
    </row>
    <row r="439" spans="2:59">
      <c r="B439" s="332">
        <v>424</v>
      </c>
      <c r="C439" s="350">
        <v>3668196.8702812241</v>
      </c>
      <c r="D439" s="350">
        <v>3654977.8561900822</v>
      </c>
      <c r="E439" s="350">
        <v>3640682.1405327371</v>
      </c>
      <c r="F439" s="350">
        <v>3623531.3693784447</v>
      </c>
      <c r="G439" s="350">
        <v>3601950.1148122652</v>
      </c>
      <c r="H439" s="348">
        <v>18189338.351194754</v>
      </c>
      <c r="I439" s="369"/>
      <c r="J439" s="350">
        <v>18115136.471209619</v>
      </c>
      <c r="K439" s="350">
        <v>17814383.268640392</v>
      </c>
      <c r="L439" s="350">
        <v>17501153.722023256</v>
      </c>
      <c r="M439" s="350">
        <v>17145815.286956754</v>
      </c>
      <c r="N439" s="350">
        <v>16723290.066213634</v>
      </c>
      <c r="O439" s="348">
        <v>87299778.815043658</v>
      </c>
      <c r="P439" s="369"/>
      <c r="Q439" s="350">
        <f t="shared" si="189"/>
        <v>14446939.600928396</v>
      </c>
      <c r="R439" s="350">
        <f t="shared" si="190"/>
        <v>14159405.41245031</v>
      </c>
      <c r="S439" s="350">
        <f t="shared" si="191"/>
        <v>13860471.581490519</v>
      </c>
      <c r="T439" s="350">
        <f t="shared" si="192"/>
        <v>13522283.91757831</v>
      </c>
      <c r="U439" s="350">
        <f t="shared" si="193"/>
        <v>13121339.951401368</v>
      </c>
      <c r="V439" s="350">
        <f t="shared" si="194"/>
        <v>69110440.463848904</v>
      </c>
      <c r="W439" s="365"/>
      <c r="X439" s="377">
        <f t="shared" si="172"/>
        <v>0</v>
      </c>
      <c r="Y439" s="377">
        <f t="shared" si="173"/>
        <v>0</v>
      </c>
      <c r="Z439" s="377">
        <f t="shared" si="174"/>
        <v>0</v>
      </c>
      <c r="AA439" s="377">
        <f t="shared" si="175"/>
        <v>0</v>
      </c>
      <c r="AB439" s="377">
        <f t="shared" si="176"/>
        <v>0</v>
      </c>
      <c r="AC439" s="377">
        <f t="shared" si="177"/>
        <v>0</v>
      </c>
      <c r="AD439" s="376"/>
      <c r="AE439" s="332">
        <v>424</v>
      </c>
      <c r="AF439" s="350">
        <v>452590.13617005787</v>
      </c>
      <c r="AG439" s="350">
        <v>450959.14535928244</v>
      </c>
      <c r="AH439" s="350">
        <v>449195.30875922821</v>
      </c>
      <c r="AI439" s="350">
        <v>447079.20918043237</v>
      </c>
      <c r="AJ439" s="350">
        <v>444416.46688817377</v>
      </c>
      <c r="AK439" s="348">
        <v>2244240.2663571746</v>
      </c>
      <c r="AL439" s="369"/>
      <c r="AM439" s="350">
        <v>10875659.668204078</v>
      </c>
      <c r="AN439" s="350">
        <v>10776276.319827693</v>
      </c>
      <c r="AO439" s="350">
        <v>10667744.980755677</v>
      </c>
      <c r="AP439" s="350">
        <v>10529653.606839363</v>
      </c>
      <c r="AQ439" s="350">
        <v>10344542.115247382</v>
      </c>
      <c r="AR439" s="348">
        <v>53193876.690874189</v>
      </c>
      <c r="AS439" s="369"/>
      <c r="AT439" s="350">
        <f t="shared" si="195"/>
        <v>10423069.532034021</v>
      </c>
      <c r="AU439" s="350">
        <f t="shared" si="178"/>
        <v>10325317.174468409</v>
      </c>
      <c r="AV439" s="350">
        <f t="shared" si="179"/>
        <v>10218549.67199645</v>
      </c>
      <c r="AW439" s="350">
        <f t="shared" si="180"/>
        <v>10082574.397658929</v>
      </c>
      <c r="AX439" s="350">
        <f t="shared" si="181"/>
        <v>9900125.6483592074</v>
      </c>
      <c r="AY439" s="350">
        <f t="shared" si="182"/>
        <v>50949636.424517013</v>
      </c>
      <c r="AZ439" s="365"/>
      <c r="BA439" s="377">
        <f t="shared" si="183"/>
        <v>0</v>
      </c>
      <c r="BB439" s="377">
        <f t="shared" si="184"/>
        <v>0</v>
      </c>
      <c r="BC439" s="377">
        <f t="shared" si="185"/>
        <v>0</v>
      </c>
      <c r="BD439" s="377">
        <f t="shared" si="186"/>
        <v>0</v>
      </c>
      <c r="BE439" s="377">
        <f t="shared" si="187"/>
        <v>0</v>
      </c>
      <c r="BF439" s="377">
        <f t="shared" si="188"/>
        <v>0</v>
      </c>
      <c r="BG439" s="328"/>
    </row>
    <row r="440" spans="2:59">
      <c r="B440" s="332">
        <v>425</v>
      </c>
      <c r="C440" s="350">
        <v>6865991.7471237089</v>
      </c>
      <c r="D440" s="350">
        <v>6841248.8980170479</v>
      </c>
      <c r="E440" s="350">
        <v>6814490.7197639169</v>
      </c>
      <c r="F440" s="350">
        <v>6782388.5569393924</v>
      </c>
      <c r="G440" s="350">
        <v>6741993.583336845</v>
      </c>
      <c r="H440" s="348">
        <v>34046113.50518091</v>
      </c>
      <c r="I440" s="369"/>
      <c r="J440" s="350">
        <v>22396546.243262433</v>
      </c>
      <c r="K440" s="350">
        <v>21916569.455406949</v>
      </c>
      <c r="L440" s="350">
        <v>21423375.880485065</v>
      </c>
      <c r="M440" s="350">
        <v>20883822.106449798</v>
      </c>
      <c r="N440" s="350">
        <v>20270106.061825767</v>
      </c>
      <c r="O440" s="348">
        <v>106890419.74743001</v>
      </c>
      <c r="P440" s="369"/>
      <c r="Q440" s="350">
        <f t="shared" si="189"/>
        <v>15530554.496138724</v>
      </c>
      <c r="R440" s="350">
        <f t="shared" si="190"/>
        <v>15075320.5573899</v>
      </c>
      <c r="S440" s="350">
        <f t="shared" si="191"/>
        <v>14608885.160721149</v>
      </c>
      <c r="T440" s="350">
        <f t="shared" si="192"/>
        <v>14101433.549510404</v>
      </c>
      <c r="U440" s="350">
        <f t="shared" si="193"/>
        <v>13528112.478488922</v>
      </c>
      <c r="V440" s="350">
        <f t="shared" si="194"/>
        <v>72844306.242249101</v>
      </c>
      <c r="W440" s="365"/>
      <c r="X440" s="377">
        <f t="shared" si="172"/>
        <v>0</v>
      </c>
      <c r="Y440" s="377">
        <f t="shared" si="173"/>
        <v>0</v>
      </c>
      <c r="Z440" s="377">
        <f t="shared" si="174"/>
        <v>0</v>
      </c>
      <c r="AA440" s="377">
        <f t="shared" si="175"/>
        <v>0</v>
      </c>
      <c r="AB440" s="377">
        <f t="shared" si="176"/>
        <v>0</v>
      </c>
      <c r="AC440" s="377">
        <f t="shared" si="177"/>
        <v>0</v>
      </c>
      <c r="AD440" s="376"/>
      <c r="AE440" s="332">
        <v>425</v>
      </c>
      <c r="AF440" s="350">
        <v>467563.20732295234</v>
      </c>
      <c r="AG440" s="350">
        <v>465878.25832902652</v>
      </c>
      <c r="AH440" s="350">
        <v>464056.06859927718</v>
      </c>
      <c r="AI440" s="350">
        <v>461869.96195000462</v>
      </c>
      <c r="AJ440" s="350">
        <v>459119.12796811905</v>
      </c>
      <c r="AK440" s="348">
        <v>2318486.6241693795</v>
      </c>
      <c r="AL440" s="369"/>
      <c r="AM440" s="350">
        <v>12775577.999206139</v>
      </c>
      <c r="AN440" s="350">
        <v>12661806.553450026</v>
      </c>
      <c r="AO440" s="350">
        <v>12537228.291324278</v>
      </c>
      <c r="AP440" s="350">
        <v>12377769.258233765</v>
      </c>
      <c r="AQ440" s="350">
        <v>12162831.120381221</v>
      </c>
      <c r="AR440" s="348">
        <v>62515213.222595431</v>
      </c>
      <c r="AS440" s="369"/>
      <c r="AT440" s="350">
        <f t="shared" si="195"/>
        <v>12308014.791883186</v>
      </c>
      <c r="AU440" s="350">
        <f t="shared" si="178"/>
        <v>12195928.295120999</v>
      </c>
      <c r="AV440" s="350">
        <f t="shared" si="179"/>
        <v>12073172.222725</v>
      </c>
      <c r="AW440" s="350">
        <f t="shared" si="180"/>
        <v>11915899.296283761</v>
      </c>
      <c r="AX440" s="350">
        <f t="shared" si="181"/>
        <v>11703711.992413102</v>
      </c>
      <c r="AY440" s="350">
        <f t="shared" si="182"/>
        <v>60196726.598426051</v>
      </c>
      <c r="AZ440" s="365"/>
      <c r="BA440" s="377">
        <f t="shared" si="183"/>
        <v>0</v>
      </c>
      <c r="BB440" s="377">
        <f t="shared" si="184"/>
        <v>0</v>
      </c>
      <c r="BC440" s="377">
        <f t="shared" si="185"/>
        <v>0</v>
      </c>
      <c r="BD440" s="377">
        <f t="shared" si="186"/>
        <v>0</v>
      </c>
      <c r="BE440" s="377">
        <f t="shared" si="187"/>
        <v>0</v>
      </c>
      <c r="BF440" s="377">
        <f t="shared" si="188"/>
        <v>0</v>
      </c>
      <c r="BG440" s="328"/>
    </row>
    <row r="441" spans="2:59">
      <c r="B441" s="332">
        <v>426</v>
      </c>
      <c r="C441" s="350">
        <v>5778013.2094569709</v>
      </c>
      <c r="D441" s="350">
        <v>5757191.0887432704</v>
      </c>
      <c r="E441" s="350">
        <v>5734672.986027468</v>
      </c>
      <c r="F441" s="350">
        <v>5707657.701464979</v>
      </c>
      <c r="G441" s="350">
        <v>5673663.6770519763</v>
      </c>
      <c r="H441" s="348">
        <v>28651198.662744664</v>
      </c>
      <c r="I441" s="369"/>
      <c r="J441" s="350">
        <v>15673251.515704077</v>
      </c>
      <c r="K441" s="350">
        <v>15292210.155263921</v>
      </c>
      <c r="L441" s="350">
        <v>14902841.573331637</v>
      </c>
      <c r="M441" s="350">
        <v>14483409.990805967</v>
      </c>
      <c r="N441" s="350">
        <v>14015796.551720962</v>
      </c>
      <c r="O441" s="348">
        <v>74367509.786826566</v>
      </c>
      <c r="P441" s="369"/>
      <c r="Q441" s="350">
        <f t="shared" si="189"/>
        <v>9895238.3062471058</v>
      </c>
      <c r="R441" s="350">
        <f t="shared" si="190"/>
        <v>9535019.0665206499</v>
      </c>
      <c r="S441" s="350">
        <f t="shared" si="191"/>
        <v>9168168.5873041693</v>
      </c>
      <c r="T441" s="350">
        <f t="shared" si="192"/>
        <v>8775752.2893409878</v>
      </c>
      <c r="U441" s="350">
        <f t="shared" si="193"/>
        <v>8342132.8746689856</v>
      </c>
      <c r="V441" s="350">
        <f t="shared" si="194"/>
        <v>45716311.124081902</v>
      </c>
      <c r="W441" s="365"/>
      <c r="X441" s="377">
        <f t="shared" si="172"/>
        <v>0</v>
      </c>
      <c r="Y441" s="377">
        <f t="shared" si="173"/>
        <v>0</v>
      </c>
      <c r="Z441" s="377">
        <f t="shared" si="174"/>
        <v>0</v>
      </c>
      <c r="AA441" s="377">
        <f t="shared" si="175"/>
        <v>0</v>
      </c>
      <c r="AB441" s="377">
        <f t="shared" si="176"/>
        <v>0</v>
      </c>
      <c r="AC441" s="377">
        <f t="shared" si="177"/>
        <v>0</v>
      </c>
      <c r="AD441" s="376"/>
      <c r="AE441" s="332">
        <v>426</v>
      </c>
      <c r="AF441" s="350">
        <v>408546.79580779991</v>
      </c>
      <c r="AG441" s="350">
        <v>407074.52317858837</v>
      </c>
      <c r="AH441" s="350">
        <v>405482.33251049597</v>
      </c>
      <c r="AI441" s="350">
        <v>403572.15897060593</v>
      </c>
      <c r="AJ441" s="350">
        <v>401168.53868676611</v>
      </c>
      <c r="AK441" s="348">
        <v>2025844.3491542561</v>
      </c>
      <c r="AL441" s="369"/>
      <c r="AM441" s="350">
        <v>11370290.6196671</v>
      </c>
      <c r="AN441" s="350">
        <v>11269385.735068642</v>
      </c>
      <c r="AO441" s="350">
        <v>11158855.575200407</v>
      </c>
      <c r="AP441" s="350">
        <v>11017262.904820476</v>
      </c>
      <c r="AQ441" s="350">
        <v>10826264.741350289</v>
      </c>
      <c r="AR441" s="348">
        <v>55642059.576106921</v>
      </c>
      <c r="AS441" s="369"/>
      <c r="AT441" s="350">
        <f t="shared" si="195"/>
        <v>10961743.8238593</v>
      </c>
      <c r="AU441" s="350">
        <f t="shared" si="178"/>
        <v>10862311.211890053</v>
      </c>
      <c r="AV441" s="350">
        <f t="shared" si="179"/>
        <v>10753373.242689911</v>
      </c>
      <c r="AW441" s="350">
        <f t="shared" si="180"/>
        <v>10613690.74584987</v>
      </c>
      <c r="AX441" s="350">
        <f t="shared" si="181"/>
        <v>10425096.202663524</v>
      </c>
      <c r="AY441" s="350">
        <f t="shared" si="182"/>
        <v>53616215.226952665</v>
      </c>
      <c r="AZ441" s="365"/>
      <c r="BA441" s="377">
        <f t="shared" si="183"/>
        <v>0</v>
      </c>
      <c r="BB441" s="377">
        <f t="shared" si="184"/>
        <v>0</v>
      </c>
      <c r="BC441" s="377">
        <f t="shared" si="185"/>
        <v>0</v>
      </c>
      <c r="BD441" s="377">
        <f t="shared" si="186"/>
        <v>0</v>
      </c>
      <c r="BE441" s="377">
        <f t="shared" si="187"/>
        <v>0</v>
      </c>
      <c r="BF441" s="377">
        <f t="shared" si="188"/>
        <v>0</v>
      </c>
      <c r="BG441" s="328"/>
    </row>
    <row r="442" spans="2:59">
      <c r="B442" s="332">
        <v>427</v>
      </c>
      <c r="C442" s="350">
        <v>4381512.4429884087</v>
      </c>
      <c r="D442" s="350">
        <v>4365722.8665909087</v>
      </c>
      <c r="E442" s="350">
        <v>4348647.213824953</v>
      </c>
      <c r="F442" s="350">
        <v>4328161.3130195215</v>
      </c>
      <c r="G442" s="350">
        <v>4302383.3794022985</v>
      </c>
      <c r="H442" s="348">
        <v>21726427.21582609</v>
      </c>
      <c r="I442" s="369"/>
      <c r="J442" s="350">
        <v>14756432.834023772</v>
      </c>
      <c r="K442" s="350">
        <v>14446791.813080464</v>
      </c>
      <c r="L442" s="350">
        <v>14128307.828117719</v>
      </c>
      <c r="M442" s="350">
        <v>13778930.436541114</v>
      </c>
      <c r="N442" s="350">
        <v>13380146.139271788</v>
      </c>
      <c r="O442" s="348">
        <v>70490609.051034868</v>
      </c>
      <c r="P442" s="369"/>
      <c r="Q442" s="350">
        <f t="shared" si="189"/>
        <v>10374920.391035363</v>
      </c>
      <c r="R442" s="350">
        <f t="shared" si="190"/>
        <v>10081068.946489554</v>
      </c>
      <c r="S442" s="350">
        <f t="shared" si="191"/>
        <v>9779660.6142927669</v>
      </c>
      <c r="T442" s="350">
        <f t="shared" si="192"/>
        <v>9450769.1235215925</v>
      </c>
      <c r="U442" s="350">
        <f t="shared" si="193"/>
        <v>9077762.7598694898</v>
      </c>
      <c r="V442" s="350">
        <f t="shared" si="194"/>
        <v>48764181.835208774</v>
      </c>
      <c r="W442" s="365"/>
      <c r="X442" s="377">
        <f t="shared" si="172"/>
        <v>0</v>
      </c>
      <c r="Y442" s="377">
        <f t="shared" si="173"/>
        <v>0</v>
      </c>
      <c r="Z442" s="377">
        <f t="shared" si="174"/>
        <v>0</v>
      </c>
      <c r="AA442" s="377">
        <f t="shared" si="175"/>
        <v>0</v>
      </c>
      <c r="AB442" s="377">
        <f t="shared" si="176"/>
        <v>0</v>
      </c>
      <c r="AC442" s="377">
        <f t="shared" si="177"/>
        <v>0</v>
      </c>
      <c r="AD442" s="376"/>
      <c r="AE442" s="332">
        <v>427</v>
      </c>
      <c r="AF442" s="350">
        <v>369792.57129397022</v>
      </c>
      <c r="AG442" s="350">
        <v>368459.95655610319</v>
      </c>
      <c r="AH442" s="350">
        <v>367018.79905055958</v>
      </c>
      <c r="AI442" s="350">
        <v>365289.8221201764</v>
      </c>
      <c r="AJ442" s="350">
        <v>363114.20617043442</v>
      </c>
      <c r="AK442" s="348">
        <v>1833675.3551912438</v>
      </c>
      <c r="AL442" s="369"/>
      <c r="AM442" s="350">
        <v>14551545.049447324</v>
      </c>
      <c r="AN442" s="350">
        <v>14429509.761166381</v>
      </c>
      <c r="AO442" s="350">
        <v>14295011.163567383</v>
      </c>
      <c r="AP442" s="350">
        <v>14120384.820066758</v>
      </c>
      <c r="AQ442" s="350">
        <v>13881945.30559561</v>
      </c>
      <c r="AR442" s="348">
        <v>71278396.099843457</v>
      </c>
      <c r="AS442" s="369"/>
      <c r="AT442" s="350">
        <f t="shared" si="195"/>
        <v>14181752.478153354</v>
      </c>
      <c r="AU442" s="350">
        <f t="shared" si="178"/>
        <v>14061049.804610278</v>
      </c>
      <c r="AV442" s="350">
        <f t="shared" si="179"/>
        <v>13927992.364516823</v>
      </c>
      <c r="AW442" s="350">
        <f t="shared" si="180"/>
        <v>13755094.997946581</v>
      </c>
      <c r="AX442" s="350">
        <f t="shared" si="181"/>
        <v>13518831.099425176</v>
      </c>
      <c r="AY442" s="350">
        <f t="shared" si="182"/>
        <v>69444720.744652212</v>
      </c>
      <c r="AZ442" s="365"/>
      <c r="BA442" s="377">
        <f t="shared" si="183"/>
        <v>0</v>
      </c>
      <c r="BB442" s="377">
        <f t="shared" si="184"/>
        <v>0</v>
      </c>
      <c r="BC442" s="377">
        <f t="shared" si="185"/>
        <v>0</v>
      </c>
      <c r="BD442" s="377">
        <f t="shared" si="186"/>
        <v>0</v>
      </c>
      <c r="BE442" s="377">
        <f t="shared" si="187"/>
        <v>0</v>
      </c>
      <c r="BF442" s="377">
        <f t="shared" si="188"/>
        <v>0</v>
      </c>
      <c r="BG442" s="328"/>
    </row>
    <row r="443" spans="2:59">
      <c r="B443" s="332">
        <v>428</v>
      </c>
      <c r="C443" s="350">
        <v>5776579.7964105224</v>
      </c>
      <c r="D443" s="350">
        <v>5755762.8412612462</v>
      </c>
      <c r="E443" s="350">
        <v>5733250.3248501206</v>
      </c>
      <c r="F443" s="350">
        <v>5706241.7422559308</v>
      </c>
      <c r="G443" s="350">
        <v>5672256.1511012679</v>
      </c>
      <c r="H443" s="348">
        <v>28644090.855879087</v>
      </c>
      <c r="I443" s="369"/>
      <c r="J443" s="350">
        <v>21551989.924296953</v>
      </c>
      <c r="K443" s="350">
        <v>21128644.864394918</v>
      </c>
      <c r="L443" s="350">
        <v>20691794.583352961</v>
      </c>
      <c r="M443" s="350">
        <v>20208301.027176503</v>
      </c>
      <c r="N443" s="350">
        <v>19650269.313190516</v>
      </c>
      <c r="O443" s="348">
        <v>103230999.71241185</v>
      </c>
      <c r="P443" s="369"/>
      <c r="Q443" s="350">
        <f t="shared" si="189"/>
        <v>15775410.127886429</v>
      </c>
      <c r="R443" s="350">
        <f t="shared" si="190"/>
        <v>15372882.023133673</v>
      </c>
      <c r="S443" s="350">
        <f t="shared" si="191"/>
        <v>14958544.258502841</v>
      </c>
      <c r="T443" s="350">
        <f t="shared" si="192"/>
        <v>14502059.284920573</v>
      </c>
      <c r="U443" s="350">
        <f t="shared" si="193"/>
        <v>13978013.162089247</v>
      </c>
      <c r="V443" s="350">
        <f t="shared" si="194"/>
        <v>74586908.856532767</v>
      </c>
      <c r="W443" s="365"/>
      <c r="X443" s="377">
        <f t="shared" si="172"/>
        <v>0</v>
      </c>
      <c r="Y443" s="377">
        <f t="shared" si="173"/>
        <v>0</v>
      </c>
      <c r="Z443" s="377">
        <f t="shared" si="174"/>
        <v>0</v>
      </c>
      <c r="AA443" s="377">
        <f t="shared" si="175"/>
        <v>0</v>
      </c>
      <c r="AB443" s="377">
        <f t="shared" si="176"/>
        <v>0</v>
      </c>
      <c r="AC443" s="377">
        <f t="shared" si="177"/>
        <v>0</v>
      </c>
      <c r="AD443" s="376"/>
      <c r="AE443" s="332">
        <v>428</v>
      </c>
      <c r="AF443" s="350">
        <v>400802.00293557311</v>
      </c>
      <c r="AG443" s="350">
        <v>399357.64007503848</v>
      </c>
      <c r="AH443" s="350">
        <v>397795.6324534514</v>
      </c>
      <c r="AI443" s="350">
        <v>395921.66993900132</v>
      </c>
      <c r="AJ443" s="350">
        <v>393563.6149158192</v>
      </c>
      <c r="AK443" s="348">
        <v>1987440.5603188835</v>
      </c>
      <c r="AL443" s="369"/>
      <c r="AM443" s="350">
        <v>13453516.41486524</v>
      </c>
      <c r="AN443" s="350">
        <v>13337956.294612337</v>
      </c>
      <c r="AO443" s="350">
        <v>13210929.13508895</v>
      </c>
      <c r="AP443" s="350">
        <v>13046946.277036196</v>
      </c>
      <c r="AQ443" s="350">
        <v>12824190.500828452</v>
      </c>
      <c r="AR443" s="348">
        <v>65873538.622431174</v>
      </c>
      <c r="AS443" s="369"/>
      <c r="AT443" s="350">
        <f t="shared" si="195"/>
        <v>13052714.411929667</v>
      </c>
      <c r="AU443" s="350">
        <f t="shared" si="178"/>
        <v>12938598.654537298</v>
      </c>
      <c r="AV443" s="350">
        <f t="shared" si="179"/>
        <v>12813133.502635499</v>
      </c>
      <c r="AW443" s="350">
        <f t="shared" si="180"/>
        <v>12651024.607097194</v>
      </c>
      <c r="AX443" s="350">
        <f t="shared" si="181"/>
        <v>12430626.885912633</v>
      </c>
      <c r="AY443" s="350">
        <f t="shared" si="182"/>
        <v>63886098.062112287</v>
      </c>
      <c r="AZ443" s="365"/>
      <c r="BA443" s="377">
        <f t="shared" si="183"/>
        <v>0</v>
      </c>
      <c r="BB443" s="377">
        <f t="shared" si="184"/>
        <v>0</v>
      </c>
      <c r="BC443" s="377">
        <f t="shared" si="185"/>
        <v>0</v>
      </c>
      <c r="BD443" s="377">
        <f t="shared" si="186"/>
        <v>0</v>
      </c>
      <c r="BE443" s="377">
        <f t="shared" si="187"/>
        <v>0</v>
      </c>
      <c r="BF443" s="377">
        <f t="shared" si="188"/>
        <v>0</v>
      </c>
      <c r="BG443" s="328"/>
    </row>
    <row r="444" spans="2:59">
      <c r="B444" s="332">
        <v>429</v>
      </c>
      <c r="C444" s="350">
        <v>5986670.9744236944</v>
      </c>
      <c r="D444" s="350">
        <v>5965096.917531848</v>
      </c>
      <c r="E444" s="350">
        <v>5941765.6327041946</v>
      </c>
      <c r="F444" s="350">
        <v>5913774.7621240905</v>
      </c>
      <c r="G444" s="350">
        <v>5878553.1328408476</v>
      </c>
      <c r="H444" s="348">
        <v>29685861.419624679</v>
      </c>
      <c r="I444" s="369"/>
      <c r="J444" s="350">
        <v>21428937.161516577</v>
      </c>
      <c r="K444" s="350">
        <v>20996731.530445769</v>
      </c>
      <c r="L444" s="350">
        <v>20551328.078348003</v>
      </c>
      <c r="M444" s="350">
        <v>20060142.185455658</v>
      </c>
      <c r="N444" s="350">
        <v>19495772.247988146</v>
      </c>
      <c r="O444" s="348">
        <v>102532911.20375416</v>
      </c>
      <c r="P444" s="369"/>
      <c r="Q444" s="350">
        <f t="shared" si="189"/>
        <v>15442266.187092882</v>
      </c>
      <c r="R444" s="350">
        <f t="shared" si="190"/>
        <v>15031634.612913921</v>
      </c>
      <c r="S444" s="350">
        <f t="shared" si="191"/>
        <v>14609562.445643809</v>
      </c>
      <c r="T444" s="350">
        <f t="shared" si="192"/>
        <v>14146367.423331566</v>
      </c>
      <c r="U444" s="350">
        <f t="shared" si="193"/>
        <v>13617219.115147298</v>
      </c>
      <c r="V444" s="350">
        <f t="shared" si="194"/>
        <v>72847049.784129471</v>
      </c>
      <c r="W444" s="365"/>
      <c r="X444" s="377">
        <f t="shared" si="172"/>
        <v>0</v>
      </c>
      <c r="Y444" s="377">
        <f t="shared" si="173"/>
        <v>0</v>
      </c>
      <c r="Z444" s="377">
        <f t="shared" si="174"/>
        <v>0</v>
      </c>
      <c r="AA444" s="377">
        <f t="shared" si="175"/>
        <v>0</v>
      </c>
      <c r="AB444" s="377">
        <f t="shared" si="176"/>
        <v>0</v>
      </c>
      <c r="AC444" s="377">
        <f t="shared" si="177"/>
        <v>0</v>
      </c>
      <c r="AD444" s="376"/>
      <c r="AE444" s="332">
        <v>429</v>
      </c>
      <c r="AF444" s="350">
        <v>493286.90113760781</v>
      </c>
      <c r="AG444" s="350">
        <v>491509.25213791971</v>
      </c>
      <c r="AH444" s="350">
        <v>489586.81189669698</v>
      </c>
      <c r="AI444" s="350">
        <v>487280.43329870969</v>
      </c>
      <c r="AJ444" s="350">
        <v>484378.25804365124</v>
      </c>
      <c r="AK444" s="348">
        <v>2446041.656514585</v>
      </c>
      <c r="AL444" s="369"/>
      <c r="AM444" s="350">
        <v>15328847.791379752</v>
      </c>
      <c r="AN444" s="350">
        <v>15195480.51746868</v>
      </c>
      <c r="AO444" s="350">
        <v>15049082.465014992</v>
      </c>
      <c r="AP444" s="350">
        <v>14860666.890357226</v>
      </c>
      <c r="AQ444" s="350">
        <v>14605425.711815728</v>
      </c>
      <c r="AR444" s="348">
        <v>75039503.376036376</v>
      </c>
      <c r="AS444" s="369"/>
      <c r="AT444" s="350">
        <f t="shared" si="195"/>
        <v>14835560.890242144</v>
      </c>
      <c r="AU444" s="350">
        <f t="shared" si="178"/>
        <v>14703971.26533076</v>
      </c>
      <c r="AV444" s="350">
        <f t="shared" si="179"/>
        <v>14559495.653118296</v>
      </c>
      <c r="AW444" s="350">
        <f t="shared" si="180"/>
        <v>14373386.457058517</v>
      </c>
      <c r="AX444" s="350">
        <f t="shared" si="181"/>
        <v>14121047.453772077</v>
      </c>
      <c r="AY444" s="350">
        <f t="shared" si="182"/>
        <v>72593461.719521791</v>
      </c>
      <c r="AZ444" s="365"/>
      <c r="BA444" s="377">
        <f t="shared" si="183"/>
        <v>0</v>
      </c>
      <c r="BB444" s="377">
        <f t="shared" si="184"/>
        <v>0</v>
      </c>
      <c r="BC444" s="377">
        <f t="shared" si="185"/>
        <v>0</v>
      </c>
      <c r="BD444" s="377">
        <f t="shared" si="186"/>
        <v>0</v>
      </c>
      <c r="BE444" s="377">
        <f t="shared" si="187"/>
        <v>0</v>
      </c>
      <c r="BF444" s="377">
        <f t="shared" si="188"/>
        <v>0</v>
      </c>
      <c r="BG444" s="328"/>
    </row>
    <row r="445" spans="2:59">
      <c r="B445" s="332">
        <v>430</v>
      </c>
      <c r="C445" s="350">
        <v>6802781.7839392275</v>
      </c>
      <c r="D445" s="350">
        <v>6778266.72342287</v>
      </c>
      <c r="E445" s="350">
        <v>6751754.8873624709</v>
      </c>
      <c r="F445" s="350">
        <v>6719948.264731558</v>
      </c>
      <c r="G445" s="350">
        <v>6679925.1769232675</v>
      </c>
      <c r="H445" s="348">
        <v>33732676.836379394</v>
      </c>
      <c r="I445" s="369"/>
      <c r="J445" s="350">
        <v>21438970.382033613</v>
      </c>
      <c r="K445" s="350">
        <v>20968827.901044339</v>
      </c>
      <c r="L445" s="350">
        <v>20486251.959652446</v>
      </c>
      <c r="M445" s="350">
        <v>19959861.373307556</v>
      </c>
      <c r="N445" s="350">
        <v>19363359.289081145</v>
      </c>
      <c r="O445" s="348">
        <v>102217270.90511911</v>
      </c>
      <c r="P445" s="369"/>
      <c r="Q445" s="350">
        <f t="shared" si="189"/>
        <v>14636188.598094385</v>
      </c>
      <c r="R445" s="350">
        <f t="shared" si="190"/>
        <v>14190561.177621469</v>
      </c>
      <c r="S445" s="350">
        <f t="shared" si="191"/>
        <v>13734497.072289975</v>
      </c>
      <c r="T445" s="350">
        <f t="shared" si="192"/>
        <v>13239913.108575998</v>
      </c>
      <c r="U445" s="350">
        <f t="shared" si="193"/>
        <v>12683434.112157878</v>
      </c>
      <c r="V445" s="350">
        <f t="shared" si="194"/>
        <v>68484594.068739712</v>
      </c>
      <c r="W445" s="365"/>
      <c r="X445" s="377">
        <f t="shared" si="172"/>
        <v>0</v>
      </c>
      <c r="Y445" s="377">
        <f t="shared" si="173"/>
        <v>0</v>
      </c>
      <c r="Z445" s="377">
        <f t="shared" si="174"/>
        <v>0</v>
      </c>
      <c r="AA445" s="377">
        <f t="shared" si="175"/>
        <v>0</v>
      </c>
      <c r="AB445" s="377">
        <f t="shared" si="176"/>
        <v>0</v>
      </c>
      <c r="AC445" s="377">
        <f t="shared" si="177"/>
        <v>0</v>
      </c>
      <c r="AD445" s="376"/>
      <c r="AE445" s="332">
        <v>430</v>
      </c>
      <c r="AF445" s="350">
        <v>534245.97200594493</v>
      </c>
      <c r="AG445" s="350">
        <v>532320.7195503586</v>
      </c>
      <c r="AH445" s="350">
        <v>530238.65340806544</v>
      </c>
      <c r="AI445" s="350">
        <v>527740.76937130326</v>
      </c>
      <c r="AJ445" s="350">
        <v>524597.61791827541</v>
      </c>
      <c r="AK445" s="348">
        <v>2649143.7322539473</v>
      </c>
      <c r="AL445" s="369"/>
      <c r="AM445" s="350">
        <v>17856166.210427187</v>
      </c>
      <c r="AN445" s="350">
        <v>17702683.283937681</v>
      </c>
      <c r="AO445" s="350">
        <v>17533982.902961254</v>
      </c>
      <c r="AP445" s="350">
        <v>17316238.689288881</v>
      </c>
      <c r="AQ445" s="350">
        <v>17020496.895604514</v>
      </c>
      <c r="AR445" s="348">
        <v>87429567.982219517</v>
      </c>
      <c r="AS445" s="369"/>
      <c r="AT445" s="350">
        <f t="shared" si="195"/>
        <v>17321920.238421243</v>
      </c>
      <c r="AU445" s="350">
        <f t="shared" si="178"/>
        <v>17170362.564387321</v>
      </c>
      <c r="AV445" s="350">
        <f t="shared" si="179"/>
        <v>17003744.249553189</v>
      </c>
      <c r="AW445" s="350">
        <f t="shared" si="180"/>
        <v>16788497.919917576</v>
      </c>
      <c r="AX445" s="350">
        <f t="shared" si="181"/>
        <v>16495899.277686238</v>
      </c>
      <c r="AY445" s="350">
        <f t="shared" si="182"/>
        <v>84780424.249965563</v>
      </c>
      <c r="AZ445" s="365"/>
      <c r="BA445" s="377">
        <f t="shared" si="183"/>
        <v>0</v>
      </c>
      <c r="BB445" s="377">
        <f t="shared" si="184"/>
        <v>0</v>
      </c>
      <c r="BC445" s="377">
        <f t="shared" si="185"/>
        <v>0</v>
      </c>
      <c r="BD445" s="377">
        <f t="shared" si="186"/>
        <v>0</v>
      </c>
      <c r="BE445" s="377">
        <f t="shared" si="187"/>
        <v>0</v>
      </c>
      <c r="BF445" s="377">
        <f t="shared" si="188"/>
        <v>0</v>
      </c>
      <c r="BG445" s="328"/>
    </row>
    <row r="446" spans="2:59">
      <c r="B446" s="332">
        <v>431</v>
      </c>
      <c r="C446" s="350">
        <v>6203067.6815344486</v>
      </c>
      <c r="D446" s="350">
        <v>6180713.7997799441</v>
      </c>
      <c r="E446" s="350">
        <v>6156539.172595419</v>
      </c>
      <c r="F446" s="350">
        <v>6127536.5323275253</v>
      </c>
      <c r="G446" s="350">
        <v>6091041.7673352156</v>
      </c>
      <c r="H446" s="348">
        <v>30758898.953572549</v>
      </c>
      <c r="I446" s="369"/>
      <c r="J446" s="350">
        <v>24009632.821966209</v>
      </c>
      <c r="K446" s="350">
        <v>23548787.168730948</v>
      </c>
      <c r="L446" s="350">
        <v>23072676.228357252</v>
      </c>
      <c r="M446" s="350">
        <v>22544035.119169772</v>
      </c>
      <c r="N446" s="350">
        <v>21931468.898083042</v>
      </c>
      <c r="O446" s="348">
        <v>115106600.23630723</v>
      </c>
      <c r="P446" s="369"/>
      <c r="Q446" s="350">
        <f t="shared" si="189"/>
        <v>17806565.140431762</v>
      </c>
      <c r="R446" s="350">
        <f t="shared" si="190"/>
        <v>17368073.368951004</v>
      </c>
      <c r="S446" s="350">
        <f t="shared" si="191"/>
        <v>16916137.055761833</v>
      </c>
      <c r="T446" s="350">
        <f t="shared" si="192"/>
        <v>16416498.586842246</v>
      </c>
      <c r="U446" s="350">
        <f t="shared" si="193"/>
        <v>15840427.130747827</v>
      </c>
      <c r="V446" s="350">
        <f t="shared" si="194"/>
        <v>84347701.282734692</v>
      </c>
      <c r="W446" s="365"/>
      <c r="X446" s="377">
        <f t="shared" si="172"/>
        <v>0</v>
      </c>
      <c r="Y446" s="377">
        <f t="shared" si="173"/>
        <v>0</v>
      </c>
      <c r="Z446" s="377">
        <f t="shared" si="174"/>
        <v>0</v>
      </c>
      <c r="AA446" s="377">
        <f t="shared" si="175"/>
        <v>0</v>
      </c>
      <c r="AB446" s="377">
        <f t="shared" si="176"/>
        <v>0</v>
      </c>
      <c r="AC446" s="377">
        <f t="shared" si="177"/>
        <v>0</v>
      </c>
      <c r="AD446" s="376"/>
      <c r="AE446" s="332">
        <v>431</v>
      </c>
      <c r="AF446" s="350">
        <v>592514.60919245554</v>
      </c>
      <c r="AG446" s="350">
        <v>590379.37511285103</v>
      </c>
      <c r="AH446" s="350">
        <v>588070.22413884976</v>
      </c>
      <c r="AI446" s="350">
        <v>585299.90323536587</v>
      </c>
      <c r="AJ446" s="350">
        <v>581813.937495969</v>
      </c>
      <c r="AK446" s="348">
        <v>2938078.0491754916</v>
      </c>
      <c r="AL446" s="369"/>
      <c r="AM446" s="350">
        <v>17448781.917681344</v>
      </c>
      <c r="AN446" s="350">
        <v>17295531.707632836</v>
      </c>
      <c r="AO446" s="350">
        <v>17127477.97812631</v>
      </c>
      <c r="AP446" s="350">
        <v>16911671.667906322</v>
      </c>
      <c r="AQ446" s="350">
        <v>16619916.419351669</v>
      </c>
      <c r="AR446" s="348">
        <v>85403379.690698475</v>
      </c>
      <c r="AS446" s="369"/>
      <c r="AT446" s="350">
        <f t="shared" si="195"/>
        <v>16856267.308488887</v>
      </c>
      <c r="AU446" s="350">
        <f t="shared" si="178"/>
        <v>16705152.332519986</v>
      </c>
      <c r="AV446" s="350">
        <f t="shared" si="179"/>
        <v>16539407.753987459</v>
      </c>
      <c r="AW446" s="350">
        <f t="shared" si="180"/>
        <v>16326371.764670955</v>
      </c>
      <c r="AX446" s="350">
        <f t="shared" si="181"/>
        <v>16038102.4818557</v>
      </c>
      <c r="AY446" s="350">
        <f t="shared" si="182"/>
        <v>82465301.641522989</v>
      </c>
      <c r="AZ446" s="365"/>
      <c r="BA446" s="377">
        <f t="shared" si="183"/>
        <v>0</v>
      </c>
      <c r="BB446" s="377">
        <f t="shared" si="184"/>
        <v>0</v>
      </c>
      <c r="BC446" s="377">
        <f t="shared" si="185"/>
        <v>0</v>
      </c>
      <c r="BD446" s="377">
        <f t="shared" si="186"/>
        <v>0</v>
      </c>
      <c r="BE446" s="377">
        <f t="shared" si="187"/>
        <v>0</v>
      </c>
      <c r="BF446" s="377">
        <f t="shared" si="188"/>
        <v>0</v>
      </c>
      <c r="BG446" s="328"/>
    </row>
    <row r="447" spans="2:59">
      <c r="B447" s="332">
        <v>432</v>
      </c>
      <c r="C447" s="350">
        <v>6495411.6039378941</v>
      </c>
      <c r="D447" s="350">
        <v>6472004.2077275477</v>
      </c>
      <c r="E447" s="350">
        <v>6446690.2563091777</v>
      </c>
      <c r="F447" s="350">
        <v>6416320.7527324716</v>
      </c>
      <c r="G447" s="350">
        <v>6378106.0286339913</v>
      </c>
      <c r="H447" s="348">
        <v>32208532.84934108</v>
      </c>
      <c r="I447" s="369"/>
      <c r="J447" s="350">
        <v>18707822.877944116</v>
      </c>
      <c r="K447" s="350">
        <v>18271625.614444721</v>
      </c>
      <c r="L447" s="350">
        <v>17825108.650429986</v>
      </c>
      <c r="M447" s="350">
        <v>17341726.50331109</v>
      </c>
      <c r="N447" s="350">
        <v>16799300.794155661</v>
      </c>
      <c r="O447" s="348">
        <v>88945584.440285563</v>
      </c>
      <c r="P447" s="369"/>
      <c r="Q447" s="350">
        <f t="shared" si="189"/>
        <v>12212411.274006221</v>
      </c>
      <c r="R447" s="350">
        <f t="shared" si="190"/>
        <v>11799621.406717174</v>
      </c>
      <c r="S447" s="350">
        <f t="shared" si="191"/>
        <v>11378418.394120809</v>
      </c>
      <c r="T447" s="350">
        <f t="shared" si="192"/>
        <v>10925405.75057862</v>
      </c>
      <c r="U447" s="350">
        <f t="shared" si="193"/>
        <v>10421194.76552167</v>
      </c>
      <c r="V447" s="350">
        <f t="shared" si="194"/>
        <v>56737051.590944484</v>
      </c>
      <c r="W447" s="365"/>
      <c r="X447" s="377">
        <f t="shared" si="172"/>
        <v>0</v>
      </c>
      <c r="Y447" s="377">
        <f t="shared" si="173"/>
        <v>0</v>
      </c>
      <c r="Z447" s="377">
        <f t="shared" si="174"/>
        <v>0</v>
      </c>
      <c r="AA447" s="377">
        <f t="shared" si="175"/>
        <v>0</v>
      </c>
      <c r="AB447" s="377">
        <f t="shared" si="176"/>
        <v>0</v>
      </c>
      <c r="AC447" s="377">
        <f t="shared" si="177"/>
        <v>0</v>
      </c>
      <c r="AD447" s="376"/>
      <c r="AE447" s="332">
        <v>432</v>
      </c>
      <c r="AF447" s="350">
        <v>518618.64954280161</v>
      </c>
      <c r="AG447" s="350">
        <v>516749.71298386762</v>
      </c>
      <c r="AH447" s="350">
        <v>514728.54972283141</v>
      </c>
      <c r="AI447" s="350">
        <v>512303.73172935931</v>
      </c>
      <c r="AJ447" s="350">
        <v>509252.52114978805</v>
      </c>
      <c r="AK447" s="348">
        <v>2571653.1651286483</v>
      </c>
      <c r="AL447" s="369"/>
      <c r="AM447" s="350">
        <v>17117729.844426222</v>
      </c>
      <c r="AN447" s="350">
        <v>16970294.147464264</v>
      </c>
      <c r="AO447" s="350">
        <v>16808276.435484175</v>
      </c>
      <c r="AP447" s="350">
        <v>16599258.899231616</v>
      </c>
      <c r="AQ447" s="350">
        <v>16315494.050274052</v>
      </c>
      <c r="AR447" s="348">
        <v>83811053.376880318</v>
      </c>
      <c r="AS447" s="369"/>
      <c r="AT447" s="350">
        <f t="shared" si="195"/>
        <v>16599111.194883421</v>
      </c>
      <c r="AU447" s="350">
        <f t="shared" si="178"/>
        <v>16453544.434480397</v>
      </c>
      <c r="AV447" s="350">
        <f t="shared" si="179"/>
        <v>16293547.885761343</v>
      </c>
      <c r="AW447" s="350">
        <f t="shared" si="180"/>
        <v>16086955.167502258</v>
      </c>
      <c r="AX447" s="350">
        <f t="shared" si="181"/>
        <v>15806241.529124264</v>
      </c>
      <c r="AY447" s="350">
        <f t="shared" si="182"/>
        <v>81239400.21175167</v>
      </c>
      <c r="AZ447" s="365"/>
      <c r="BA447" s="377">
        <f t="shared" si="183"/>
        <v>0</v>
      </c>
      <c r="BB447" s="377">
        <f t="shared" si="184"/>
        <v>0</v>
      </c>
      <c r="BC447" s="377">
        <f t="shared" si="185"/>
        <v>0</v>
      </c>
      <c r="BD447" s="377">
        <f t="shared" si="186"/>
        <v>0</v>
      </c>
      <c r="BE447" s="377">
        <f t="shared" si="187"/>
        <v>0</v>
      </c>
      <c r="BF447" s="377">
        <f t="shared" si="188"/>
        <v>0</v>
      </c>
      <c r="BG447" s="328"/>
    </row>
    <row r="448" spans="2:59">
      <c r="B448" s="332">
        <v>433</v>
      </c>
      <c r="C448" s="350">
        <v>6030078.4838814456</v>
      </c>
      <c r="D448" s="350">
        <v>6008348.000140259</v>
      </c>
      <c r="E448" s="350">
        <v>5984847.5473441062</v>
      </c>
      <c r="F448" s="350">
        <v>5956653.7235727152</v>
      </c>
      <c r="G448" s="350">
        <v>5921176.7130913455</v>
      </c>
      <c r="H448" s="348">
        <v>29901104.468029872</v>
      </c>
      <c r="I448" s="369"/>
      <c r="J448" s="350">
        <v>17359026.714365292</v>
      </c>
      <c r="K448" s="350">
        <v>16954140.458618987</v>
      </c>
      <c r="L448" s="350">
        <v>16539681.348455548</v>
      </c>
      <c r="M448" s="350">
        <v>16091022.23157249</v>
      </c>
      <c r="N448" s="350">
        <v>15587587.830395088</v>
      </c>
      <c r="O448" s="348">
        <v>82531458.583407402</v>
      </c>
      <c r="P448" s="369"/>
      <c r="Q448" s="350">
        <f t="shared" si="189"/>
        <v>11328948.230483847</v>
      </c>
      <c r="R448" s="350">
        <f t="shared" si="190"/>
        <v>10945792.458478728</v>
      </c>
      <c r="S448" s="350">
        <f t="shared" si="191"/>
        <v>10554833.801111441</v>
      </c>
      <c r="T448" s="350">
        <f t="shared" si="192"/>
        <v>10134368.507999774</v>
      </c>
      <c r="U448" s="350">
        <f t="shared" si="193"/>
        <v>9666411.1173037421</v>
      </c>
      <c r="V448" s="350">
        <f t="shared" si="194"/>
        <v>52630354.11537753</v>
      </c>
      <c r="W448" s="365"/>
      <c r="X448" s="377">
        <f t="shared" si="172"/>
        <v>0</v>
      </c>
      <c r="Y448" s="377">
        <f t="shared" si="173"/>
        <v>0</v>
      </c>
      <c r="Z448" s="377">
        <f t="shared" si="174"/>
        <v>0</v>
      </c>
      <c r="AA448" s="377">
        <f t="shared" si="175"/>
        <v>0</v>
      </c>
      <c r="AB448" s="377">
        <f t="shared" si="176"/>
        <v>0</v>
      </c>
      <c r="AC448" s="377">
        <f t="shared" si="177"/>
        <v>0</v>
      </c>
      <c r="AD448" s="376"/>
      <c r="AE448" s="332">
        <v>433</v>
      </c>
      <c r="AF448" s="350">
        <v>642951.18728451279</v>
      </c>
      <c r="AG448" s="350">
        <v>640634.19582925888</v>
      </c>
      <c r="AH448" s="350">
        <v>638128.48316442384</v>
      </c>
      <c r="AI448" s="350">
        <v>635122.34443565621</v>
      </c>
      <c r="AJ448" s="350">
        <v>631339.64308752737</v>
      </c>
      <c r="AK448" s="348">
        <v>3188175.853801379</v>
      </c>
      <c r="AL448" s="369"/>
      <c r="AM448" s="350">
        <v>18377007.580870062</v>
      </c>
      <c r="AN448" s="350">
        <v>18214727.239540968</v>
      </c>
      <c r="AO448" s="350">
        <v>18036873.79530267</v>
      </c>
      <c r="AP448" s="350">
        <v>17808773.735563345</v>
      </c>
      <c r="AQ448" s="350">
        <v>17500756.729993716</v>
      </c>
      <c r="AR448" s="348">
        <v>89938139.081270769</v>
      </c>
      <c r="AS448" s="369"/>
      <c r="AT448" s="350">
        <f t="shared" si="195"/>
        <v>17734056.393585548</v>
      </c>
      <c r="AU448" s="350">
        <f t="shared" si="178"/>
        <v>17574093.043711711</v>
      </c>
      <c r="AV448" s="350">
        <f t="shared" si="179"/>
        <v>17398745.312138248</v>
      </c>
      <c r="AW448" s="350">
        <f t="shared" si="180"/>
        <v>17173651.391127691</v>
      </c>
      <c r="AX448" s="350">
        <f t="shared" si="181"/>
        <v>16869417.086906187</v>
      </c>
      <c r="AY448" s="350">
        <f t="shared" si="182"/>
        <v>86749963.227469385</v>
      </c>
      <c r="AZ448" s="365"/>
      <c r="BA448" s="377">
        <f t="shared" si="183"/>
        <v>0</v>
      </c>
      <c r="BB448" s="377">
        <f t="shared" si="184"/>
        <v>0</v>
      </c>
      <c r="BC448" s="377">
        <f t="shared" si="185"/>
        <v>0</v>
      </c>
      <c r="BD448" s="377">
        <f t="shared" si="186"/>
        <v>0</v>
      </c>
      <c r="BE448" s="377">
        <f t="shared" si="187"/>
        <v>0</v>
      </c>
      <c r="BF448" s="377">
        <f t="shared" si="188"/>
        <v>0</v>
      </c>
      <c r="BG448" s="328"/>
    </row>
    <row r="449" spans="2:59">
      <c r="B449" s="332">
        <v>434</v>
      </c>
      <c r="C449" s="350">
        <v>3990463.4030274893</v>
      </c>
      <c r="D449" s="350">
        <v>3976083.0429159114</v>
      </c>
      <c r="E449" s="350">
        <v>3960531.3884742158</v>
      </c>
      <c r="F449" s="350">
        <v>3941873.8498945995</v>
      </c>
      <c r="G449" s="350">
        <v>3918396.5912895659</v>
      </c>
      <c r="H449" s="348">
        <v>19787348.275601782</v>
      </c>
      <c r="I449" s="369"/>
      <c r="J449" s="350">
        <v>14590526.753576251</v>
      </c>
      <c r="K449" s="350">
        <v>14300224.71377138</v>
      </c>
      <c r="L449" s="350">
        <v>14000855.316185348</v>
      </c>
      <c r="M449" s="350">
        <v>13670103.882586353</v>
      </c>
      <c r="N449" s="350">
        <v>13289195.403868668</v>
      </c>
      <c r="O449" s="348">
        <v>69850906.069987997</v>
      </c>
      <c r="P449" s="369"/>
      <c r="Q449" s="350">
        <f t="shared" si="189"/>
        <v>10600063.350548761</v>
      </c>
      <c r="R449" s="350">
        <f t="shared" si="190"/>
        <v>10324141.67085547</v>
      </c>
      <c r="S449" s="350">
        <f t="shared" si="191"/>
        <v>10040323.927711133</v>
      </c>
      <c r="T449" s="350">
        <f t="shared" si="192"/>
        <v>9728230.0326917525</v>
      </c>
      <c r="U449" s="350">
        <f t="shared" si="193"/>
        <v>9370798.8125791028</v>
      </c>
      <c r="V449" s="350">
        <f t="shared" si="194"/>
        <v>50063557.794386216</v>
      </c>
      <c r="W449" s="365"/>
      <c r="X449" s="377">
        <f t="shared" si="172"/>
        <v>0</v>
      </c>
      <c r="Y449" s="377">
        <f t="shared" si="173"/>
        <v>0</v>
      </c>
      <c r="Z449" s="377">
        <f t="shared" si="174"/>
        <v>0</v>
      </c>
      <c r="AA449" s="377">
        <f t="shared" si="175"/>
        <v>0</v>
      </c>
      <c r="AB449" s="377">
        <f t="shared" si="176"/>
        <v>0</v>
      </c>
      <c r="AC449" s="377">
        <f t="shared" si="177"/>
        <v>0</v>
      </c>
      <c r="AD449" s="376"/>
      <c r="AE449" s="332">
        <v>434</v>
      </c>
      <c r="AF449" s="350">
        <v>387893.54499876121</v>
      </c>
      <c r="AG449" s="350">
        <v>386495.7001124238</v>
      </c>
      <c r="AH449" s="350">
        <v>384983.9993993165</v>
      </c>
      <c r="AI449" s="350">
        <v>383170.39079057495</v>
      </c>
      <c r="AJ449" s="350">
        <v>380888.28063257947</v>
      </c>
      <c r="AK449" s="348">
        <v>1923431.915933656</v>
      </c>
      <c r="AL449" s="369"/>
      <c r="AM449" s="350">
        <v>11750152.593595665</v>
      </c>
      <c r="AN449" s="350">
        <v>11647468.140474189</v>
      </c>
      <c r="AO449" s="350">
        <v>11534804.349765895</v>
      </c>
      <c r="AP449" s="350">
        <v>11389956.405257965</v>
      </c>
      <c r="AQ449" s="350">
        <v>11193921.381558908</v>
      </c>
      <c r="AR449" s="348">
        <v>57516302.870652623</v>
      </c>
      <c r="AS449" s="369"/>
      <c r="AT449" s="350">
        <f t="shared" si="195"/>
        <v>11362259.048596904</v>
      </c>
      <c r="AU449" s="350">
        <f t="shared" si="178"/>
        <v>11260972.440361766</v>
      </c>
      <c r="AV449" s="350">
        <f t="shared" si="179"/>
        <v>11149820.350366578</v>
      </c>
      <c r="AW449" s="350">
        <f t="shared" si="180"/>
        <v>11006786.01446739</v>
      </c>
      <c r="AX449" s="350">
        <f t="shared" si="181"/>
        <v>10813033.100926328</v>
      </c>
      <c r="AY449" s="350">
        <f t="shared" si="182"/>
        <v>55592870.95471897</v>
      </c>
      <c r="AZ449" s="365"/>
      <c r="BA449" s="377">
        <f t="shared" si="183"/>
        <v>0</v>
      </c>
      <c r="BB449" s="377">
        <f t="shared" si="184"/>
        <v>0</v>
      </c>
      <c r="BC449" s="377">
        <f t="shared" si="185"/>
        <v>0</v>
      </c>
      <c r="BD449" s="377">
        <f t="shared" si="186"/>
        <v>0</v>
      </c>
      <c r="BE449" s="377">
        <f t="shared" si="187"/>
        <v>0</v>
      </c>
      <c r="BF449" s="377">
        <f t="shared" si="188"/>
        <v>0</v>
      </c>
      <c r="BG449" s="328"/>
    </row>
    <row r="450" spans="2:59">
      <c r="B450" s="332">
        <v>435</v>
      </c>
      <c r="C450" s="350">
        <v>5204984.0894628484</v>
      </c>
      <c r="D450" s="350">
        <v>5186226.9833270749</v>
      </c>
      <c r="E450" s="350">
        <v>5165942.0926368255</v>
      </c>
      <c r="F450" s="350">
        <v>5141606.0239532329</v>
      </c>
      <c r="G450" s="350">
        <v>5110983.3254940296</v>
      </c>
      <c r="H450" s="348">
        <v>25809742.514874011</v>
      </c>
      <c r="I450" s="369"/>
      <c r="J450" s="350">
        <v>16089508.722725824</v>
      </c>
      <c r="K450" s="350">
        <v>15732053.686712783</v>
      </c>
      <c r="L450" s="350">
        <v>15365361.989179876</v>
      </c>
      <c r="M450" s="350">
        <v>14966031.990728913</v>
      </c>
      <c r="N450" s="350">
        <v>14514465.352070194</v>
      </c>
      <c r="O450" s="348">
        <v>76667421.741417587</v>
      </c>
      <c r="P450" s="369"/>
      <c r="Q450" s="350">
        <f t="shared" si="189"/>
        <v>10884524.633262975</v>
      </c>
      <c r="R450" s="350">
        <f t="shared" si="190"/>
        <v>10545826.703385707</v>
      </c>
      <c r="S450" s="350">
        <f t="shared" si="191"/>
        <v>10199419.89654305</v>
      </c>
      <c r="T450" s="350">
        <f t="shared" si="192"/>
        <v>9824425.96677568</v>
      </c>
      <c r="U450" s="350">
        <f t="shared" si="193"/>
        <v>9403482.0265761651</v>
      </c>
      <c r="V450" s="350">
        <f t="shared" si="194"/>
        <v>50857679.226543576</v>
      </c>
      <c r="W450" s="365"/>
      <c r="X450" s="377">
        <f t="shared" si="172"/>
        <v>0</v>
      </c>
      <c r="Y450" s="377">
        <f t="shared" si="173"/>
        <v>0</v>
      </c>
      <c r="Z450" s="377">
        <f t="shared" si="174"/>
        <v>0</v>
      </c>
      <c r="AA450" s="377">
        <f t="shared" si="175"/>
        <v>0</v>
      </c>
      <c r="AB450" s="377">
        <f t="shared" si="176"/>
        <v>0</v>
      </c>
      <c r="AC450" s="377">
        <f t="shared" si="177"/>
        <v>0</v>
      </c>
      <c r="AD450" s="376"/>
      <c r="AE450" s="332">
        <v>435</v>
      </c>
      <c r="AF450" s="350">
        <v>559905.2439972898</v>
      </c>
      <c r="AG450" s="350">
        <v>557887.52369168994</v>
      </c>
      <c r="AH450" s="350">
        <v>555705.45810298331</v>
      </c>
      <c r="AI450" s="350">
        <v>553087.60332379048</v>
      </c>
      <c r="AJ450" s="350">
        <v>549793.48961317108</v>
      </c>
      <c r="AK450" s="348">
        <v>2776379.3187289252</v>
      </c>
      <c r="AL450" s="369"/>
      <c r="AM450" s="350">
        <v>16612657.993163127</v>
      </c>
      <c r="AN450" s="350">
        <v>16466946.986643717</v>
      </c>
      <c r="AO450" s="350">
        <v>16307137.831842832</v>
      </c>
      <c r="AP450" s="350">
        <v>16101854.026915969</v>
      </c>
      <c r="AQ450" s="350">
        <v>15824244.554243112</v>
      </c>
      <c r="AR450" s="348">
        <v>81312841.392808765</v>
      </c>
      <c r="AS450" s="369"/>
      <c r="AT450" s="350">
        <f t="shared" si="195"/>
        <v>16052752.749165837</v>
      </c>
      <c r="AU450" s="350">
        <f t="shared" si="178"/>
        <v>15909059.462952027</v>
      </c>
      <c r="AV450" s="350">
        <f t="shared" si="179"/>
        <v>15751432.37373985</v>
      </c>
      <c r="AW450" s="350">
        <f t="shared" si="180"/>
        <v>15548766.423592178</v>
      </c>
      <c r="AX450" s="350">
        <f t="shared" si="181"/>
        <v>15274451.06462994</v>
      </c>
      <c r="AY450" s="350">
        <f t="shared" si="182"/>
        <v>78536462.074079841</v>
      </c>
      <c r="AZ450" s="365"/>
      <c r="BA450" s="377">
        <f t="shared" si="183"/>
        <v>0</v>
      </c>
      <c r="BB450" s="377">
        <f t="shared" si="184"/>
        <v>0</v>
      </c>
      <c r="BC450" s="377">
        <f t="shared" si="185"/>
        <v>0</v>
      </c>
      <c r="BD450" s="377">
        <f t="shared" si="186"/>
        <v>0</v>
      </c>
      <c r="BE450" s="377">
        <f t="shared" si="187"/>
        <v>0</v>
      </c>
      <c r="BF450" s="377">
        <f t="shared" si="188"/>
        <v>0</v>
      </c>
      <c r="BG450" s="328"/>
    </row>
    <row r="451" spans="2:59">
      <c r="B451" s="332">
        <v>436</v>
      </c>
      <c r="C451" s="350">
        <v>8001269.1367086964</v>
      </c>
      <c r="D451" s="350">
        <v>7972435.1091999533</v>
      </c>
      <c r="E451" s="350">
        <v>7941252.5220812019</v>
      </c>
      <c r="F451" s="350">
        <v>7903842.333707897</v>
      </c>
      <c r="G451" s="350">
        <v>7856768.1356214136</v>
      </c>
      <c r="H451" s="348">
        <v>39675567.237319164</v>
      </c>
      <c r="I451" s="369"/>
      <c r="J451" s="350">
        <v>30289480.055579022</v>
      </c>
      <c r="K451" s="350">
        <v>29699943.333690144</v>
      </c>
      <c r="L451" s="350">
        <v>29091315.121525895</v>
      </c>
      <c r="M451" s="350">
        <v>28416847.068978548</v>
      </c>
      <c r="N451" s="350">
        <v>27637174.228062689</v>
      </c>
      <c r="O451" s="348">
        <v>145134759.80783629</v>
      </c>
      <c r="P451" s="369"/>
      <c r="Q451" s="350">
        <f t="shared" si="189"/>
        <v>22288210.918870326</v>
      </c>
      <c r="R451" s="350">
        <f t="shared" si="190"/>
        <v>21727508.224490192</v>
      </c>
      <c r="S451" s="350">
        <f t="shared" si="191"/>
        <v>21150062.599444695</v>
      </c>
      <c r="T451" s="350">
        <f t="shared" si="192"/>
        <v>20513004.735270649</v>
      </c>
      <c r="U451" s="350">
        <f t="shared" si="193"/>
        <v>19780406.092441276</v>
      </c>
      <c r="V451" s="350">
        <f t="shared" si="194"/>
        <v>105459192.57051712</v>
      </c>
      <c r="W451" s="365"/>
      <c r="X451" s="377">
        <f t="shared" si="172"/>
        <v>0</v>
      </c>
      <c r="Y451" s="377">
        <f t="shared" si="173"/>
        <v>0</v>
      </c>
      <c r="Z451" s="377">
        <f t="shared" si="174"/>
        <v>0</v>
      </c>
      <c r="AA451" s="377">
        <f t="shared" si="175"/>
        <v>0</v>
      </c>
      <c r="AB451" s="377">
        <f t="shared" si="176"/>
        <v>0</v>
      </c>
      <c r="AC451" s="377">
        <f t="shared" si="177"/>
        <v>0</v>
      </c>
      <c r="AD451" s="376"/>
      <c r="AE451" s="332">
        <v>436</v>
      </c>
      <c r="AF451" s="350">
        <v>405403.53710216546</v>
      </c>
      <c r="AG451" s="350">
        <v>403942.59177696489</v>
      </c>
      <c r="AH451" s="350">
        <v>402362.65103282203</v>
      </c>
      <c r="AI451" s="350">
        <v>400467.17389899888</v>
      </c>
      <c r="AJ451" s="350">
        <v>398082.04647928092</v>
      </c>
      <c r="AK451" s="348">
        <v>2010258.0002902322</v>
      </c>
      <c r="AL451" s="369"/>
      <c r="AM451" s="350">
        <v>15158253.642029617</v>
      </c>
      <c r="AN451" s="350">
        <v>15030193.366688782</v>
      </c>
      <c r="AO451" s="350">
        <v>14889169.270909771</v>
      </c>
      <c r="AP451" s="350">
        <v>14706393.741647404</v>
      </c>
      <c r="AQ451" s="350">
        <v>14457221.566911809</v>
      </c>
      <c r="AR451" s="348">
        <v>74241231.588187397</v>
      </c>
      <c r="AS451" s="369"/>
      <c r="AT451" s="350">
        <f t="shared" si="195"/>
        <v>14752850.104927452</v>
      </c>
      <c r="AU451" s="350">
        <f t="shared" si="178"/>
        <v>14626250.774911817</v>
      </c>
      <c r="AV451" s="350">
        <f t="shared" si="179"/>
        <v>14486806.619876949</v>
      </c>
      <c r="AW451" s="350">
        <f t="shared" si="180"/>
        <v>14305926.567748405</v>
      </c>
      <c r="AX451" s="350">
        <f t="shared" si="181"/>
        <v>14059139.520432528</v>
      </c>
      <c r="AY451" s="350">
        <f t="shared" si="182"/>
        <v>72230973.587897167</v>
      </c>
      <c r="AZ451" s="365"/>
      <c r="BA451" s="377">
        <f t="shared" si="183"/>
        <v>0</v>
      </c>
      <c r="BB451" s="377">
        <f t="shared" si="184"/>
        <v>0</v>
      </c>
      <c r="BC451" s="377">
        <f t="shared" si="185"/>
        <v>0</v>
      </c>
      <c r="BD451" s="377">
        <f t="shared" si="186"/>
        <v>0</v>
      </c>
      <c r="BE451" s="377">
        <f t="shared" si="187"/>
        <v>0</v>
      </c>
      <c r="BF451" s="377">
        <f t="shared" si="188"/>
        <v>0</v>
      </c>
      <c r="BG451" s="328"/>
    </row>
    <row r="452" spans="2:59">
      <c r="B452" s="332">
        <v>437</v>
      </c>
      <c r="C452" s="350">
        <v>5623540.0135754235</v>
      </c>
      <c r="D452" s="350">
        <v>5603274.5650975024</v>
      </c>
      <c r="E452" s="350">
        <v>5581358.4761129944</v>
      </c>
      <c r="F452" s="350">
        <v>5555065.4358917242</v>
      </c>
      <c r="G452" s="350">
        <v>5521980.2300295969</v>
      </c>
      <c r="H452" s="348">
        <v>27885218.720707245</v>
      </c>
      <c r="I452" s="369"/>
      <c r="J452" s="350">
        <v>18365195.059237067</v>
      </c>
      <c r="K452" s="350">
        <v>17971918.870753206</v>
      </c>
      <c r="L452" s="350">
        <v>17567798.665410429</v>
      </c>
      <c r="M452" s="350">
        <v>17125646.943136632</v>
      </c>
      <c r="N452" s="350">
        <v>16622656.927823331</v>
      </c>
      <c r="O452" s="348">
        <v>87653216.466360673</v>
      </c>
      <c r="P452" s="369"/>
      <c r="Q452" s="350">
        <f t="shared" si="189"/>
        <v>12741655.045661643</v>
      </c>
      <c r="R452" s="350">
        <f t="shared" si="190"/>
        <v>12368644.305655703</v>
      </c>
      <c r="S452" s="350">
        <f t="shared" si="191"/>
        <v>11986440.189297434</v>
      </c>
      <c r="T452" s="350">
        <f t="shared" si="192"/>
        <v>11570581.507244907</v>
      </c>
      <c r="U452" s="350">
        <f t="shared" si="193"/>
        <v>11100676.697793733</v>
      </c>
      <c r="V452" s="350">
        <f t="shared" si="194"/>
        <v>59767997.745653428</v>
      </c>
      <c r="W452" s="365"/>
      <c r="X452" s="377">
        <f t="shared" si="172"/>
        <v>0</v>
      </c>
      <c r="Y452" s="377">
        <f t="shared" si="173"/>
        <v>0</v>
      </c>
      <c r="Z452" s="377">
        <f t="shared" si="174"/>
        <v>0</v>
      </c>
      <c r="AA452" s="377">
        <f t="shared" si="175"/>
        <v>0</v>
      </c>
      <c r="AB452" s="377">
        <f t="shared" si="176"/>
        <v>0</v>
      </c>
      <c r="AC452" s="377">
        <f t="shared" si="177"/>
        <v>0</v>
      </c>
      <c r="AD452" s="376"/>
      <c r="AE452" s="332">
        <v>437</v>
      </c>
      <c r="AF452" s="350">
        <v>422076.52184108237</v>
      </c>
      <c r="AG452" s="350">
        <v>420555.492385177</v>
      </c>
      <c r="AH452" s="350">
        <v>418910.57359939243</v>
      </c>
      <c r="AI452" s="350">
        <v>416937.14139504591</v>
      </c>
      <c r="AJ452" s="350">
        <v>414453.92111369787</v>
      </c>
      <c r="AK452" s="348">
        <v>2092933.6503343955</v>
      </c>
      <c r="AL452" s="369"/>
      <c r="AM452" s="350">
        <v>13413665.48665956</v>
      </c>
      <c r="AN452" s="350">
        <v>13297405.52718159</v>
      </c>
      <c r="AO452" s="350">
        <v>13169733.775768464</v>
      </c>
      <c r="AP452" s="350">
        <v>13005270.731162546</v>
      </c>
      <c r="AQ452" s="350">
        <v>12782294.664032713</v>
      </c>
      <c r="AR452" s="348">
        <v>65668370.184804879</v>
      </c>
      <c r="AS452" s="369"/>
      <c r="AT452" s="350">
        <f t="shared" si="195"/>
        <v>12991588.964818478</v>
      </c>
      <c r="AU452" s="350">
        <f t="shared" si="178"/>
        <v>12876850.034796413</v>
      </c>
      <c r="AV452" s="350">
        <f t="shared" si="179"/>
        <v>12750823.202169072</v>
      </c>
      <c r="AW452" s="350">
        <f t="shared" si="180"/>
        <v>12588333.589767501</v>
      </c>
      <c r="AX452" s="350">
        <f t="shared" si="181"/>
        <v>12367840.742919015</v>
      </c>
      <c r="AY452" s="350">
        <f t="shared" si="182"/>
        <v>63575436.534470484</v>
      </c>
      <c r="AZ452" s="365"/>
      <c r="BA452" s="377">
        <f t="shared" si="183"/>
        <v>0</v>
      </c>
      <c r="BB452" s="377">
        <f t="shared" si="184"/>
        <v>0</v>
      </c>
      <c r="BC452" s="377">
        <f t="shared" si="185"/>
        <v>0</v>
      </c>
      <c r="BD452" s="377">
        <f t="shared" si="186"/>
        <v>0</v>
      </c>
      <c r="BE452" s="377">
        <f t="shared" si="187"/>
        <v>0</v>
      </c>
      <c r="BF452" s="377">
        <f t="shared" si="188"/>
        <v>0</v>
      </c>
      <c r="BG452" s="328"/>
    </row>
    <row r="453" spans="2:59">
      <c r="B453" s="332">
        <v>438</v>
      </c>
      <c r="C453" s="350">
        <v>5214342.0465672305</v>
      </c>
      <c r="D453" s="350">
        <v>5195551.2173322868</v>
      </c>
      <c r="E453" s="350">
        <v>5175229.8567636134</v>
      </c>
      <c r="F453" s="350">
        <v>5150850.0346538965</v>
      </c>
      <c r="G453" s="350">
        <v>5120172.2801380996</v>
      </c>
      <c r="H453" s="348">
        <v>25856145.435455121</v>
      </c>
      <c r="I453" s="369"/>
      <c r="J453" s="350">
        <v>18159674.730322033</v>
      </c>
      <c r="K453" s="350">
        <v>17786865.080659851</v>
      </c>
      <c r="L453" s="350">
        <v>17403004.708937302</v>
      </c>
      <c r="M453" s="350">
        <v>16980691.504868686</v>
      </c>
      <c r="N453" s="350">
        <v>16496898.106657077</v>
      </c>
      <c r="O453" s="348">
        <v>86827134.131444946</v>
      </c>
      <c r="P453" s="369"/>
      <c r="Q453" s="350">
        <f t="shared" si="189"/>
        <v>12945332.683754802</v>
      </c>
      <c r="R453" s="350">
        <f t="shared" si="190"/>
        <v>12591313.863327565</v>
      </c>
      <c r="S453" s="350">
        <f t="shared" si="191"/>
        <v>12227774.85217369</v>
      </c>
      <c r="T453" s="350">
        <f t="shared" si="192"/>
        <v>11829841.47021479</v>
      </c>
      <c r="U453" s="350">
        <f t="shared" si="193"/>
        <v>11376725.826518977</v>
      </c>
      <c r="V453" s="350">
        <f t="shared" si="194"/>
        <v>60970988.695989825</v>
      </c>
      <c r="W453" s="365"/>
      <c r="X453" s="377">
        <f t="shared" si="172"/>
        <v>0</v>
      </c>
      <c r="Y453" s="377">
        <f t="shared" si="173"/>
        <v>0</v>
      </c>
      <c r="Z453" s="377">
        <f t="shared" si="174"/>
        <v>0</v>
      </c>
      <c r="AA453" s="377">
        <f t="shared" si="175"/>
        <v>0</v>
      </c>
      <c r="AB453" s="377">
        <f t="shared" si="176"/>
        <v>0</v>
      </c>
      <c r="AC453" s="377">
        <f t="shared" si="177"/>
        <v>0</v>
      </c>
      <c r="AD453" s="376"/>
      <c r="AE453" s="332">
        <v>438</v>
      </c>
      <c r="AF453" s="350">
        <v>565091.03204225702</v>
      </c>
      <c r="AG453" s="350">
        <v>563054.62380695622</v>
      </c>
      <c r="AH453" s="350">
        <v>560852.34813848266</v>
      </c>
      <c r="AI453" s="350">
        <v>558210.247042323</v>
      </c>
      <c r="AJ453" s="350">
        <v>554885.62357012799</v>
      </c>
      <c r="AK453" s="348">
        <v>2802093.8746001469</v>
      </c>
      <c r="AL453" s="369"/>
      <c r="AM453" s="350">
        <v>18804396.949885353</v>
      </c>
      <c r="AN453" s="350">
        <v>18642648.682565883</v>
      </c>
      <c r="AO453" s="350">
        <v>18464877.200138081</v>
      </c>
      <c r="AP453" s="350">
        <v>18235463.522266146</v>
      </c>
      <c r="AQ453" s="350">
        <v>17923919.747210514</v>
      </c>
      <c r="AR453" s="348">
        <v>92071306.10206598</v>
      </c>
      <c r="AS453" s="369"/>
      <c r="AT453" s="350">
        <f t="shared" si="195"/>
        <v>18239305.917843096</v>
      </c>
      <c r="AU453" s="350">
        <f t="shared" si="178"/>
        <v>18079594.058758926</v>
      </c>
      <c r="AV453" s="350">
        <f t="shared" si="179"/>
        <v>17904024.851999599</v>
      </c>
      <c r="AW453" s="350">
        <f t="shared" si="180"/>
        <v>17677253.275223821</v>
      </c>
      <c r="AX453" s="350">
        <f t="shared" si="181"/>
        <v>17369034.123640385</v>
      </c>
      <c r="AY453" s="350">
        <f t="shared" si="182"/>
        <v>89269212.227465838</v>
      </c>
      <c r="AZ453" s="365"/>
      <c r="BA453" s="377">
        <f t="shared" si="183"/>
        <v>0</v>
      </c>
      <c r="BB453" s="377">
        <f t="shared" si="184"/>
        <v>0</v>
      </c>
      <c r="BC453" s="377">
        <f t="shared" si="185"/>
        <v>0</v>
      </c>
      <c r="BD453" s="377">
        <f t="shared" si="186"/>
        <v>0</v>
      </c>
      <c r="BE453" s="377">
        <f t="shared" si="187"/>
        <v>0</v>
      </c>
      <c r="BF453" s="377">
        <f t="shared" si="188"/>
        <v>0</v>
      </c>
      <c r="BG453" s="328"/>
    </row>
    <row r="454" spans="2:59">
      <c r="B454" s="332">
        <v>439</v>
      </c>
      <c r="C454" s="350">
        <v>4665239.7814211305</v>
      </c>
      <c r="D454" s="350">
        <v>4648427.7419941314</v>
      </c>
      <c r="E454" s="350">
        <v>4630246.3455895772</v>
      </c>
      <c r="F454" s="350">
        <v>4608433.8685877854</v>
      </c>
      <c r="G454" s="350">
        <v>4580986.6701697242</v>
      </c>
      <c r="H454" s="348">
        <v>23133334.407762349</v>
      </c>
      <c r="I454" s="369"/>
      <c r="J454" s="350">
        <v>18068209.704827745</v>
      </c>
      <c r="K454" s="350">
        <v>17721535.600299917</v>
      </c>
      <c r="L454" s="350">
        <v>17363371.087390576</v>
      </c>
      <c r="M454" s="350">
        <v>16965668.630080707</v>
      </c>
      <c r="N454" s="350">
        <v>16504798.406292984</v>
      </c>
      <c r="O454" s="348">
        <v>86623583.428891942</v>
      </c>
      <c r="P454" s="369"/>
      <c r="Q454" s="350">
        <f t="shared" si="189"/>
        <v>13402969.923406614</v>
      </c>
      <c r="R454" s="350">
        <f t="shared" si="190"/>
        <v>13073107.858305786</v>
      </c>
      <c r="S454" s="350">
        <f t="shared" si="191"/>
        <v>12733124.741800997</v>
      </c>
      <c r="T454" s="350">
        <f t="shared" si="192"/>
        <v>12357234.761492923</v>
      </c>
      <c r="U454" s="350">
        <f t="shared" si="193"/>
        <v>11923811.73612326</v>
      </c>
      <c r="V454" s="350">
        <f t="shared" si="194"/>
        <v>63490249.021129593</v>
      </c>
      <c r="W454" s="365"/>
      <c r="X454" s="377">
        <f t="shared" si="172"/>
        <v>0</v>
      </c>
      <c r="Y454" s="377">
        <f t="shared" si="173"/>
        <v>0</v>
      </c>
      <c r="Z454" s="377">
        <f t="shared" si="174"/>
        <v>0</v>
      </c>
      <c r="AA454" s="377">
        <f t="shared" si="175"/>
        <v>0</v>
      </c>
      <c r="AB454" s="377">
        <f t="shared" si="176"/>
        <v>0</v>
      </c>
      <c r="AC454" s="377">
        <f t="shared" si="177"/>
        <v>0</v>
      </c>
      <c r="AD454" s="376"/>
      <c r="AE454" s="332">
        <v>439</v>
      </c>
      <c r="AF454" s="350">
        <v>420324.89116046025</v>
      </c>
      <c r="AG454" s="350">
        <v>418810.17402405909</v>
      </c>
      <c r="AH454" s="350">
        <v>417172.08170234744</v>
      </c>
      <c r="AI454" s="350">
        <v>415206.83930296852</v>
      </c>
      <c r="AJ454" s="350">
        <v>412733.92446294782</v>
      </c>
      <c r="AK454" s="348">
        <v>2084247.910652783</v>
      </c>
      <c r="AL454" s="369"/>
      <c r="AM454" s="350">
        <v>14718811.573736195</v>
      </c>
      <c r="AN454" s="350">
        <v>14593226.22122087</v>
      </c>
      <c r="AO454" s="350">
        <v>14455078.144552859</v>
      </c>
      <c r="AP454" s="350">
        <v>14276454.261268079</v>
      </c>
      <c r="AQ454" s="350">
        <v>14033460.484429033</v>
      </c>
      <c r="AR454" s="348">
        <v>72077030.685207039</v>
      </c>
      <c r="AS454" s="369"/>
      <c r="AT454" s="350">
        <f t="shared" si="195"/>
        <v>14298486.682575734</v>
      </c>
      <c r="AU454" s="350">
        <f t="shared" si="178"/>
        <v>14174416.047196811</v>
      </c>
      <c r="AV454" s="350">
        <f t="shared" si="179"/>
        <v>14037906.062850511</v>
      </c>
      <c r="AW454" s="350">
        <f t="shared" si="180"/>
        <v>13861247.421965111</v>
      </c>
      <c r="AX454" s="350">
        <f t="shared" si="181"/>
        <v>13620726.559966085</v>
      </c>
      <c r="AY454" s="350">
        <f t="shared" si="182"/>
        <v>69992782.774554253</v>
      </c>
      <c r="AZ454" s="365"/>
      <c r="BA454" s="377">
        <f t="shared" si="183"/>
        <v>0</v>
      </c>
      <c r="BB454" s="377">
        <f t="shared" si="184"/>
        <v>0</v>
      </c>
      <c r="BC454" s="377">
        <f t="shared" si="185"/>
        <v>0</v>
      </c>
      <c r="BD454" s="377">
        <f t="shared" si="186"/>
        <v>0</v>
      </c>
      <c r="BE454" s="377">
        <f t="shared" si="187"/>
        <v>0</v>
      </c>
      <c r="BF454" s="377">
        <f t="shared" si="188"/>
        <v>0</v>
      </c>
      <c r="BG454" s="328"/>
    </row>
    <row r="455" spans="2:59">
      <c r="B455" s="332">
        <v>440</v>
      </c>
      <c r="C455" s="350">
        <v>3119583.3049054868</v>
      </c>
      <c r="D455" s="350">
        <v>3108341.3195038484</v>
      </c>
      <c r="E455" s="350">
        <v>3096183.6634473708</v>
      </c>
      <c r="F455" s="350">
        <v>3081597.9524696814</v>
      </c>
      <c r="G455" s="350">
        <v>3063244.3788136393</v>
      </c>
      <c r="H455" s="348">
        <v>15468950.619140025</v>
      </c>
      <c r="I455" s="369"/>
      <c r="J455" s="350">
        <v>10400862.158107314</v>
      </c>
      <c r="K455" s="350">
        <v>10181162.184122529</v>
      </c>
      <c r="L455" s="350">
        <v>9955259.0611509401</v>
      </c>
      <c r="M455" s="350">
        <v>9707657.8035945036</v>
      </c>
      <c r="N455" s="350">
        <v>9425352.4944953471</v>
      </c>
      <c r="O455" s="348">
        <v>49670293.701470628</v>
      </c>
      <c r="P455" s="369"/>
      <c r="Q455" s="350">
        <f t="shared" si="189"/>
        <v>7281278.853201827</v>
      </c>
      <c r="R455" s="350">
        <f t="shared" si="190"/>
        <v>7072820.8646186804</v>
      </c>
      <c r="S455" s="350">
        <f t="shared" si="191"/>
        <v>6859075.3977035694</v>
      </c>
      <c r="T455" s="350">
        <f t="shared" si="192"/>
        <v>6626059.8511248222</v>
      </c>
      <c r="U455" s="350">
        <f t="shared" si="193"/>
        <v>6362108.1156817079</v>
      </c>
      <c r="V455" s="350">
        <f t="shared" si="194"/>
        <v>34201343.082330599</v>
      </c>
      <c r="W455" s="365"/>
      <c r="X455" s="377">
        <f t="shared" si="172"/>
        <v>0</v>
      </c>
      <c r="Y455" s="377">
        <f t="shared" si="173"/>
        <v>0</v>
      </c>
      <c r="Z455" s="377">
        <f t="shared" si="174"/>
        <v>0</v>
      </c>
      <c r="AA455" s="377">
        <f t="shared" si="175"/>
        <v>0</v>
      </c>
      <c r="AB455" s="377">
        <f t="shared" si="176"/>
        <v>0</v>
      </c>
      <c r="AC455" s="377">
        <f t="shared" si="177"/>
        <v>0</v>
      </c>
      <c r="AD455" s="376"/>
      <c r="AE455" s="332">
        <v>440</v>
      </c>
      <c r="AF455" s="350">
        <v>627081.03442004626</v>
      </c>
      <c r="AG455" s="350">
        <v>624821.23394492851</v>
      </c>
      <c r="AH455" s="350">
        <v>622377.37052123621</v>
      </c>
      <c r="AI455" s="350">
        <v>619445.43319702428</v>
      </c>
      <c r="AJ455" s="350">
        <v>615756.10137650906</v>
      </c>
      <c r="AK455" s="348">
        <v>3109481.1734597441</v>
      </c>
      <c r="AL455" s="369"/>
      <c r="AM455" s="350">
        <v>17576429.513918616</v>
      </c>
      <c r="AN455" s="350">
        <v>17420655.546380047</v>
      </c>
      <c r="AO455" s="350">
        <v>17249998.405467346</v>
      </c>
      <c r="AP455" s="350">
        <v>17031313.289682556</v>
      </c>
      <c r="AQ455" s="350">
        <v>16736239.111397982</v>
      </c>
      <c r="AR455" s="348">
        <v>86014635.866846547</v>
      </c>
      <c r="AS455" s="369"/>
      <c r="AT455" s="350">
        <f t="shared" si="195"/>
        <v>16949348.479498569</v>
      </c>
      <c r="AU455" s="350">
        <f t="shared" si="178"/>
        <v>16795834.312435117</v>
      </c>
      <c r="AV455" s="350">
        <f t="shared" si="179"/>
        <v>16627621.03494611</v>
      </c>
      <c r="AW455" s="350">
        <f t="shared" si="180"/>
        <v>16411867.856485531</v>
      </c>
      <c r="AX455" s="350">
        <f t="shared" si="181"/>
        <v>16120483.010021472</v>
      </c>
      <c r="AY455" s="350">
        <f t="shared" si="182"/>
        <v>82905154.693386808</v>
      </c>
      <c r="AZ455" s="365"/>
      <c r="BA455" s="377">
        <f t="shared" si="183"/>
        <v>0</v>
      </c>
      <c r="BB455" s="377">
        <f t="shared" si="184"/>
        <v>0</v>
      </c>
      <c r="BC455" s="377">
        <f t="shared" si="185"/>
        <v>0</v>
      </c>
      <c r="BD455" s="377">
        <f t="shared" si="186"/>
        <v>0</v>
      </c>
      <c r="BE455" s="377">
        <f t="shared" si="187"/>
        <v>0</v>
      </c>
      <c r="BF455" s="377">
        <f t="shared" si="188"/>
        <v>0</v>
      </c>
      <c r="BG455" s="328"/>
    </row>
    <row r="456" spans="2:59">
      <c r="B456" s="332">
        <v>441</v>
      </c>
      <c r="C456" s="350">
        <v>3370865.7309307745</v>
      </c>
      <c r="D456" s="350">
        <v>3358718.2036381327</v>
      </c>
      <c r="E456" s="350">
        <v>3345581.2484221002</v>
      </c>
      <c r="F456" s="350">
        <v>3329820.658468103</v>
      </c>
      <c r="G456" s="350">
        <v>3309988.7045081039</v>
      </c>
      <c r="H456" s="348">
        <v>16714974.545967214</v>
      </c>
      <c r="I456" s="369"/>
      <c r="J456" s="350">
        <v>10689773.094525015</v>
      </c>
      <c r="K456" s="350">
        <v>10456332.254996125</v>
      </c>
      <c r="L456" s="350">
        <v>10216671.928857634</v>
      </c>
      <c r="M456" s="350">
        <v>9955113.4018502198</v>
      </c>
      <c r="N456" s="350">
        <v>9658515.7020176686</v>
      </c>
      <c r="O456" s="348">
        <v>50976406.382246658</v>
      </c>
      <c r="P456" s="369"/>
      <c r="Q456" s="350">
        <f t="shared" si="189"/>
        <v>7318907.3635942405</v>
      </c>
      <c r="R456" s="350">
        <f t="shared" si="190"/>
        <v>7097614.051357992</v>
      </c>
      <c r="S456" s="350">
        <f t="shared" si="191"/>
        <v>6871090.6804355336</v>
      </c>
      <c r="T456" s="350">
        <f t="shared" si="192"/>
        <v>6625292.7433821168</v>
      </c>
      <c r="U456" s="350">
        <f t="shared" si="193"/>
        <v>6348526.9975095652</v>
      </c>
      <c r="V456" s="350">
        <f t="shared" si="194"/>
        <v>34261431.836279444</v>
      </c>
      <c r="W456" s="365"/>
      <c r="X456" s="377">
        <f t="shared" si="172"/>
        <v>0</v>
      </c>
      <c r="Y456" s="377">
        <f t="shared" si="173"/>
        <v>0</v>
      </c>
      <c r="Z456" s="377">
        <f t="shared" si="174"/>
        <v>0</v>
      </c>
      <c r="AA456" s="377">
        <f t="shared" si="175"/>
        <v>0</v>
      </c>
      <c r="AB456" s="377">
        <f t="shared" si="176"/>
        <v>0</v>
      </c>
      <c r="AC456" s="377">
        <f t="shared" si="177"/>
        <v>0</v>
      </c>
      <c r="AD456" s="376"/>
      <c r="AE456" s="332">
        <v>441</v>
      </c>
      <c r="AF456" s="350">
        <v>345922.52921138995</v>
      </c>
      <c r="AG456" s="350">
        <v>344675.93450838031</v>
      </c>
      <c r="AH456" s="350">
        <v>343327.80345327244</v>
      </c>
      <c r="AI456" s="350">
        <v>341710.43166396505</v>
      </c>
      <c r="AJ456" s="350">
        <v>339675.25132139103</v>
      </c>
      <c r="AK456" s="348">
        <v>1715311.9501583988</v>
      </c>
      <c r="AL456" s="369"/>
      <c r="AM456" s="350">
        <v>9379859.2468892615</v>
      </c>
      <c r="AN456" s="350">
        <v>9296205.6600919515</v>
      </c>
      <c r="AO456" s="350">
        <v>9204620.1813276112</v>
      </c>
      <c r="AP456" s="350">
        <v>9087431.607503714</v>
      </c>
      <c r="AQ456" s="350">
        <v>8929520.2166709546</v>
      </c>
      <c r="AR456" s="348">
        <v>45897636.912483491</v>
      </c>
      <c r="AS456" s="369"/>
      <c r="AT456" s="350">
        <f t="shared" si="195"/>
        <v>9033936.7176778708</v>
      </c>
      <c r="AU456" s="350">
        <f t="shared" si="178"/>
        <v>8951529.7255835719</v>
      </c>
      <c r="AV456" s="350">
        <f t="shared" si="179"/>
        <v>8861292.377874339</v>
      </c>
      <c r="AW456" s="350">
        <f t="shared" si="180"/>
        <v>8745721.1758397482</v>
      </c>
      <c r="AX456" s="350">
        <f t="shared" si="181"/>
        <v>8589844.9653495643</v>
      </c>
      <c r="AY456" s="350">
        <f t="shared" si="182"/>
        <v>44182324.962325089</v>
      </c>
      <c r="AZ456" s="365"/>
      <c r="BA456" s="377">
        <f t="shared" si="183"/>
        <v>0</v>
      </c>
      <c r="BB456" s="377">
        <f t="shared" si="184"/>
        <v>0</v>
      </c>
      <c r="BC456" s="377">
        <f t="shared" si="185"/>
        <v>0</v>
      </c>
      <c r="BD456" s="377">
        <f t="shared" si="186"/>
        <v>0</v>
      </c>
      <c r="BE456" s="377">
        <f t="shared" si="187"/>
        <v>0</v>
      </c>
      <c r="BF456" s="377">
        <f t="shared" si="188"/>
        <v>0</v>
      </c>
      <c r="BG456" s="328"/>
    </row>
    <row r="457" spans="2:59">
      <c r="B457" s="332">
        <v>442</v>
      </c>
      <c r="C457" s="350">
        <v>2906514.5280213989</v>
      </c>
      <c r="D457" s="350">
        <v>2896040.3746810197</v>
      </c>
      <c r="E457" s="350">
        <v>2884713.0913546612</v>
      </c>
      <c r="F457" s="350">
        <v>2871123.5902211247</v>
      </c>
      <c r="G457" s="350">
        <v>2854023.5729244202</v>
      </c>
      <c r="H457" s="348">
        <v>14412415.157202624</v>
      </c>
      <c r="I457" s="369"/>
      <c r="J457" s="350">
        <v>11041729.010715112</v>
      </c>
      <c r="K457" s="350">
        <v>10827295.683160406</v>
      </c>
      <c r="L457" s="350">
        <v>10605893.013849216</v>
      </c>
      <c r="M457" s="350">
        <v>10360463.969299538</v>
      </c>
      <c r="N457" s="350">
        <v>10076644.338520348</v>
      </c>
      <c r="O457" s="348">
        <v>52912026.015544623</v>
      </c>
      <c r="P457" s="369"/>
      <c r="Q457" s="350">
        <f t="shared" si="189"/>
        <v>8135214.4826937132</v>
      </c>
      <c r="R457" s="350">
        <f t="shared" si="190"/>
        <v>7931255.3084793855</v>
      </c>
      <c r="S457" s="350">
        <f t="shared" si="191"/>
        <v>7721179.9224945549</v>
      </c>
      <c r="T457" s="350">
        <f t="shared" si="192"/>
        <v>7489340.3790784134</v>
      </c>
      <c r="U457" s="350">
        <f t="shared" si="193"/>
        <v>7222620.7655959278</v>
      </c>
      <c r="V457" s="350">
        <f t="shared" si="194"/>
        <v>38499610.858341999</v>
      </c>
      <c r="W457" s="365"/>
      <c r="X457" s="377">
        <f t="shared" si="172"/>
        <v>0</v>
      </c>
      <c r="Y457" s="377">
        <f t="shared" si="173"/>
        <v>0</v>
      </c>
      <c r="Z457" s="377">
        <f t="shared" si="174"/>
        <v>0</v>
      </c>
      <c r="AA457" s="377">
        <f t="shared" si="175"/>
        <v>0</v>
      </c>
      <c r="AB457" s="377">
        <f t="shared" si="176"/>
        <v>0</v>
      </c>
      <c r="AC457" s="377">
        <f t="shared" si="177"/>
        <v>0</v>
      </c>
      <c r="AD457" s="376"/>
      <c r="AE457" s="332">
        <v>442</v>
      </c>
      <c r="AF457" s="350">
        <v>386401.20919954951</v>
      </c>
      <c r="AG457" s="350">
        <v>385008.74221648602</v>
      </c>
      <c r="AH457" s="350">
        <v>383502.85744210979</v>
      </c>
      <c r="AI457" s="350">
        <v>381696.22629686946</v>
      </c>
      <c r="AJ457" s="350">
        <v>379422.89605988684</v>
      </c>
      <c r="AK457" s="348">
        <v>1916031.9312149014</v>
      </c>
      <c r="AL457" s="369"/>
      <c r="AM457" s="350">
        <v>11563395.824328454</v>
      </c>
      <c r="AN457" s="350">
        <v>11462126.634013232</v>
      </c>
      <c r="AO457" s="350">
        <v>11351041.144687846</v>
      </c>
      <c r="AP457" s="350">
        <v>11208294.465154858</v>
      </c>
      <c r="AQ457" s="350">
        <v>11015192.12329682</v>
      </c>
      <c r="AR457" s="348">
        <v>56600050.19148121</v>
      </c>
      <c r="AS457" s="369"/>
      <c r="AT457" s="350">
        <f t="shared" si="195"/>
        <v>11176994.615128905</v>
      </c>
      <c r="AU457" s="350">
        <f t="shared" si="178"/>
        <v>11077117.891796745</v>
      </c>
      <c r="AV457" s="350">
        <f t="shared" si="179"/>
        <v>10967538.287245737</v>
      </c>
      <c r="AW457" s="350">
        <f t="shared" si="180"/>
        <v>10826598.238857988</v>
      </c>
      <c r="AX457" s="350">
        <f t="shared" si="181"/>
        <v>10635769.227236932</v>
      </c>
      <c r="AY457" s="350">
        <f t="shared" si="182"/>
        <v>54684018.260266311</v>
      </c>
      <c r="AZ457" s="365"/>
      <c r="BA457" s="377">
        <f t="shared" si="183"/>
        <v>0</v>
      </c>
      <c r="BB457" s="377">
        <f t="shared" si="184"/>
        <v>0</v>
      </c>
      <c r="BC457" s="377">
        <f t="shared" si="185"/>
        <v>0</v>
      </c>
      <c r="BD457" s="377">
        <f t="shared" si="186"/>
        <v>0</v>
      </c>
      <c r="BE457" s="377">
        <f t="shared" si="187"/>
        <v>0</v>
      </c>
      <c r="BF457" s="377">
        <f t="shared" si="188"/>
        <v>0</v>
      </c>
      <c r="BG457" s="328"/>
    </row>
    <row r="458" spans="2:59">
      <c r="B458" s="332">
        <v>443</v>
      </c>
      <c r="C458" s="350">
        <v>2966157.7451776774</v>
      </c>
      <c r="D458" s="350">
        <v>2955468.6566645382</v>
      </c>
      <c r="E458" s="350">
        <v>2943908.9314863631</v>
      </c>
      <c r="F458" s="350">
        <v>2930040.5665937308</v>
      </c>
      <c r="G458" s="350">
        <v>2912589.647887391</v>
      </c>
      <c r="H458" s="348">
        <v>14708165.547809701</v>
      </c>
      <c r="I458" s="369"/>
      <c r="J458" s="350">
        <v>8665336.2619702555</v>
      </c>
      <c r="K458" s="350">
        <v>8465263.2350561656</v>
      </c>
      <c r="L458" s="350">
        <v>8260369.9537998466</v>
      </c>
      <c r="M458" s="350">
        <v>8038297.0885484768</v>
      </c>
      <c r="N458" s="350">
        <v>7788713.4025903586</v>
      </c>
      <c r="O458" s="348">
        <v>41217979.941965103</v>
      </c>
      <c r="P458" s="369"/>
      <c r="Q458" s="350">
        <f t="shared" si="189"/>
        <v>5699178.5167925786</v>
      </c>
      <c r="R458" s="350">
        <f t="shared" si="190"/>
        <v>5509794.5783916274</v>
      </c>
      <c r="S458" s="350">
        <f t="shared" si="191"/>
        <v>5316461.0223134831</v>
      </c>
      <c r="T458" s="350">
        <f t="shared" si="192"/>
        <v>5108256.521954746</v>
      </c>
      <c r="U458" s="350">
        <f t="shared" si="193"/>
        <v>4876123.7547029676</v>
      </c>
      <c r="V458" s="350">
        <f t="shared" si="194"/>
        <v>26509814.394155402</v>
      </c>
      <c r="W458" s="365"/>
      <c r="X458" s="377">
        <f t="shared" si="172"/>
        <v>0</v>
      </c>
      <c r="Y458" s="377">
        <f t="shared" si="173"/>
        <v>0</v>
      </c>
      <c r="Z458" s="377">
        <f t="shared" si="174"/>
        <v>0</v>
      </c>
      <c r="AA458" s="377">
        <f t="shared" si="175"/>
        <v>0</v>
      </c>
      <c r="AB458" s="377">
        <f t="shared" si="176"/>
        <v>0</v>
      </c>
      <c r="AC458" s="377">
        <f t="shared" si="177"/>
        <v>0</v>
      </c>
      <c r="AD458" s="376"/>
      <c r="AE458" s="332">
        <v>443</v>
      </c>
      <c r="AF458" s="350">
        <v>482442.57119590027</v>
      </c>
      <c r="AG458" s="350">
        <v>480704.00171003834</v>
      </c>
      <c r="AH458" s="350">
        <v>478823.82404708583</v>
      </c>
      <c r="AI458" s="350">
        <v>476568.1484587047</v>
      </c>
      <c r="AJ458" s="350">
        <v>473729.7740991129</v>
      </c>
      <c r="AK458" s="348">
        <v>2392268.3195108422</v>
      </c>
      <c r="AL458" s="369"/>
      <c r="AM458" s="350">
        <v>16590081.744443975</v>
      </c>
      <c r="AN458" s="350">
        <v>16448127.435975567</v>
      </c>
      <c r="AO458" s="350">
        <v>16292021.469902594</v>
      </c>
      <c r="AP458" s="350">
        <v>16090315.051496604</v>
      </c>
      <c r="AQ458" s="350">
        <v>15816088.255845014</v>
      </c>
      <c r="AR458" s="348">
        <v>81236633.95766376</v>
      </c>
      <c r="AS458" s="369"/>
      <c r="AT458" s="350">
        <f t="shared" si="195"/>
        <v>16107639.173248075</v>
      </c>
      <c r="AU458" s="350">
        <f t="shared" si="178"/>
        <v>15967423.434265528</v>
      </c>
      <c r="AV458" s="350">
        <f t="shared" si="179"/>
        <v>15813197.645855509</v>
      </c>
      <c r="AW458" s="350">
        <f t="shared" si="180"/>
        <v>15613746.9030379</v>
      </c>
      <c r="AX458" s="350">
        <f t="shared" si="181"/>
        <v>15342358.481745901</v>
      </c>
      <c r="AY458" s="350">
        <f t="shared" si="182"/>
        <v>78844365.638152912</v>
      </c>
      <c r="AZ458" s="365"/>
      <c r="BA458" s="377">
        <f t="shared" si="183"/>
        <v>0</v>
      </c>
      <c r="BB458" s="377">
        <f t="shared" si="184"/>
        <v>0</v>
      </c>
      <c r="BC458" s="377">
        <f t="shared" si="185"/>
        <v>0</v>
      </c>
      <c r="BD458" s="377">
        <f t="shared" si="186"/>
        <v>0</v>
      </c>
      <c r="BE458" s="377">
        <f t="shared" si="187"/>
        <v>0</v>
      </c>
      <c r="BF458" s="377">
        <f t="shared" si="188"/>
        <v>0</v>
      </c>
      <c r="BG458" s="328"/>
    </row>
    <row r="459" spans="2:59">
      <c r="B459" s="332">
        <v>444</v>
      </c>
      <c r="C459" s="350">
        <v>5280990.0538615584</v>
      </c>
      <c r="D459" s="350">
        <v>5261959.0464195218</v>
      </c>
      <c r="E459" s="350">
        <v>5241377.9448949778</v>
      </c>
      <c r="F459" s="350">
        <v>5216686.5079070479</v>
      </c>
      <c r="G459" s="350">
        <v>5185616.6404096931</v>
      </c>
      <c r="H459" s="348">
        <v>26186630.1934928</v>
      </c>
      <c r="I459" s="369"/>
      <c r="J459" s="350">
        <v>19023952.139511928</v>
      </c>
      <c r="K459" s="350">
        <v>18641821.106251366</v>
      </c>
      <c r="L459" s="350">
        <v>18247941.437353715</v>
      </c>
      <c r="M459" s="350">
        <v>17813334.872321926</v>
      </c>
      <c r="N459" s="350">
        <v>17313628.674151652</v>
      </c>
      <c r="O459" s="348">
        <v>91040678.229590595</v>
      </c>
      <c r="P459" s="369"/>
      <c r="Q459" s="350">
        <f t="shared" si="189"/>
        <v>13742962.08565037</v>
      </c>
      <c r="R459" s="350">
        <f t="shared" si="190"/>
        <v>13379862.059831845</v>
      </c>
      <c r="S459" s="350">
        <f t="shared" si="191"/>
        <v>13006563.492458738</v>
      </c>
      <c r="T459" s="350">
        <f t="shared" si="192"/>
        <v>12596648.364414878</v>
      </c>
      <c r="U459" s="350">
        <f t="shared" si="193"/>
        <v>12128012.033741958</v>
      </c>
      <c r="V459" s="350">
        <f t="shared" si="194"/>
        <v>64854048.036097795</v>
      </c>
      <c r="W459" s="365"/>
      <c r="X459" s="377">
        <f t="shared" si="172"/>
        <v>0</v>
      </c>
      <c r="Y459" s="377">
        <f t="shared" si="173"/>
        <v>0</v>
      </c>
      <c r="Z459" s="377">
        <f t="shared" si="174"/>
        <v>0</v>
      </c>
      <c r="AA459" s="377">
        <f t="shared" si="175"/>
        <v>0</v>
      </c>
      <c r="AB459" s="377">
        <f t="shared" si="176"/>
        <v>0</v>
      </c>
      <c r="AC459" s="377">
        <f t="shared" si="177"/>
        <v>0</v>
      </c>
      <c r="AD459" s="376"/>
      <c r="AE459" s="332">
        <v>444</v>
      </c>
      <c r="AF459" s="350">
        <v>470228.4322931373</v>
      </c>
      <c r="AG459" s="350">
        <v>468533.87867664557</v>
      </c>
      <c r="AH459" s="350">
        <v>466701.30201847223</v>
      </c>
      <c r="AI459" s="350">
        <v>464502.73402506928</v>
      </c>
      <c r="AJ459" s="350">
        <v>461736.21961473569</v>
      </c>
      <c r="AK459" s="348">
        <v>2331702.5666280598</v>
      </c>
      <c r="AL459" s="369"/>
      <c r="AM459" s="350">
        <v>12599866.609133385</v>
      </c>
      <c r="AN459" s="350">
        <v>12487237.922608219</v>
      </c>
      <c r="AO459" s="350">
        <v>12363959.670993939</v>
      </c>
      <c r="AP459" s="350">
        <v>12206302.635214629</v>
      </c>
      <c r="AQ459" s="350">
        <v>11993964.283551801</v>
      </c>
      <c r="AR459" s="348">
        <v>61651331.121501967</v>
      </c>
      <c r="AS459" s="369"/>
      <c r="AT459" s="350">
        <f t="shared" si="195"/>
        <v>12129638.176840248</v>
      </c>
      <c r="AU459" s="350">
        <f t="shared" si="178"/>
        <v>12018704.043931574</v>
      </c>
      <c r="AV459" s="350">
        <f t="shared" si="179"/>
        <v>11897258.368975466</v>
      </c>
      <c r="AW459" s="350">
        <f t="shared" si="180"/>
        <v>11741799.90118956</v>
      </c>
      <c r="AX459" s="350">
        <f t="shared" si="181"/>
        <v>11532228.063937066</v>
      </c>
      <c r="AY459" s="350">
        <f t="shared" si="182"/>
        <v>59319628.554873906</v>
      </c>
      <c r="AZ459" s="365"/>
      <c r="BA459" s="377">
        <f t="shared" si="183"/>
        <v>0</v>
      </c>
      <c r="BB459" s="377">
        <f t="shared" si="184"/>
        <v>0</v>
      </c>
      <c r="BC459" s="377">
        <f t="shared" si="185"/>
        <v>0</v>
      </c>
      <c r="BD459" s="377">
        <f t="shared" si="186"/>
        <v>0</v>
      </c>
      <c r="BE459" s="377">
        <f t="shared" si="187"/>
        <v>0</v>
      </c>
      <c r="BF459" s="377">
        <f t="shared" si="188"/>
        <v>0</v>
      </c>
      <c r="BG459" s="328"/>
    </row>
    <row r="460" spans="2:59">
      <c r="B460" s="332">
        <v>445</v>
      </c>
      <c r="C460" s="350">
        <v>9220096.9182482641</v>
      </c>
      <c r="D460" s="350">
        <v>9186870.6233153287</v>
      </c>
      <c r="E460" s="350">
        <v>9150938.0143148936</v>
      </c>
      <c r="F460" s="350">
        <v>9107829.1578774396</v>
      </c>
      <c r="G460" s="350">
        <v>9053584.1798257809</v>
      </c>
      <c r="H460" s="348">
        <v>45719318.893581711</v>
      </c>
      <c r="I460" s="369"/>
      <c r="J460" s="350">
        <v>28006529.31849134</v>
      </c>
      <c r="K460" s="350">
        <v>27376897.530732464</v>
      </c>
      <c r="L460" s="350">
        <v>26731339.286647506</v>
      </c>
      <c r="M460" s="350">
        <v>26029359.702634178</v>
      </c>
      <c r="N460" s="350">
        <v>25237064.303110659</v>
      </c>
      <c r="O460" s="348">
        <v>133381190.14161617</v>
      </c>
      <c r="P460" s="369"/>
      <c r="Q460" s="350">
        <f t="shared" si="189"/>
        <v>18786432.400243074</v>
      </c>
      <c r="R460" s="350">
        <f t="shared" si="190"/>
        <v>18190026.907417133</v>
      </c>
      <c r="S460" s="350">
        <f t="shared" si="191"/>
        <v>17580401.272332612</v>
      </c>
      <c r="T460" s="350">
        <f t="shared" si="192"/>
        <v>16921530.54475674</v>
      </c>
      <c r="U460" s="350">
        <f t="shared" si="193"/>
        <v>16183480.123284878</v>
      </c>
      <c r="V460" s="350">
        <f t="shared" si="194"/>
        <v>87661871.248034447</v>
      </c>
      <c r="W460" s="365"/>
      <c r="X460" s="377">
        <f t="shared" si="172"/>
        <v>0</v>
      </c>
      <c r="Y460" s="377">
        <f t="shared" si="173"/>
        <v>0</v>
      </c>
      <c r="Z460" s="377">
        <f t="shared" si="174"/>
        <v>0</v>
      </c>
      <c r="AA460" s="377">
        <f t="shared" si="175"/>
        <v>0</v>
      </c>
      <c r="AB460" s="377">
        <f t="shared" si="176"/>
        <v>0</v>
      </c>
      <c r="AC460" s="377">
        <f t="shared" si="177"/>
        <v>0</v>
      </c>
      <c r="AD460" s="376"/>
      <c r="AE460" s="332">
        <v>445</v>
      </c>
      <c r="AF460" s="350">
        <v>561106.36614128645</v>
      </c>
      <c r="AG460" s="350">
        <v>559084.31737374503</v>
      </c>
      <c r="AH460" s="350">
        <v>556897.57076565828</v>
      </c>
      <c r="AI460" s="350">
        <v>554274.10010167293</v>
      </c>
      <c r="AJ460" s="350">
        <v>550972.91977939883</v>
      </c>
      <c r="AK460" s="348">
        <v>2782335.2741617616</v>
      </c>
      <c r="AL460" s="369"/>
      <c r="AM460" s="350">
        <v>14853213.838988332</v>
      </c>
      <c r="AN460" s="350">
        <v>14720128.058376098</v>
      </c>
      <c r="AO460" s="350">
        <v>14574494.581460763</v>
      </c>
      <c r="AP460" s="350">
        <v>14388350.643501153</v>
      </c>
      <c r="AQ460" s="350">
        <v>14137772.14912954</v>
      </c>
      <c r="AR460" s="348">
        <v>72673959.271455884</v>
      </c>
      <c r="AS460" s="369"/>
      <c r="AT460" s="350">
        <f t="shared" si="195"/>
        <v>14292107.472847046</v>
      </c>
      <c r="AU460" s="350">
        <f t="shared" si="178"/>
        <v>14161043.741002353</v>
      </c>
      <c r="AV460" s="350">
        <f t="shared" si="179"/>
        <v>14017597.010695104</v>
      </c>
      <c r="AW460" s="350">
        <f t="shared" si="180"/>
        <v>13834076.543399481</v>
      </c>
      <c r="AX460" s="350">
        <f t="shared" si="181"/>
        <v>13586799.22935014</v>
      </c>
      <c r="AY460" s="350">
        <f t="shared" si="182"/>
        <v>69891623.997294128</v>
      </c>
      <c r="AZ460" s="365"/>
      <c r="BA460" s="377">
        <f t="shared" si="183"/>
        <v>0</v>
      </c>
      <c r="BB460" s="377">
        <f t="shared" si="184"/>
        <v>0</v>
      </c>
      <c r="BC460" s="377">
        <f t="shared" si="185"/>
        <v>0</v>
      </c>
      <c r="BD460" s="377">
        <f t="shared" si="186"/>
        <v>0</v>
      </c>
      <c r="BE460" s="377">
        <f t="shared" si="187"/>
        <v>0</v>
      </c>
      <c r="BF460" s="377">
        <f t="shared" si="188"/>
        <v>0</v>
      </c>
      <c r="BG460" s="328"/>
    </row>
    <row r="461" spans="2:59">
      <c r="B461" s="332">
        <v>446</v>
      </c>
      <c r="C461" s="350">
        <v>4675694.320577506</v>
      </c>
      <c r="D461" s="350">
        <v>4658844.6063186172</v>
      </c>
      <c r="E461" s="350">
        <v>4640622.4664304405</v>
      </c>
      <c r="F461" s="350">
        <v>4618761.1088982588</v>
      </c>
      <c r="G461" s="350">
        <v>4591252.4028570019</v>
      </c>
      <c r="H461" s="348">
        <v>23185174.905081823</v>
      </c>
      <c r="I461" s="369"/>
      <c r="J461" s="350">
        <v>17849459.685888279</v>
      </c>
      <c r="K461" s="350">
        <v>17503877.14013359</v>
      </c>
      <c r="L461" s="350">
        <v>17147006.715522826</v>
      </c>
      <c r="M461" s="350">
        <v>16751240.74444003</v>
      </c>
      <c r="N461" s="350">
        <v>16293327.466831693</v>
      </c>
      <c r="O461" s="348">
        <v>85544911.752816424</v>
      </c>
      <c r="P461" s="369"/>
      <c r="Q461" s="350">
        <f t="shared" si="189"/>
        <v>13173765.365310773</v>
      </c>
      <c r="R461" s="350">
        <f t="shared" si="190"/>
        <v>12845032.533814972</v>
      </c>
      <c r="S461" s="350">
        <f t="shared" si="191"/>
        <v>12506384.249092385</v>
      </c>
      <c r="T461" s="350">
        <f t="shared" si="192"/>
        <v>12132479.635541771</v>
      </c>
      <c r="U461" s="350">
        <f t="shared" si="193"/>
        <v>11702075.063974692</v>
      </c>
      <c r="V461" s="350">
        <f t="shared" si="194"/>
        <v>62359736.8477346</v>
      </c>
      <c r="W461" s="365"/>
      <c r="X461" s="377">
        <f t="shared" si="172"/>
        <v>0</v>
      </c>
      <c r="Y461" s="377">
        <f t="shared" si="173"/>
        <v>0</v>
      </c>
      <c r="Z461" s="377">
        <f t="shared" si="174"/>
        <v>0</v>
      </c>
      <c r="AA461" s="377">
        <f t="shared" si="175"/>
        <v>0</v>
      </c>
      <c r="AB461" s="377">
        <f t="shared" si="176"/>
        <v>0</v>
      </c>
      <c r="AC461" s="377">
        <f t="shared" si="177"/>
        <v>0</v>
      </c>
      <c r="AD461" s="376"/>
      <c r="AE461" s="332">
        <v>446</v>
      </c>
      <c r="AF461" s="350">
        <v>453259.39293706726</v>
      </c>
      <c r="AG461" s="350">
        <v>451625.99033789907</v>
      </c>
      <c r="AH461" s="350">
        <v>449859.54550693987</v>
      </c>
      <c r="AI461" s="350">
        <v>447740.31679684046</v>
      </c>
      <c r="AJ461" s="350">
        <v>445073.63703852711</v>
      </c>
      <c r="AK461" s="348">
        <v>2247558.8826172738</v>
      </c>
      <c r="AL461" s="369"/>
      <c r="AM461" s="350">
        <v>13334763.716346201</v>
      </c>
      <c r="AN461" s="350">
        <v>13217625.660195021</v>
      </c>
      <c r="AO461" s="350">
        <v>13089174.833771238</v>
      </c>
      <c r="AP461" s="350">
        <v>12924231.468781475</v>
      </c>
      <c r="AQ461" s="350">
        <v>12701247.867802076</v>
      </c>
      <c r="AR461" s="348">
        <v>65267043.546896003</v>
      </c>
      <c r="AS461" s="369"/>
      <c r="AT461" s="350">
        <f t="shared" si="195"/>
        <v>12881504.323409133</v>
      </c>
      <c r="AU461" s="350">
        <f t="shared" si="178"/>
        <v>12765999.669857122</v>
      </c>
      <c r="AV461" s="350">
        <f t="shared" si="179"/>
        <v>12639315.288264299</v>
      </c>
      <c r="AW461" s="350">
        <f t="shared" si="180"/>
        <v>12476491.151984634</v>
      </c>
      <c r="AX461" s="350">
        <f t="shared" si="181"/>
        <v>12256174.230763549</v>
      </c>
      <c r="AY461" s="350">
        <f t="shared" si="182"/>
        <v>63019484.664278731</v>
      </c>
      <c r="AZ461" s="365"/>
      <c r="BA461" s="377">
        <f t="shared" si="183"/>
        <v>0</v>
      </c>
      <c r="BB461" s="377">
        <f t="shared" si="184"/>
        <v>0</v>
      </c>
      <c r="BC461" s="377">
        <f t="shared" si="185"/>
        <v>0</v>
      </c>
      <c r="BD461" s="377">
        <f t="shared" si="186"/>
        <v>0</v>
      </c>
      <c r="BE461" s="377">
        <f t="shared" si="187"/>
        <v>0</v>
      </c>
      <c r="BF461" s="377">
        <f t="shared" si="188"/>
        <v>0</v>
      </c>
      <c r="BG461" s="328"/>
    </row>
    <row r="462" spans="2:59">
      <c r="B462" s="332">
        <v>447</v>
      </c>
      <c r="C462" s="350">
        <v>4755050.966659328</v>
      </c>
      <c r="D462" s="350">
        <v>4737915.2763037682</v>
      </c>
      <c r="E462" s="350">
        <v>4719383.8672874551</v>
      </c>
      <c r="F462" s="350">
        <v>4697151.4752321402</v>
      </c>
      <c r="G462" s="350">
        <v>4669175.8869484151</v>
      </c>
      <c r="H462" s="348">
        <v>23578677.472431105</v>
      </c>
      <c r="I462" s="369"/>
      <c r="J462" s="350">
        <v>15058824.331736648</v>
      </c>
      <c r="K462" s="350">
        <v>14729673.053128755</v>
      </c>
      <c r="L462" s="350">
        <v>14391766.429552862</v>
      </c>
      <c r="M462" s="350">
        <v>14023027.341301661</v>
      </c>
      <c r="N462" s="350">
        <v>13604952.815615371</v>
      </c>
      <c r="O462" s="348">
        <v>71808243.971335292</v>
      </c>
      <c r="P462" s="369"/>
      <c r="Q462" s="350">
        <f t="shared" si="189"/>
        <v>10303773.36507732</v>
      </c>
      <c r="R462" s="350">
        <f t="shared" si="190"/>
        <v>9991757.7768249866</v>
      </c>
      <c r="S462" s="350">
        <f t="shared" si="191"/>
        <v>9672382.5622654073</v>
      </c>
      <c r="T462" s="350">
        <f t="shared" si="192"/>
        <v>9325875.8660695218</v>
      </c>
      <c r="U462" s="350">
        <f t="shared" si="193"/>
        <v>8935776.9286669567</v>
      </c>
      <c r="V462" s="350">
        <f t="shared" si="194"/>
        <v>48229566.498904184</v>
      </c>
      <c r="W462" s="365"/>
      <c r="X462" s="377">
        <f t="shared" si="172"/>
        <v>0</v>
      </c>
      <c r="Y462" s="377">
        <f t="shared" si="173"/>
        <v>0</v>
      </c>
      <c r="Z462" s="377">
        <f t="shared" si="174"/>
        <v>0</v>
      </c>
      <c r="AA462" s="377">
        <f t="shared" si="175"/>
        <v>0</v>
      </c>
      <c r="AB462" s="377">
        <f t="shared" si="176"/>
        <v>0</v>
      </c>
      <c r="AC462" s="377">
        <f t="shared" si="177"/>
        <v>0</v>
      </c>
      <c r="AD462" s="376"/>
      <c r="AE462" s="332">
        <v>447</v>
      </c>
      <c r="AF462" s="350">
        <v>444992.06290677993</v>
      </c>
      <c r="AG462" s="350">
        <v>443388.45313390519</v>
      </c>
      <c r="AH462" s="350">
        <v>441654.22778394393</v>
      </c>
      <c r="AI462" s="350">
        <v>439573.65323838923</v>
      </c>
      <c r="AJ462" s="350">
        <v>436955.61300523643</v>
      </c>
      <c r="AK462" s="348">
        <v>2206564.0100682545</v>
      </c>
      <c r="AL462" s="369"/>
      <c r="AM462" s="350">
        <v>14013906.49115351</v>
      </c>
      <c r="AN462" s="350">
        <v>13892257.179840637</v>
      </c>
      <c r="AO462" s="350">
        <v>13758689.232802417</v>
      </c>
      <c r="AP462" s="350">
        <v>13586693.491039768</v>
      </c>
      <c r="AQ462" s="350">
        <v>13353581.746379673</v>
      </c>
      <c r="AR462" s="348">
        <v>68605128.14121601</v>
      </c>
      <c r="AS462" s="369"/>
      <c r="AT462" s="350">
        <f t="shared" si="195"/>
        <v>13568914.428246731</v>
      </c>
      <c r="AU462" s="350">
        <f t="shared" si="178"/>
        <v>13448868.726706732</v>
      </c>
      <c r="AV462" s="350">
        <f t="shared" si="179"/>
        <v>13317035.005018473</v>
      </c>
      <c r="AW462" s="350">
        <f t="shared" si="180"/>
        <v>13147119.837801378</v>
      </c>
      <c r="AX462" s="350">
        <f t="shared" si="181"/>
        <v>12916626.133374438</v>
      </c>
      <c r="AY462" s="350">
        <f t="shared" si="182"/>
        <v>66398564.131147757</v>
      </c>
      <c r="AZ462" s="365"/>
      <c r="BA462" s="377">
        <f t="shared" si="183"/>
        <v>0</v>
      </c>
      <c r="BB462" s="377">
        <f t="shared" si="184"/>
        <v>0</v>
      </c>
      <c r="BC462" s="377">
        <f t="shared" si="185"/>
        <v>0</v>
      </c>
      <c r="BD462" s="377">
        <f t="shared" si="186"/>
        <v>0</v>
      </c>
      <c r="BE462" s="377">
        <f t="shared" si="187"/>
        <v>0</v>
      </c>
      <c r="BF462" s="377">
        <f t="shared" si="188"/>
        <v>0</v>
      </c>
      <c r="BG462" s="328"/>
    </row>
    <row r="463" spans="2:59">
      <c r="B463" s="332">
        <v>448</v>
      </c>
      <c r="C463" s="350">
        <v>3858208.1680395212</v>
      </c>
      <c r="D463" s="350">
        <v>3844304.4137036847</v>
      </c>
      <c r="E463" s="350">
        <v>3829268.1850421322</v>
      </c>
      <c r="F463" s="350">
        <v>3811229.0100208106</v>
      </c>
      <c r="G463" s="350">
        <v>3788529.8541171663</v>
      </c>
      <c r="H463" s="348">
        <v>19131539.630923316</v>
      </c>
      <c r="I463" s="369"/>
      <c r="J463" s="350">
        <v>12129435.019470735</v>
      </c>
      <c r="K463" s="350">
        <v>11863007.118339581</v>
      </c>
      <c r="L463" s="350">
        <v>11589553.722778687</v>
      </c>
      <c r="M463" s="350">
        <v>11291334.559765875</v>
      </c>
      <c r="N463" s="350">
        <v>10953484.724932995</v>
      </c>
      <c r="O463" s="348">
        <v>57826815.145287871</v>
      </c>
      <c r="P463" s="369"/>
      <c r="Q463" s="350">
        <f t="shared" si="189"/>
        <v>8271226.8514312133</v>
      </c>
      <c r="R463" s="350">
        <f t="shared" si="190"/>
        <v>8018702.7046358967</v>
      </c>
      <c r="S463" s="350">
        <f t="shared" si="191"/>
        <v>7760285.5377365556</v>
      </c>
      <c r="T463" s="350">
        <f t="shared" si="192"/>
        <v>7480105.5497450642</v>
      </c>
      <c r="U463" s="350">
        <f t="shared" si="193"/>
        <v>7164954.8708158284</v>
      </c>
      <c r="V463" s="350">
        <f t="shared" si="194"/>
        <v>38695275.514364555</v>
      </c>
      <c r="W463" s="365"/>
      <c r="X463" s="377">
        <f t="shared" si="172"/>
        <v>0</v>
      </c>
      <c r="Y463" s="377">
        <f t="shared" si="173"/>
        <v>0</v>
      </c>
      <c r="Z463" s="377">
        <f t="shared" si="174"/>
        <v>0</v>
      </c>
      <c r="AA463" s="377">
        <f t="shared" si="175"/>
        <v>0</v>
      </c>
      <c r="AB463" s="377">
        <f t="shared" si="176"/>
        <v>0</v>
      </c>
      <c r="AC463" s="377">
        <f t="shared" si="177"/>
        <v>0</v>
      </c>
      <c r="AD463" s="376"/>
      <c r="AE463" s="332">
        <v>448</v>
      </c>
      <c r="AF463" s="350">
        <v>678014.63402132923</v>
      </c>
      <c r="AG463" s="350">
        <v>675571.28506322356</v>
      </c>
      <c r="AH463" s="350">
        <v>672928.92295392242</v>
      </c>
      <c r="AI463" s="350">
        <v>669758.84396454995</v>
      </c>
      <c r="AJ463" s="350">
        <v>665769.85238807311</v>
      </c>
      <c r="AK463" s="348">
        <v>3362043.5383910979</v>
      </c>
      <c r="AL463" s="369"/>
      <c r="AM463" s="350">
        <v>20577488.524769027</v>
      </c>
      <c r="AN463" s="350">
        <v>20397721.702599291</v>
      </c>
      <c r="AO463" s="350">
        <v>20200477.319300793</v>
      </c>
      <c r="AP463" s="350">
        <v>19946867.201044701</v>
      </c>
      <c r="AQ463" s="350">
        <v>19603610.654270805</v>
      </c>
      <c r="AR463" s="348">
        <v>100726165.4019846</v>
      </c>
      <c r="AS463" s="369"/>
      <c r="AT463" s="350">
        <f t="shared" si="195"/>
        <v>19899473.890747696</v>
      </c>
      <c r="AU463" s="350">
        <f t="shared" si="178"/>
        <v>19722150.417536069</v>
      </c>
      <c r="AV463" s="350">
        <f t="shared" si="179"/>
        <v>19527548.396346871</v>
      </c>
      <c r="AW463" s="350">
        <f t="shared" si="180"/>
        <v>19277108.35708015</v>
      </c>
      <c r="AX463" s="350">
        <f t="shared" si="181"/>
        <v>18937840.801882733</v>
      </c>
      <c r="AY463" s="350">
        <f t="shared" si="182"/>
        <v>97364121.863593504</v>
      </c>
      <c r="AZ463" s="365"/>
      <c r="BA463" s="377">
        <f t="shared" si="183"/>
        <v>0</v>
      </c>
      <c r="BB463" s="377">
        <f t="shared" si="184"/>
        <v>0</v>
      </c>
      <c r="BC463" s="377">
        <f t="shared" si="185"/>
        <v>0</v>
      </c>
      <c r="BD463" s="377">
        <f t="shared" si="186"/>
        <v>0</v>
      </c>
      <c r="BE463" s="377">
        <f t="shared" si="187"/>
        <v>0</v>
      </c>
      <c r="BF463" s="377">
        <f t="shared" si="188"/>
        <v>0</v>
      </c>
      <c r="BG463" s="328"/>
    </row>
    <row r="464" spans="2:59">
      <c r="B464" s="332">
        <v>449</v>
      </c>
      <c r="C464" s="350">
        <v>2248912.7655683262</v>
      </c>
      <c r="D464" s="350">
        <v>2240808.3996934602</v>
      </c>
      <c r="E464" s="350">
        <v>2232043.9253286272</v>
      </c>
      <c r="F464" s="350">
        <v>2221529.0621541026</v>
      </c>
      <c r="G464" s="350">
        <v>2208297.9405411719</v>
      </c>
      <c r="H464" s="348">
        <v>11151592.093285689</v>
      </c>
      <c r="I464" s="369"/>
      <c r="J464" s="350">
        <v>6433024.7082501594</v>
      </c>
      <c r="K464" s="350">
        <v>6282318.2884599026</v>
      </c>
      <c r="L464" s="350">
        <v>6128077.7926515928</v>
      </c>
      <c r="M464" s="350">
        <v>5961198.0717471521</v>
      </c>
      <c r="N464" s="350">
        <v>5774073.7765712794</v>
      </c>
      <c r="O464" s="348">
        <v>30578692.637680091</v>
      </c>
      <c r="P464" s="369"/>
      <c r="Q464" s="350">
        <f t="shared" si="189"/>
        <v>4184111.9426818332</v>
      </c>
      <c r="R464" s="350">
        <f t="shared" si="190"/>
        <v>4041509.8887664424</v>
      </c>
      <c r="S464" s="350">
        <f t="shared" si="191"/>
        <v>3896033.8673229655</v>
      </c>
      <c r="T464" s="350">
        <f t="shared" si="192"/>
        <v>3739669.0095930495</v>
      </c>
      <c r="U464" s="350">
        <f t="shared" si="193"/>
        <v>3565775.8360301075</v>
      </c>
      <c r="V464" s="350">
        <f t="shared" si="194"/>
        <v>19427100.544394404</v>
      </c>
      <c r="W464" s="365"/>
      <c r="X464" s="377">
        <f t="shared" ref="X464:X527" si="196">IF(Q464&lt;Q$8,1,0)</f>
        <v>0</v>
      </c>
      <c r="Y464" s="377">
        <f t="shared" ref="Y464:Y527" si="197">IF(R464&lt;R$8,1,0)</f>
        <v>0</v>
      </c>
      <c r="Z464" s="377">
        <f t="shared" ref="Z464:Z527" si="198">IF(S464&lt;S$8,1,0)</f>
        <v>0</v>
      </c>
      <c r="AA464" s="377">
        <f t="shared" ref="AA464:AA527" si="199">IF(T464&lt;T$8,1,0)</f>
        <v>0</v>
      </c>
      <c r="AB464" s="377">
        <f t="shared" ref="AB464:AB527" si="200">IF(U464&lt;U$8,1,0)</f>
        <v>0</v>
      </c>
      <c r="AC464" s="377">
        <f t="shared" ref="AC464:AC527" si="201">IF(V464&lt;V$8,1,0)</f>
        <v>0</v>
      </c>
      <c r="AD464" s="376"/>
      <c r="AE464" s="332">
        <v>449</v>
      </c>
      <c r="AF464" s="350">
        <v>370244.79354510544</v>
      </c>
      <c r="AG464" s="350">
        <v>368910.54914216814</v>
      </c>
      <c r="AH464" s="350">
        <v>367467.62923374795</v>
      </c>
      <c r="AI464" s="350">
        <v>365736.53792384418</v>
      </c>
      <c r="AJ464" s="350">
        <v>363558.26139620319</v>
      </c>
      <c r="AK464" s="348">
        <v>1835917.7712410688</v>
      </c>
      <c r="AL464" s="369"/>
      <c r="AM464" s="350">
        <v>12612854.781033786</v>
      </c>
      <c r="AN464" s="350">
        <v>12504771.356756561</v>
      </c>
      <c r="AO464" s="350">
        <v>12385932.204399886</v>
      </c>
      <c r="AP464" s="350">
        <v>12232433.09873062</v>
      </c>
      <c r="AQ464" s="350">
        <v>12023812.52447442</v>
      </c>
      <c r="AR464" s="348">
        <v>61759803.965395264</v>
      </c>
      <c r="AS464" s="369"/>
      <c r="AT464" s="350">
        <f t="shared" si="195"/>
        <v>12242609.987488681</v>
      </c>
      <c r="AU464" s="350">
        <f t="shared" ref="AU464:AU527" si="202">AN464-AG464</f>
        <v>12135860.807614392</v>
      </c>
      <c r="AV464" s="350">
        <f t="shared" ref="AV464:AV527" si="203">AO464-AH464</f>
        <v>12018464.575166138</v>
      </c>
      <c r="AW464" s="350">
        <f t="shared" ref="AW464:AW527" si="204">AP464-AI464</f>
        <v>11866696.560806775</v>
      </c>
      <c r="AX464" s="350">
        <f t="shared" ref="AX464:AX527" si="205">AQ464-AJ464</f>
        <v>11660254.263078216</v>
      </c>
      <c r="AY464" s="350">
        <f t="shared" ref="AY464:AY527" si="206">AR464-AK464</f>
        <v>59923886.194154195</v>
      </c>
      <c r="AZ464" s="365"/>
      <c r="BA464" s="377">
        <f t="shared" ref="BA464:BA527" si="207">IF(AT464&lt;AT$8,1,0)</f>
        <v>0</v>
      </c>
      <c r="BB464" s="377">
        <f t="shared" ref="BB464:BB527" si="208">IF(AU464&lt;AU$8,1,0)</f>
        <v>0</v>
      </c>
      <c r="BC464" s="377">
        <f t="shared" ref="BC464:BC527" si="209">IF(AV464&lt;AV$8,1,0)</f>
        <v>0</v>
      </c>
      <c r="BD464" s="377">
        <f t="shared" ref="BD464:BD527" si="210">IF(AW464&lt;AW$8,1,0)</f>
        <v>0</v>
      </c>
      <c r="BE464" s="377">
        <f t="shared" ref="BE464:BE527" si="211">IF(AX464&lt;AX$8,1,0)</f>
        <v>0</v>
      </c>
      <c r="BF464" s="377">
        <f t="shared" ref="BF464:BF527" si="212">IF(AY464&lt;AY$8,1,0)</f>
        <v>0</v>
      </c>
      <c r="BG464" s="328"/>
    </row>
    <row r="465" spans="2:59">
      <c r="B465" s="332">
        <v>450</v>
      </c>
      <c r="C465" s="350">
        <v>7472127.3106590267</v>
      </c>
      <c r="D465" s="350">
        <v>7445200.141888272</v>
      </c>
      <c r="E465" s="350">
        <v>7416079.7290080134</v>
      </c>
      <c r="F465" s="350">
        <v>7381143.5600746851</v>
      </c>
      <c r="G465" s="350">
        <v>7337182.4840079378</v>
      </c>
      <c r="H465" s="348">
        <v>37051733.225637935</v>
      </c>
      <c r="I465" s="369"/>
      <c r="J465" s="350">
        <v>25338149.867013633</v>
      </c>
      <c r="K465" s="350">
        <v>24808849.414097406</v>
      </c>
      <c r="L465" s="350">
        <v>24264316.147638727</v>
      </c>
      <c r="M465" s="350">
        <v>23666610.515869252</v>
      </c>
      <c r="N465" s="350">
        <v>22983872.605351426</v>
      </c>
      <c r="O465" s="348">
        <v>121061798.54997045</v>
      </c>
      <c r="P465" s="369"/>
      <c r="Q465" s="350">
        <f t="shared" ref="Q465:Q528" si="213">J465-C465</f>
        <v>17866022.556354605</v>
      </c>
      <c r="R465" s="350">
        <f t="shared" ref="R465:R528" si="214">K465-D465</f>
        <v>17363649.272209134</v>
      </c>
      <c r="S465" s="350">
        <f t="shared" ref="S465:S528" si="215">L465-E465</f>
        <v>16848236.418630712</v>
      </c>
      <c r="T465" s="350">
        <f t="shared" ref="T465:T528" si="216">M465-F465</f>
        <v>16285466.955794567</v>
      </c>
      <c r="U465" s="350">
        <f t="shared" ref="U465:U528" si="217">N465-G465</f>
        <v>15646690.121343488</v>
      </c>
      <c r="V465" s="350">
        <f t="shared" ref="V465:V528" si="218">O465-H465</f>
        <v>84010065.324332505</v>
      </c>
      <c r="W465" s="365"/>
      <c r="X465" s="377">
        <f t="shared" si="196"/>
        <v>0</v>
      </c>
      <c r="Y465" s="377">
        <f t="shared" si="197"/>
        <v>0</v>
      </c>
      <c r="Z465" s="377">
        <f t="shared" si="198"/>
        <v>0</v>
      </c>
      <c r="AA465" s="377">
        <f t="shared" si="199"/>
        <v>0</v>
      </c>
      <c r="AB465" s="377">
        <f t="shared" si="200"/>
        <v>0</v>
      </c>
      <c r="AC465" s="377">
        <f t="shared" si="201"/>
        <v>0</v>
      </c>
      <c r="AD465" s="376"/>
      <c r="AE465" s="332">
        <v>450</v>
      </c>
      <c r="AF465" s="350">
        <v>746303.18730605778</v>
      </c>
      <c r="AG465" s="350">
        <v>743613.74813522422</v>
      </c>
      <c r="AH465" s="350">
        <v>740705.25152580428</v>
      </c>
      <c r="AI465" s="350">
        <v>737215.8872332538</v>
      </c>
      <c r="AJ465" s="350">
        <v>732825.13078305044</v>
      </c>
      <c r="AK465" s="348">
        <v>3700663.2049833909</v>
      </c>
      <c r="AL465" s="369"/>
      <c r="AM465" s="350">
        <v>14447342.755928393</v>
      </c>
      <c r="AN465" s="350">
        <v>14308589.785085272</v>
      </c>
      <c r="AO465" s="350">
        <v>14157821.974139327</v>
      </c>
      <c r="AP465" s="350">
        <v>13968141.134930855</v>
      </c>
      <c r="AQ465" s="350">
        <v>13716552.460154602</v>
      </c>
      <c r="AR465" s="348">
        <v>70598448.110238448</v>
      </c>
      <c r="AS465" s="369"/>
      <c r="AT465" s="350">
        <f t="shared" ref="AT465:AT528" si="219">AM465-AF465</f>
        <v>13701039.568622336</v>
      </c>
      <c r="AU465" s="350">
        <f t="shared" si="202"/>
        <v>13564976.036950048</v>
      </c>
      <c r="AV465" s="350">
        <f t="shared" si="203"/>
        <v>13417116.722613523</v>
      </c>
      <c r="AW465" s="350">
        <f t="shared" si="204"/>
        <v>13230925.247697601</v>
      </c>
      <c r="AX465" s="350">
        <f t="shared" si="205"/>
        <v>12983727.329371551</v>
      </c>
      <c r="AY465" s="350">
        <f t="shared" si="206"/>
        <v>66897784.905255057</v>
      </c>
      <c r="AZ465" s="365"/>
      <c r="BA465" s="377">
        <f t="shared" si="207"/>
        <v>0</v>
      </c>
      <c r="BB465" s="377">
        <f t="shared" si="208"/>
        <v>0</v>
      </c>
      <c r="BC465" s="377">
        <f t="shared" si="209"/>
        <v>0</v>
      </c>
      <c r="BD465" s="377">
        <f t="shared" si="210"/>
        <v>0</v>
      </c>
      <c r="BE465" s="377">
        <f t="shared" si="211"/>
        <v>0</v>
      </c>
      <c r="BF465" s="377">
        <f t="shared" si="212"/>
        <v>0</v>
      </c>
      <c r="BG465" s="328"/>
    </row>
    <row r="466" spans="2:59">
      <c r="B466" s="332">
        <v>451</v>
      </c>
      <c r="C466" s="350">
        <v>8679048.6712097656</v>
      </c>
      <c r="D466" s="350">
        <v>8647772.1419667639</v>
      </c>
      <c r="E466" s="350">
        <v>8613948.1089697685</v>
      </c>
      <c r="F466" s="350">
        <v>8573368.9408223759</v>
      </c>
      <c r="G466" s="350">
        <v>8522307.1343301609</v>
      </c>
      <c r="H466" s="348">
        <v>43036444.997298837</v>
      </c>
      <c r="I466" s="369"/>
      <c r="J466" s="350">
        <v>27330747.120082408</v>
      </c>
      <c r="K466" s="350">
        <v>26731088.586926837</v>
      </c>
      <c r="L466" s="350">
        <v>26115586.073886544</v>
      </c>
      <c r="M466" s="350">
        <v>25444244.455639891</v>
      </c>
      <c r="N466" s="350">
        <v>24683549.355838954</v>
      </c>
      <c r="O466" s="348">
        <v>130305215.59237462</v>
      </c>
      <c r="P466" s="369"/>
      <c r="Q466" s="350">
        <f t="shared" si="213"/>
        <v>18651698.448872641</v>
      </c>
      <c r="R466" s="350">
        <f t="shared" si="214"/>
        <v>18083316.444960073</v>
      </c>
      <c r="S466" s="350">
        <f t="shared" si="215"/>
        <v>17501637.964916773</v>
      </c>
      <c r="T466" s="350">
        <f t="shared" si="216"/>
        <v>16870875.514817514</v>
      </c>
      <c r="U466" s="350">
        <f t="shared" si="217"/>
        <v>16161242.221508794</v>
      </c>
      <c r="V466" s="350">
        <f t="shared" si="218"/>
        <v>87268770.595075786</v>
      </c>
      <c r="W466" s="365"/>
      <c r="X466" s="377">
        <f t="shared" si="196"/>
        <v>0</v>
      </c>
      <c r="Y466" s="377">
        <f t="shared" si="197"/>
        <v>0</v>
      </c>
      <c r="Z466" s="377">
        <f t="shared" si="198"/>
        <v>0</v>
      </c>
      <c r="AA466" s="377">
        <f t="shared" si="199"/>
        <v>0</v>
      </c>
      <c r="AB466" s="377">
        <f t="shared" si="200"/>
        <v>0</v>
      </c>
      <c r="AC466" s="377">
        <f t="shared" si="201"/>
        <v>0</v>
      </c>
      <c r="AD466" s="376"/>
      <c r="AE466" s="332">
        <v>451</v>
      </c>
      <c r="AF466" s="350">
        <v>596172.9710136978</v>
      </c>
      <c r="AG466" s="350">
        <v>594024.55336238886</v>
      </c>
      <c r="AH466" s="350">
        <v>591701.14500193391</v>
      </c>
      <c r="AI466" s="350">
        <v>588913.71931138018</v>
      </c>
      <c r="AJ466" s="350">
        <v>585406.23018036853</v>
      </c>
      <c r="AK466" s="348">
        <v>2956218.6188697694</v>
      </c>
      <c r="AL466" s="369"/>
      <c r="AM466" s="350">
        <v>16125338.85884564</v>
      </c>
      <c r="AN466" s="350">
        <v>15981457.449455816</v>
      </c>
      <c r="AO466" s="350">
        <v>15823941.371058427</v>
      </c>
      <c r="AP466" s="350">
        <v>15622413.482452352</v>
      </c>
      <c r="AQ466" s="350">
        <v>15350882.824448034</v>
      </c>
      <c r="AR466" s="348">
        <v>78904033.986260265</v>
      </c>
      <c r="AS466" s="369"/>
      <c r="AT466" s="350">
        <f t="shared" si="219"/>
        <v>15529165.887831941</v>
      </c>
      <c r="AU466" s="350">
        <f t="shared" si="202"/>
        <v>15387432.896093428</v>
      </c>
      <c r="AV466" s="350">
        <f t="shared" si="203"/>
        <v>15232240.226056494</v>
      </c>
      <c r="AW466" s="350">
        <f t="shared" si="204"/>
        <v>15033499.763140971</v>
      </c>
      <c r="AX466" s="350">
        <f t="shared" si="205"/>
        <v>14765476.594267666</v>
      </c>
      <c r="AY466" s="350">
        <f t="shared" si="206"/>
        <v>75947815.367390499</v>
      </c>
      <c r="AZ466" s="365"/>
      <c r="BA466" s="377">
        <f t="shared" si="207"/>
        <v>0</v>
      </c>
      <c r="BB466" s="377">
        <f t="shared" si="208"/>
        <v>0</v>
      </c>
      <c r="BC466" s="377">
        <f t="shared" si="209"/>
        <v>0</v>
      </c>
      <c r="BD466" s="377">
        <f t="shared" si="210"/>
        <v>0</v>
      </c>
      <c r="BE466" s="377">
        <f t="shared" si="211"/>
        <v>0</v>
      </c>
      <c r="BF466" s="377">
        <f t="shared" si="212"/>
        <v>0</v>
      </c>
      <c r="BG466" s="328"/>
    </row>
    <row r="467" spans="2:59">
      <c r="B467" s="332">
        <v>452</v>
      </c>
      <c r="C467" s="350">
        <v>3632661.5746250739</v>
      </c>
      <c r="D467" s="350">
        <v>3619570.618430119</v>
      </c>
      <c r="E467" s="350">
        <v>3605413.3911092696</v>
      </c>
      <c r="F467" s="350">
        <v>3588428.7663602144</v>
      </c>
      <c r="G467" s="350">
        <v>3567056.5780706713</v>
      </c>
      <c r="H467" s="348">
        <v>18013130.928595349</v>
      </c>
      <c r="I467" s="369"/>
      <c r="J467" s="350">
        <v>12344236.876577221</v>
      </c>
      <c r="K467" s="350">
        <v>12086725.351914275</v>
      </c>
      <c r="L467" s="350">
        <v>11821785.498502567</v>
      </c>
      <c r="M467" s="350">
        <v>11530922.529051976</v>
      </c>
      <c r="N467" s="350">
        <v>11198604.479659334</v>
      </c>
      <c r="O467" s="348">
        <v>58982274.735705376</v>
      </c>
      <c r="P467" s="369"/>
      <c r="Q467" s="350">
        <f t="shared" si="213"/>
        <v>8711575.301952146</v>
      </c>
      <c r="R467" s="350">
        <f t="shared" si="214"/>
        <v>8467154.7334841564</v>
      </c>
      <c r="S467" s="350">
        <f t="shared" si="215"/>
        <v>8216372.1073932983</v>
      </c>
      <c r="T467" s="350">
        <f t="shared" si="216"/>
        <v>7942493.7626917623</v>
      </c>
      <c r="U467" s="350">
        <f t="shared" si="217"/>
        <v>7631547.9015886625</v>
      </c>
      <c r="V467" s="350">
        <f t="shared" si="218"/>
        <v>40969143.807110026</v>
      </c>
      <c r="W467" s="365"/>
      <c r="X467" s="377">
        <f t="shared" si="196"/>
        <v>0</v>
      </c>
      <c r="Y467" s="377">
        <f t="shared" si="197"/>
        <v>0</v>
      </c>
      <c r="Z467" s="377">
        <f t="shared" si="198"/>
        <v>0</v>
      </c>
      <c r="AA467" s="377">
        <f t="shared" si="199"/>
        <v>0</v>
      </c>
      <c r="AB467" s="377">
        <f t="shared" si="200"/>
        <v>0</v>
      </c>
      <c r="AC467" s="377">
        <f t="shared" si="201"/>
        <v>0</v>
      </c>
      <c r="AD467" s="376"/>
      <c r="AE467" s="332">
        <v>452</v>
      </c>
      <c r="AF467" s="350">
        <v>418523.75917679002</v>
      </c>
      <c r="AG467" s="350">
        <v>417015.53274683515</v>
      </c>
      <c r="AH467" s="350">
        <v>415384.45980592852</v>
      </c>
      <c r="AI467" s="350">
        <v>413427.6386564342</v>
      </c>
      <c r="AJ467" s="350">
        <v>410965.32049080724</v>
      </c>
      <c r="AK467" s="348">
        <v>2075316.710876795</v>
      </c>
      <c r="AL467" s="369"/>
      <c r="AM467" s="350">
        <v>15166346.453955434</v>
      </c>
      <c r="AN467" s="350">
        <v>15037619.120778449</v>
      </c>
      <c r="AO467" s="350">
        <v>14895933.27116912</v>
      </c>
      <c r="AP467" s="350">
        <v>14712505.258239139</v>
      </c>
      <c r="AQ467" s="350">
        <v>14462694.443525594</v>
      </c>
      <c r="AR467" s="348">
        <v>74275098.547667742</v>
      </c>
      <c r="AS467" s="369"/>
      <c r="AT467" s="350">
        <f t="shared" si="219"/>
        <v>14747822.694778644</v>
      </c>
      <c r="AU467" s="350">
        <f t="shared" si="202"/>
        <v>14620603.588031614</v>
      </c>
      <c r="AV467" s="350">
        <f t="shared" si="203"/>
        <v>14480548.811363192</v>
      </c>
      <c r="AW467" s="350">
        <f t="shared" si="204"/>
        <v>14299077.619582705</v>
      </c>
      <c r="AX467" s="350">
        <f t="shared" si="205"/>
        <v>14051729.123034786</v>
      </c>
      <c r="AY467" s="350">
        <f t="shared" si="206"/>
        <v>72199781.836790949</v>
      </c>
      <c r="AZ467" s="365"/>
      <c r="BA467" s="377">
        <f t="shared" si="207"/>
        <v>0</v>
      </c>
      <c r="BB467" s="377">
        <f t="shared" si="208"/>
        <v>0</v>
      </c>
      <c r="BC467" s="377">
        <f t="shared" si="209"/>
        <v>0</v>
      </c>
      <c r="BD467" s="377">
        <f t="shared" si="210"/>
        <v>0</v>
      </c>
      <c r="BE467" s="377">
        <f t="shared" si="211"/>
        <v>0</v>
      </c>
      <c r="BF467" s="377">
        <f t="shared" si="212"/>
        <v>0</v>
      </c>
      <c r="BG467" s="328"/>
    </row>
    <row r="468" spans="2:59">
      <c r="B468" s="332">
        <v>453</v>
      </c>
      <c r="C468" s="350">
        <v>4364476.5010934621</v>
      </c>
      <c r="D468" s="350">
        <v>4348748.3168087434</v>
      </c>
      <c r="E468" s="350">
        <v>4331739.0566029213</v>
      </c>
      <c r="F468" s="350">
        <v>4311332.8078857418</v>
      </c>
      <c r="G468" s="350">
        <v>4285655.1025310168</v>
      </c>
      <c r="H468" s="348">
        <v>21641951.784921885</v>
      </c>
      <c r="I468" s="369"/>
      <c r="J468" s="350">
        <v>13997833.14245077</v>
      </c>
      <c r="K468" s="350">
        <v>13694450.030206952</v>
      </c>
      <c r="L468" s="350">
        <v>13382875.814088199</v>
      </c>
      <c r="M468" s="350">
        <v>13042505.610711977</v>
      </c>
      <c r="N468" s="350">
        <v>12656063.768047746</v>
      </c>
      <c r="O468" s="348">
        <v>66773728.365505651</v>
      </c>
      <c r="P468" s="369"/>
      <c r="Q468" s="350">
        <f t="shared" si="213"/>
        <v>9633356.6413573083</v>
      </c>
      <c r="R468" s="350">
        <f t="shared" si="214"/>
        <v>9345701.7133982088</v>
      </c>
      <c r="S468" s="350">
        <f t="shared" si="215"/>
        <v>9051136.757485278</v>
      </c>
      <c r="T468" s="350">
        <f t="shared" si="216"/>
        <v>8731172.8028262351</v>
      </c>
      <c r="U468" s="350">
        <f t="shared" si="217"/>
        <v>8370408.6655167295</v>
      </c>
      <c r="V468" s="350">
        <f t="shared" si="218"/>
        <v>45131776.580583766</v>
      </c>
      <c r="W468" s="365"/>
      <c r="X468" s="377">
        <f t="shared" si="196"/>
        <v>0</v>
      </c>
      <c r="Y468" s="377">
        <f t="shared" si="197"/>
        <v>0</v>
      </c>
      <c r="Z468" s="377">
        <f t="shared" si="198"/>
        <v>0</v>
      </c>
      <c r="AA468" s="377">
        <f t="shared" si="199"/>
        <v>0</v>
      </c>
      <c r="AB468" s="377">
        <f t="shared" si="200"/>
        <v>0</v>
      </c>
      <c r="AC468" s="377">
        <f t="shared" si="201"/>
        <v>0</v>
      </c>
      <c r="AD468" s="376"/>
      <c r="AE468" s="332">
        <v>453</v>
      </c>
      <c r="AF468" s="350">
        <v>313552.63475008606</v>
      </c>
      <c r="AG468" s="350">
        <v>312422.6908447693</v>
      </c>
      <c r="AH468" s="350">
        <v>311200.71190838388</v>
      </c>
      <c r="AI468" s="350">
        <v>309734.68659033388</v>
      </c>
      <c r="AJ468" s="350">
        <v>307889.949388451</v>
      </c>
      <c r="AK468" s="348">
        <v>1554800.6734820241</v>
      </c>
      <c r="AL468" s="369"/>
      <c r="AM468" s="350">
        <v>10707619.727945603</v>
      </c>
      <c r="AN468" s="350">
        <v>10615898.332664357</v>
      </c>
      <c r="AO468" s="350">
        <v>10515045.191437321</v>
      </c>
      <c r="AP468" s="350">
        <v>10384765.786252616</v>
      </c>
      <c r="AQ468" s="350">
        <v>10207688.365513111</v>
      </c>
      <c r="AR468" s="348">
        <v>52431017.403813004</v>
      </c>
      <c r="AS468" s="369"/>
      <c r="AT468" s="350">
        <f t="shared" si="219"/>
        <v>10394067.093195517</v>
      </c>
      <c r="AU468" s="350">
        <f t="shared" si="202"/>
        <v>10303475.641819589</v>
      </c>
      <c r="AV468" s="350">
        <f t="shared" si="203"/>
        <v>10203844.479528937</v>
      </c>
      <c r="AW468" s="350">
        <f t="shared" si="204"/>
        <v>10075031.099662282</v>
      </c>
      <c r="AX468" s="350">
        <f t="shared" si="205"/>
        <v>9899798.4161246587</v>
      </c>
      <c r="AY468" s="350">
        <f t="shared" si="206"/>
        <v>50876216.730330981</v>
      </c>
      <c r="AZ468" s="365"/>
      <c r="BA468" s="377">
        <f t="shared" si="207"/>
        <v>0</v>
      </c>
      <c r="BB468" s="377">
        <f t="shared" si="208"/>
        <v>0</v>
      </c>
      <c r="BC468" s="377">
        <f t="shared" si="209"/>
        <v>0</v>
      </c>
      <c r="BD468" s="377">
        <f t="shared" si="210"/>
        <v>0</v>
      </c>
      <c r="BE468" s="377">
        <f t="shared" si="211"/>
        <v>0</v>
      </c>
      <c r="BF468" s="377">
        <f t="shared" si="212"/>
        <v>0</v>
      </c>
      <c r="BG468" s="328"/>
    </row>
    <row r="469" spans="2:59">
      <c r="B469" s="332">
        <v>454</v>
      </c>
      <c r="C469" s="350">
        <v>7175444.2864045426</v>
      </c>
      <c r="D469" s="350">
        <v>7149586.2688317504</v>
      </c>
      <c r="E469" s="350">
        <v>7121622.0905553298</v>
      </c>
      <c r="F469" s="350">
        <v>7088073.0725395475</v>
      </c>
      <c r="G469" s="350">
        <v>7045857.4839965953</v>
      </c>
      <c r="H469" s="348">
        <v>35580583.202327766</v>
      </c>
      <c r="I469" s="369"/>
      <c r="J469" s="350">
        <v>20593164.700015169</v>
      </c>
      <c r="K469" s="350">
        <v>20111828.079947874</v>
      </c>
      <c r="L469" s="350">
        <v>19619155.856746089</v>
      </c>
      <c r="M469" s="350">
        <v>19085965.455188602</v>
      </c>
      <c r="N469" s="350">
        <v>18487878.350539461</v>
      </c>
      <c r="O469" s="348">
        <v>97897992.442437202</v>
      </c>
      <c r="P469" s="369"/>
      <c r="Q469" s="350">
        <f t="shared" si="213"/>
        <v>13417720.413610626</v>
      </c>
      <c r="R469" s="350">
        <f t="shared" si="214"/>
        <v>12962241.811116124</v>
      </c>
      <c r="S469" s="350">
        <f t="shared" si="215"/>
        <v>12497533.76619076</v>
      </c>
      <c r="T469" s="350">
        <f t="shared" si="216"/>
        <v>11997892.382649055</v>
      </c>
      <c r="U469" s="350">
        <f t="shared" si="217"/>
        <v>11442020.866542865</v>
      </c>
      <c r="V469" s="350">
        <f t="shared" si="218"/>
        <v>62317409.240109436</v>
      </c>
      <c r="W469" s="365"/>
      <c r="X469" s="377">
        <f t="shared" si="196"/>
        <v>0</v>
      </c>
      <c r="Y469" s="377">
        <f t="shared" si="197"/>
        <v>0</v>
      </c>
      <c r="Z469" s="377">
        <f t="shared" si="198"/>
        <v>0</v>
      </c>
      <c r="AA469" s="377">
        <f t="shared" si="199"/>
        <v>0</v>
      </c>
      <c r="AB469" s="377">
        <f t="shared" si="200"/>
        <v>0</v>
      </c>
      <c r="AC469" s="377">
        <f t="shared" si="201"/>
        <v>0</v>
      </c>
      <c r="AD469" s="376"/>
      <c r="AE469" s="332">
        <v>454</v>
      </c>
      <c r="AF469" s="350">
        <v>611889.28668019548</v>
      </c>
      <c r="AG469" s="350">
        <v>609684.23242905212</v>
      </c>
      <c r="AH469" s="350">
        <v>607299.57436257147</v>
      </c>
      <c r="AI469" s="350">
        <v>604438.66653817473</v>
      </c>
      <c r="AJ469" s="350">
        <v>600838.71295630734</v>
      </c>
      <c r="AK469" s="348">
        <v>3034150.4729663013</v>
      </c>
      <c r="AL469" s="369"/>
      <c r="AM469" s="350">
        <v>19022208.609469477</v>
      </c>
      <c r="AN469" s="350">
        <v>18856719.227631856</v>
      </c>
      <c r="AO469" s="350">
        <v>18675059.169604253</v>
      </c>
      <c r="AP469" s="350">
        <v>18441257.196111035</v>
      </c>
      <c r="AQ469" s="350">
        <v>18124527.575585339</v>
      </c>
      <c r="AR469" s="348">
        <v>93119771.778401956</v>
      </c>
      <c r="AS469" s="369"/>
      <c r="AT469" s="350">
        <f t="shared" si="219"/>
        <v>18410319.322789282</v>
      </c>
      <c r="AU469" s="350">
        <f t="shared" si="202"/>
        <v>18247034.995202802</v>
      </c>
      <c r="AV469" s="350">
        <f t="shared" si="203"/>
        <v>18067759.595241681</v>
      </c>
      <c r="AW469" s="350">
        <f t="shared" si="204"/>
        <v>17836818.529572859</v>
      </c>
      <c r="AX469" s="350">
        <f t="shared" si="205"/>
        <v>17523688.862629034</v>
      </c>
      <c r="AY469" s="350">
        <f t="shared" si="206"/>
        <v>90085621.305435658</v>
      </c>
      <c r="AZ469" s="365"/>
      <c r="BA469" s="377">
        <f t="shared" si="207"/>
        <v>0</v>
      </c>
      <c r="BB469" s="377">
        <f t="shared" si="208"/>
        <v>0</v>
      </c>
      <c r="BC469" s="377">
        <f t="shared" si="209"/>
        <v>0</v>
      </c>
      <c r="BD469" s="377">
        <f t="shared" si="210"/>
        <v>0</v>
      </c>
      <c r="BE469" s="377">
        <f t="shared" si="211"/>
        <v>0</v>
      </c>
      <c r="BF469" s="377">
        <f t="shared" si="212"/>
        <v>0</v>
      </c>
      <c r="BG469" s="328"/>
    </row>
    <row r="470" spans="2:59">
      <c r="B470" s="332">
        <v>455</v>
      </c>
      <c r="C470" s="350">
        <v>4379088.7834385671</v>
      </c>
      <c r="D470" s="350">
        <v>4363307.9411387378</v>
      </c>
      <c r="E470" s="350">
        <v>4346241.7338712132</v>
      </c>
      <c r="F470" s="350">
        <v>4325767.1649631048</v>
      </c>
      <c r="G470" s="350">
        <v>4300003.4905624874</v>
      </c>
      <c r="H470" s="348">
        <v>21714409.113974109</v>
      </c>
      <c r="I470" s="369"/>
      <c r="J470" s="350">
        <v>13580971.938486744</v>
      </c>
      <c r="K470" s="350">
        <v>13279915.340360958</v>
      </c>
      <c r="L470" s="350">
        <v>12971048.557791274</v>
      </c>
      <c r="M470" s="350">
        <v>12634596.985741628</v>
      </c>
      <c r="N470" s="350">
        <v>12253998.129332252</v>
      </c>
      <c r="O470" s="348">
        <v>64720530.951712854</v>
      </c>
      <c r="P470" s="369"/>
      <c r="Q470" s="350">
        <f t="shared" si="213"/>
        <v>9201883.1550481766</v>
      </c>
      <c r="R470" s="350">
        <f t="shared" si="214"/>
        <v>8916607.3992222212</v>
      </c>
      <c r="S470" s="350">
        <f t="shared" si="215"/>
        <v>8624806.8239200599</v>
      </c>
      <c r="T470" s="350">
        <f t="shared" si="216"/>
        <v>8308829.8207785236</v>
      </c>
      <c r="U470" s="350">
        <f t="shared" si="217"/>
        <v>7953994.6387697645</v>
      </c>
      <c r="V470" s="350">
        <f t="shared" si="218"/>
        <v>43006121.837738745</v>
      </c>
      <c r="W470" s="365"/>
      <c r="X470" s="377">
        <f t="shared" si="196"/>
        <v>0</v>
      </c>
      <c r="Y470" s="377">
        <f t="shared" si="197"/>
        <v>0</v>
      </c>
      <c r="Z470" s="377">
        <f t="shared" si="198"/>
        <v>0</v>
      </c>
      <c r="AA470" s="377">
        <f t="shared" si="199"/>
        <v>0</v>
      </c>
      <c r="AB470" s="377">
        <f t="shared" si="200"/>
        <v>0</v>
      </c>
      <c r="AC470" s="377">
        <f t="shared" si="201"/>
        <v>0</v>
      </c>
      <c r="AD470" s="376"/>
      <c r="AE470" s="332">
        <v>455</v>
      </c>
      <c r="AF470" s="350">
        <v>447460.69048498798</v>
      </c>
      <c r="AG470" s="350">
        <v>445848.18456397951</v>
      </c>
      <c r="AH470" s="350">
        <v>444104.33846595848</v>
      </c>
      <c r="AI470" s="350">
        <v>442012.2217736335</v>
      </c>
      <c r="AJ470" s="350">
        <v>439379.65776161134</v>
      </c>
      <c r="AK470" s="348">
        <v>2218805.0930501707</v>
      </c>
      <c r="AL470" s="369"/>
      <c r="AM470" s="350">
        <v>20620641.055121265</v>
      </c>
      <c r="AN470" s="350">
        <v>20451260.071119659</v>
      </c>
      <c r="AO470" s="350">
        <v>20264145.096906733</v>
      </c>
      <c r="AP470" s="350">
        <v>20019978.805817086</v>
      </c>
      <c r="AQ470" s="350">
        <v>19685091.950181711</v>
      </c>
      <c r="AR470" s="348">
        <v>101041116.97914645</v>
      </c>
      <c r="AS470" s="369"/>
      <c r="AT470" s="350">
        <f t="shared" si="219"/>
        <v>20173180.364636276</v>
      </c>
      <c r="AU470" s="350">
        <f t="shared" si="202"/>
        <v>20005411.886555679</v>
      </c>
      <c r="AV470" s="350">
        <f t="shared" si="203"/>
        <v>19820040.758440774</v>
      </c>
      <c r="AW470" s="350">
        <f t="shared" si="204"/>
        <v>19577966.584043454</v>
      </c>
      <c r="AX470" s="350">
        <f t="shared" si="205"/>
        <v>19245712.2924201</v>
      </c>
      <c r="AY470" s="350">
        <f t="shared" si="206"/>
        <v>98822311.886096284</v>
      </c>
      <c r="AZ470" s="365"/>
      <c r="BA470" s="377">
        <f t="shared" si="207"/>
        <v>0</v>
      </c>
      <c r="BB470" s="377">
        <f t="shared" si="208"/>
        <v>0</v>
      </c>
      <c r="BC470" s="377">
        <f t="shared" si="209"/>
        <v>0</v>
      </c>
      <c r="BD470" s="377">
        <f t="shared" si="210"/>
        <v>0</v>
      </c>
      <c r="BE470" s="377">
        <f t="shared" si="211"/>
        <v>0</v>
      </c>
      <c r="BF470" s="377">
        <f t="shared" si="212"/>
        <v>0</v>
      </c>
      <c r="BG470" s="328"/>
    </row>
    <row r="471" spans="2:59">
      <c r="B471" s="332">
        <v>456</v>
      </c>
      <c r="C471" s="350">
        <v>5581998.765994288</v>
      </c>
      <c r="D471" s="350">
        <v>5561883.0189518556</v>
      </c>
      <c r="E471" s="350">
        <v>5540128.8247304894</v>
      </c>
      <c r="F471" s="350">
        <v>5514030.0119337356</v>
      </c>
      <c r="G471" s="350">
        <v>5481189.2074139416</v>
      </c>
      <c r="H471" s="348">
        <v>27679229.829024311</v>
      </c>
      <c r="I471" s="369"/>
      <c r="J471" s="350">
        <v>18365546.497646533</v>
      </c>
      <c r="K471" s="350">
        <v>17974195.137161881</v>
      </c>
      <c r="L471" s="350">
        <v>17571960.093553286</v>
      </c>
      <c r="M471" s="350">
        <v>17131590.938234337</v>
      </c>
      <c r="N471" s="350">
        <v>16630223.228233077</v>
      </c>
      <c r="O471" s="348">
        <v>87673515.894829094</v>
      </c>
      <c r="P471" s="369"/>
      <c r="Q471" s="350">
        <f t="shared" si="213"/>
        <v>12783547.731652245</v>
      </c>
      <c r="R471" s="350">
        <f t="shared" si="214"/>
        <v>12412312.118210025</v>
      </c>
      <c r="S471" s="350">
        <f t="shared" si="215"/>
        <v>12031831.268822797</v>
      </c>
      <c r="T471" s="350">
        <f t="shared" si="216"/>
        <v>11617560.9263006</v>
      </c>
      <c r="U471" s="350">
        <f t="shared" si="217"/>
        <v>11149034.020819135</v>
      </c>
      <c r="V471" s="350">
        <f t="shared" si="218"/>
        <v>59994286.06580478</v>
      </c>
      <c r="W471" s="365"/>
      <c r="X471" s="377">
        <f t="shared" si="196"/>
        <v>0</v>
      </c>
      <c r="Y471" s="377">
        <f t="shared" si="197"/>
        <v>0</v>
      </c>
      <c r="Z471" s="377">
        <f t="shared" si="198"/>
        <v>0</v>
      </c>
      <c r="AA471" s="377">
        <f t="shared" si="199"/>
        <v>0</v>
      </c>
      <c r="AB471" s="377">
        <f t="shared" si="200"/>
        <v>0</v>
      </c>
      <c r="AC471" s="377">
        <f t="shared" si="201"/>
        <v>0</v>
      </c>
      <c r="AD471" s="376"/>
      <c r="AE471" s="332">
        <v>456</v>
      </c>
      <c r="AF471" s="350">
        <v>703454.63998131605</v>
      </c>
      <c r="AG471" s="350">
        <v>700919.6133381906</v>
      </c>
      <c r="AH471" s="350">
        <v>698178.10630717827</v>
      </c>
      <c r="AI471" s="350">
        <v>694889.08176067972</v>
      </c>
      <c r="AJ471" s="350">
        <v>690750.41794353479</v>
      </c>
      <c r="AK471" s="348">
        <v>3488191.8593308995</v>
      </c>
      <c r="AL471" s="369"/>
      <c r="AM471" s="350">
        <v>18740051.632363994</v>
      </c>
      <c r="AN471" s="350">
        <v>18572347.563147407</v>
      </c>
      <c r="AO471" s="350">
        <v>18388808.027139097</v>
      </c>
      <c r="AP471" s="350">
        <v>18154146.152633689</v>
      </c>
      <c r="AQ471" s="350">
        <v>17838171.147008933</v>
      </c>
      <c r="AR471" s="348">
        <v>91693524.522293121</v>
      </c>
      <c r="AS471" s="369"/>
      <c r="AT471" s="350">
        <f t="shared" si="219"/>
        <v>18036596.992382679</v>
      </c>
      <c r="AU471" s="350">
        <f t="shared" si="202"/>
        <v>17871427.949809216</v>
      </c>
      <c r="AV471" s="350">
        <f t="shared" si="203"/>
        <v>17690629.920831919</v>
      </c>
      <c r="AW471" s="350">
        <f t="shared" si="204"/>
        <v>17459257.070873011</v>
      </c>
      <c r="AX471" s="350">
        <f t="shared" si="205"/>
        <v>17147420.7290654</v>
      </c>
      <c r="AY471" s="350">
        <f t="shared" si="206"/>
        <v>88205332.662962228</v>
      </c>
      <c r="AZ471" s="365"/>
      <c r="BA471" s="377">
        <f t="shared" si="207"/>
        <v>0</v>
      </c>
      <c r="BB471" s="377">
        <f t="shared" si="208"/>
        <v>0</v>
      </c>
      <c r="BC471" s="377">
        <f t="shared" si="209"/>
        <v>0</v>
      </c>
      <c r="BD471" s="377">
        <f t="shared" si="210"/>
        <v>0</v>
      </c>
      <c r="BE471" s="377">
        <f t="shared" si="211"/>
        <v>0</v>
      </c>
      <c r="BF471" s="377">
        <f t="shared" si="212"/>
        <v>0</v>
      </c>
      <c r="BG471" s="328"/>
    </row>
    <row r="472" spans="2:59">
      <c r="B472" s="332">
        <v>457</v>
      </c>
      <c r="C472" s="350">
        <v>7472911.0998698287</v>
      </c>
      <c r="D472" s="350">
        <v>7445981.1065722089</v>
      </c>
      <c r="E472" s="350">
        <v>7416857.6391046159</v>
      </c>
      <c r="F472" s="350">
        <v>7381917.8055399004</v>
      </c>
      <c r="G472" s="350">
        <v>7337952.1181736272</v>
      </c>
      <c r="H472" s="348">
        <v>37055619.769260183</v>
      </c>
      <c r="I472" s="369"/>
      <c r="J472" s="350">
        <v>33379043.241242941</v>
      </c>
      <c r="K472" s="350">
        <v>32791752.782092903</v>
      </c>
      <c r="L472" s="350">
        <v>32182149.68122286</v>
      </c>
      <c r="M472" s="350">
        <v>31496702.554902516</v>
      </c>
      <c r="N472" s="350">
        <v>30690183.686358258</v>
      </c>
      <c r="O472" s="348">
        <v>160539831.9458195</v>
      </c>
      <c r="P472" s="369"/>
      <c r="Q472" s="350">
        <f t="shared" si="213"/>
        <v>25906132.141373113</v>
      </c>
      <c r="R472" s="350">
        <f t="shared" si="214"/>
        <v>25345771.675520696</v>
      </c>
      <c r="S472" s="350">
        <f t="shared" si="215"/>
        <v>24765292.042118244</v>
      </c>
      <c r="T472" s="350">
        <f t="shared" si="216"/>
        <v>24114784.749362618</v>
      </c>
      <c r="U472" s="350">
        <f t="shared" si="217"/>
        <v>23352231.568184629</v>
      </c>
      <c r="V472" s="350">
        <f t="shared" si="218"/>
        <v>123484212.17655931</v>
      </c>
      <c r="W472" s="365"/>
      <c r="X472" s="377">
        <f t="shared" si="196"/>
        <v>0</v>
      </c>
      <c r="Y472" s="377">
        <f t="shared" si="197"/>
        <v>0</v>
      </c>
      <c r="Z472" s="377">
        <f t="shared" si="198"/>
        <v>0</v>
      </c>
      <c r="AA472" s="377">
        <f t="shared" si="199"/>
        <v>0</v>
      </c>
      <c r="AB472" s="377">
        <f t="shared" si="200"/>
        <v>0</v>
      </c>
      <c r="AC472" s="377">
        <f t="shared" si="201"/>
        <v>0</v>
      </c>
      <c r="AD472" s="376"/>
      <c r="AE472" s="332">
        <v>457</v>
      </c>
      <c r="AF472" s="350">
        <v>585438.29551836464</v>
      </c>
      <c r="AG472" s="350">
        <v>583328.56222115539</v>
      </c>
      <c r="AH472" s="350">
        <v>581046.98909309984</v>
      </c>
      <c r="AI472" s="350">
        <v>578309.75371930038</v>
      </c>
      <c r="AJ472" s="350">
        <v>574865.42034920945</v>
      </c>
      <c r="AK472" s="348">
        <v>2902989.02090113</v>
      </c>
      <c r="AL472" s="369"/>
      <c r="AM472" s="350">
        <v>19611324.558896918</v>
      </c>
      <c r="AN472" s="350">
        <v>19442816.432880539</v>
      </c>
      <c r="AO472" s="350">
        <v>19257593.812684957</v>
      </c>
      <c r="AP472" s="350">
        <v>19018503.40243936</v>
      </c>
      <c r="AQ472" s="350">
        <v>18693743.652958371</v>
      </c>
      <c r="AR472" s="348">
        <v>96023981.859860152</v>
      </c>
      <c r="AS472" s="369"/>
      <c r="AT472" s="350">
        <f t="shared" si="219"/>
        <v>19025886.263378553</v>
      </c>
      <c r="AU472" s="350">
        <f t="shared" si="202"/>
        <v>18859487.870659385</v>
      </c>
      <c r="AV472" s="350">
        <f t="shared" si="203"/>
        <v>18676546.823591858</v>
      </c>
      <c r="AW472" s="350">
        <f t="shared" si="204"/>
        <v>18440193.64872006</v>
      </c>
      <c r="AX472" s="350">
        <f t="shared" si="205"/>
        <v>18118878.23260916</v>
      </c>
      <c r="AY472" s="350">
        <f t="shared" si="206"/>
        <v>93120992.838959023</v>
      </c>
      <c r="AZ472" s="365"/>
      <c r="BA472" s="377">
        <f t="shared" si="207"/>
        <v>0</v>
      </c>
      <c r="BB472" s="377">
        <f t="shared" si="208"/>
        <v>0</v>
      </c>
      <c r="BC472" s="377">
        <f t="shared" si="209"/>
        <v>0</v>
      </c>
      <c r="BD472" s="377">
        <f t="shared" si="210"/>
        <v>0</v>
      </c>
      <c r="BE472" s="377">
        <f t="shared" si="211"/>
        <v>0</v>
      </c>
      <c r="BF472" s="377">
        <f t="shared" si="212"/>
        <v>0</v>
      </c>
      <c r="BG472" s="328"/>
    </row>
    <row r="473" spans="2:59">
      <c r="B473" s="332">
        <v>458</v>
      </c>
      <c r="C473" s="350">
        <v>3858106.9186041066</v>
      </c>
      <c r="D473" s="350">
        <v>3844203.5291390126</v>
      </c>
      <c r="E473" s="350">
        <v>3829167.6950672795</v>
      </c>
      <c r="F473" s="350">
        <v>3811128.993440914</v>
      </c>
      <c r="G473" s="350">
        <v>3788430.4332222654</v>
      </c>
      <c r="H473" s="348">
        <v>19131037.569473576</v>
      </c>
      <c r="I473" s="369"/>
      <c r="J473" s="350">
        <v>14708270.839464366</v>
      </c>
      <c r="K473" s="350">
        <v>14423261.028808862</v>
      </c>
      <c r="L473" s="350">
        <v>14128954.78193224</v>
      </c>
      <c r="M473" s="350">
        <v>13802610.761681359</v>
      </c>
      <c r="N473" s="350">
        <v>13425076.322930299</v>
      </c>
      <c r="O473" s="348">
        <v>70488173.734817117</v>
      </c>
      <c r="P473" s="369"/>
      <c r="Q473" s="350">
        <f t="shared" si="213"/>
        <v>10850163.920860261</v>
      </c>
      <c r="R473" s="350">
        <f t="shared" si="214"/>
        <v>10579057.49966985</v>
      </c>
      <c r="S473" s="350">
        <f t="shared" si="215"/>
        <v>10299787.086864961</v>
      </c>
      <c r="T473" s="350">
        <f t="shared" si="216"/>
        <v>9991481.7682404444</v>
      </c>
      <c r="U473" s="350">
        <f t="shared" si="217"/>
        <v>9636645.8897080328</v>
      </c>
      <c r="V473" s="350">
        <f t="shared" si="218"/>
        <v>51357136.165343538</v>
      </c>
      <c r="W473" s="365"/>
      <c r="X473" s="377">
        <f t="shared" si="196"/>
        <v>0</v>
      </c>
      <c r="Y473" s="377">
        <f t="shared" si="197"/>
        <v>0</v>
      </c>
      <c r="Z473" s="377">
        <f t="shared" si="198"/>
        <v>0</v>
      </c>
      <c r="AA473" s="377">
        <f t="shared" si="199"/>
        <v>0</v>
      </c>
      <c r="AB473" s="377">
        <f t="shared" si="200"/>
        <v>0</v>
      </c>
      <c r="AC473" s="377">
        <f t="shared" si="201"/>
        <v>0</v>
      </c>
      <c r="AD473" s="376"/>
      <c r="AE473" s="332">
        <v>458</v>
      </c>
      <c r="AF473" s="350">
        <v>416534.56692457257</v>
      </c>
      <c r="AG473" s="350">
        <v>415033.50891042035</v>
      </c>
      <c r="AH473" s="350">
        <v>413410.18825976166</v>
      </c>
      <c r="AI473" s="350">
        <v>411462.6676419198</v>
      </c>
      <c r="AJ473" s="350">
        <v>409012.05257345334</v>
      </c>
      <c r="AK473" s="348">
        <v>2065452.9843101278</v>
      </c>
      <c r="AL473" s="369"/>
      <c r="AM473" s="350">
        <v>16137537.659038827</v>
      </c>
      <c r="AN473" s="350">
        <v>16001902.889029223</v>
      </c>
      <c r="AO473" s="350">
        <v>15852452.516003612</v>
      </c>
      <c r="AP473" s="350">
        <v>15658516.56560511</v>
      </c>
      <c r="AQ473" s="350">
        <v>15393836.95249437</v>
      </c>
      <c r="AR473" s="348">
        <v>79044246.582171142</v>
      </c>
      <c r="AS473" s="369"/>
      <c r="AT473" s="350">
        <f t="shared" si="219"/>
        <v>15721003.092114255</v>
      </c>
      <c r="AU473" s="350">
        <f t="shared" si="202"/>
        <v>15586869.380118802</v>
      </c>
      <c r="AV473" s="350">
        <f t="shared" si="203"/>
        <v>15439042.327743851</v>
      </c>
      <c r="AW473" s="350">
        <f t="shared" si="204"/>
        <v>15247053.89796319</v>
      </c>
      <c r="AX473" s="350">
        <f t="shared" si="205"/>
        <v>14984824.899920916</v>
      </c>
      <c r="AY473" s="350">
        <f t="shared" si="206"/>
        <v>76978793.597861022</v>
      </c>
      <c r="AZ473" s="365"/>
      <c r="BA473" s="377">
        <f t="shared" si="207"/>
        <v>0</v>
      </c>
      <c r="BB473" s="377">
        <f t="shared" si="208"/>
        <v>0</v>
      </c>
      <c r="BC473" s="377">
        <f t="shared" si="209"/>
        <v>0</v>
      </c>
      <c r="BD473" s="377">
        <f t="shared" si="210"/>
        <v>0</v>
      </c>
      <c r="BE473" s="377">
        <f t="shared" si="211"/>
        <v>0</v>
      </c>
      <c r="BF473" s="377">
        <f t="shared" si="212"/>
        <v>0</v>
      </c>
      <c r="BG473" s="328"/>
    </row>
    <row r="474" spans="2:59">
      <c r="B474" s="332">
        <v>459</v>
      </c>
      <c r="C474" s="350">
        <v>4778210.605567961</v>
      </c>
      <c r="D474" s="350">
        <v>4760991.4552444927</v>
      </c>
      <c r="E474" s="350">
        <v>4742369.7883646358</v>
      </c>
      <c r="F474" s="350">
        <v>4720029.1126808822</v>
      </c>
      <c r="G474" s="350">
        <v>4691917.2683344055</v>
      </c>
      <c r="H474" s="348">
        <v>23693518.230192378</v>
      </c>
      <c r="I474" s="369"/>
      <c r="J474" s="350">
        <v>13749929.416055547</v>
      </c>
      <c r="K474" s="350">
        <v>13429137.296892412</v>
      </c>
      <c r="L474" s="350">
        <v>13100764.348352376</v>
      </c>
      <c r="M474" s="350">
        <v>12745306.3802939</v>
      </c>
      <c r="N474" s="350">
        <v>12346468.427528532</v>
      </c>
      <c r="O474" s="348">
        <v>65371605.869122766</v>
      </c>
      <c r="P474" s="369"/>
      <c r="Q474" s="350">
        <f t="shared" si="213"/>
        <v>8971718.810487587</v>
      </c>
      <c r="R474" s="350">
        <f t="shared" si="214"/>
        <v>8668145.8416479193</v>
      </c>
      <c r="S474" s="350">
        <f t="shared" si="215"/>
        <v>8358394.5599877406</v>
      </c>
      <c r="T474" s="350">
        <f t="shared" si="216"/>
        <v>8025277.2676130179</v>
      </c>
      <c r="U474" s="350">
        <f t="shared" si="217"/>
        <v>7654551.1591941267</v>
      </c>
      <c r="V474" s="350">
        <f t="shared" si="218"/>
        <v>41678087.638930388</v>
      </c>
      <c r="W474" s="365"/>
      <c r="X474" s="377">
        <f t="shared" si="196"/>
        <v>0</v>
      </c>
      <c r="Y474" s="377">
        <f t="shared" si="197"/>
        <v>0</v>
      </c>
      <c r="Z474" s="377">
        <f t="shared" si="198"/>
        <v>0</v>
      </c>
      <c r="AA474" s="377">
        <f t="shared" si="199"/>
        <v>0</v>
      </c>
      <c r="AB474" s="377">
        <f t="shared" si="200"/>
        <v>0</v>
      </c>
      <c r="AC474" s="377">
        <f t="shared" si="201"/>
        <v>0</v>
      </c>
      <c r="AD474" s="376"/>
      <c r="AE474" s="332">
        <v>459</v>
      </c>
      <c r="AF474" s="350">
        <v>525550.24149585899</v>
      </c>
      <c r="AG474" s="350">
        <v>523656.32568555407</v>
      </c>
      <c r="AH474" s="350">
        <v>521608.14858880581</v>
      </c>
      <c r="AI474" s="350">
        <v>519150.92171665939</v>
      </c>
      <c r="AJ474" s="350">
        <v>516058.93021507724</v>
      </c>
      <c r="AK474" s="348">
        <v>2606024.5677019553</v>
      </c>
      <c r="AL474" s="369"/>
      <c r="AM474" s="350">
        <v>13573486.990721753</v>
      </c>
      <c r="AN474" s="350">
        <v>13451274.339942796</v>
      </c>
      <c r="AO474" s="350">
        <v>13317607.19573012</v>
      </c>
      <c r="AP474" s="350">
        <v>13146951.177853037</v>
      </c>
      <c r="AQ474" s="350">
        <v>12917461.020994088</v>
      </c>
      <c r="AR474" s="348">
        <v>66406780.725241788</v>
      </c>
      <c r="AS474" s="369"/>
      <c r="AT474" s="350">
        <f t="shared" si="219"/>
        <v>13047936.749225894</v>
      </c>
      <c r="AU474" s="350">
        <f t="shared" si="202"/>
        <v>12927618.014257243</v>
      </c>
      <c r="AV474" s="350">
        <f t="shared" si="203"/>
        <v>12795999.047141314</v>
      </c>
      <c r="AW474" s="350">
        <f t="shared" si="204"/>
        <v>12627800.256136376</v>
      </c>
      <c r="AX474" s="350">
        <f t="shared" si="205"/>
        <v>12401402.09077901</v>
      </c>
      <c r="AY474" s="350">
        <f t="shared" si="206"/>
        <v>63800756.15753983</v>
      </c>
      <c r="AZ474" s="365"/>
      <c r="BA474" s="377">
        <f t="shared" si="207"/>
        <v>0</v>
      </c>
      <c r="BB474" s="377">
        <f t="shared" si="208"/>
        <v>0</v>
      </c>
      <c r="BC474" s="377">
        <f t="shared" si="209"/>
        <v>0</v>
      </c>
      <c r="BD474" s="377">
        <f t="shared" si="210"/>
        <v>0</v>
      </c>
      <c r="BE474" s="377">
        <f t="shared" si="211"/>
        <v>0</v>
      </c>
      <c r="BF474" s="377">
        <f t="shared" si="212"/>
        <v>0</v>
      </c>
      <c r="BG474" s="328"/>
    </row>
    <row r="475" spans="2:59">
      <c r="B475" s="332">
        <v>460</v>
      </c>
      <c r="C475" s="350">
        <v>6335705.6980509423</v>
      </c>
      <c r="D475" s="350">
        <v>6312873.8310978888</v>
      </c>
      <c r="E475" s="350">
        <v>6288182.2863550866</v>
      </c>
      <c r="F475" s="350">
        <v>6258559.4928216841</v>
      </c>
      <c r="G475" s="350">
        <v>6221284.3730935678</v>
      </c>
      <c r="H475" s="348">
        <v>31416605.681419171</v>
      </c>
      <c r="I475" s="369"/>
      <c r="J475" s="350">
        <v>20473483.337318726</v>
      </c>
      <c r="K475" s="350">
        <v>20031970.083132833</v>
      </c>
      <c r="L475" s="350">
        <v>19578431.032759182</v>
      </c>
      <c r="M475" s="350">
        <v>19082657.402111001</v>
      </c>
      <c r="N475" s="350">
        <v>18519315.750496864</v>
      </c>
      <c r="O475" s="348">
        <v>97685857.605818599</v>
      </c>
      <c r="P475" s="369"/>
      <c r="Q475" s="350">
        <f t="shared" si="213"/>
        <v>14137777.639267784</v>
      </c>
      <c r="R475" s="350">
        <f t="shared" si="214"/>
        <v>13719096.252034944</v>
      </c>
      <c r="S475" s="350">
        <f t="shared" si="215"/>
        <v>13290248.746404096</v>
      </c>
      <c r="T475" s="350">
        <f t="shared" si="216"/>
        <v>12824097.909289317</v>
      </c>
      <c r="U475" s="350">
        <f t="shared" si="217"/>
        <v>12298031.377403297</v>
      </c>
      <c r="V475" s="350">
        <f t="shared" si="218"/>
        <v>66269251.924399428</v>
      </c>
      <c r="W475" s="365"/>
      <c r="X475" s="377">
        <f t="shared" si="196"/>
        <v>0</v>
      </c>
      <c r="Y475" s="377">
        <f t="shared" si="197"/>
        <v>0</v>
      </c>
      <c r="Z475" s="377">
        <f t="shared" si="198"/>
        <v>0</v>
      </c>
      <c r="AA475" s="377">
        <f t="shared" si="199"/>
        <v>0</v>
      </c>
      <c r="AB475" s="377">
        <f t="shared" si="200"/>
        <v>0</v>
      </c>
      <c r="AC475" s="377">
        <f t="shared" si="201"/>
        <v>0</v>
      </c>
      <c r="AD475" s="376"/>
      <c r="AE475" s="332">
        <v>460</v>
      </c>
      <c r="AF475" s="350">
        <v>253352.0457302182</v>
      </c>
      <c r="AG475" s="350">
        <v>252439.04558846986</v>
      </c>
      <c r="AH475" s="350">
        <v>251451.68069638649</v>
      </c>
      <c r="AI475" s="350">
        <v>250267.12514731169</v>
      </c>
      <c r="AJ475" s="350">
        <v>248776.56856403121</v>
      </c>
      <c r="AK475" s="348">
        <v>1256286.4657264175</v>
      </c>
      <c r="AL475" s="369"/>
      <c r="AM475" s="350">
        <v>7426096.2860035561</v>
      </c>
      <c r="AN475" s="350">
        <v>7360819.1086436091</v>
      </c>
      <c r="AO475" s="350">
        <v>7289242.7620166615</v>
      </c>
      <c r="AP475" s="350">
        <v>7197346.0947507443</v>
      </c>
      <c r="AQ475" s="350">
        <v>7073130.5305864355</v>
      </c>
      <c r="AR475" s="348">
        <v>36346634.782001004</v>
      </c>
      <c r="AS475" s="369"/>
      <c r="AT475" s="350">
        <f t="shared" si="219"/>
        <v>7172744.2402733378</v>
      </c>
      <c r="AU475" s="350">
        <f t="shared" si="202"/>
        <v>7108380.063055139</v>
      </c>
      <c r="AV475" s="350">
        <f t="shared" si="203"/>
        <v>7037791.0813202746</v>
      </c>
      <c r="AW475" s="350">
        <f t="shared" si="204"/>
        <v>6947078.9696034323</v>
      </c>
      <c r="AX475" s="350">
        <f t="shared" si="205"/>
        <v>6824353.9620224042</v>
      </c>
      <c r="AY475" s="350">
        <f t="shared" si="206"/>
        <v>35090348.316274583</v>
      </c>
      <c r="AZ475" s="365"/>
      <c r="BA475" s="377">
        <f t="shared" si="207"/>
        <v>0</v>
      </c>
      <c r="BB475" s="377">
        <f t="shared" si="208"/>
        <v>0</v>
      </c>
      <c r="BC475" s="377">
        <f t="shared" si="209"/>
        <v>0</v>
      </c>
      <c r="BD475" s="377">
        <f t="shared" si="210"/>
        <v>0</v>
      </c>
      <c r="BE475" s="377">
        <f t="shared" si="211"/>
        <v>0</v>
      </c>
      <c r="BF475" s="377">
        <f t="shared" si="212"/>
        <v>0</v>
      </c>
      <c r="BG475" s="328"/>
    </row>
    <row r="476" spans="2:59">
      <c r="B476" s="332">
        <v>461</v>
      </c>
      <c r="C476" s="350">
        <v>5401777.4133001855</v>
      </c>
      <c r="D476" s="350">
        <v>5382311.1266561551</v>
      </c>
      <c r="E476" s="350">
        <v>5361259.2920148782</v>
      </c>
      <c r="F476" s="350">
        <v>5336003.1098855846</v>
      </c>
      <c r="G476" s="350">
        <v>5304222.6091140062</v>
      </c>
      <c r="H476" s="348">
        <v>26785573.550970808</v>
      </c>
      <c r="I476" s="369"/>
      <c r="J476" s="350">
        <v>20539007.246025488</v>
      </c>
      <c r="K476" s="350">
        <v>20140352.571141034</v>
      </c>
      <c r="L476" s="350">
        <v>19728729.584054261</v>
      </c>
      <c r="M476" s="350">
        <v>19272403.001851827</v>
      </c>
      <c r="N476" s="350">
        <v>18744647.115789637</v>
      </c>
      <c r="O476" s="348">
        <v>98425139.518862247</v>
      </c>
      <c r="P476" s="369"/>
      <c r="Q476" s="350">
        <f t="shared" si="213"/>
        <v>15137229.832725301</v>
      </c>
      <c r="R476" s="350">
        <f t="shared" si="214"/>
        <v>14758041.444484878</v>
      </c>
      <c r="S476" s="350">
        <f t="shared" si="215"/>
        <v>14367470.292039383</v>
      </c>
      <c r="T476" s="350">
        <f t="shared" si="216"/>
        <v>13936399.891966242</v>
      </c>
      <c r="U476" s="350">
        <f t="shared" si="217"/>
        <v>13440424.506675631</v>
      </c>
      <c r="V476" s="350">
        <f t="shared" si="218"/>
        <v>71639565.96789144</v>
      </c>
      <c r="W476" s="365"/>
      <c r="X476" s="377">
        <f t="shared" si="196"/>
        <v>0</v>
      </c>
      <c r="Y476" s="377">
        <f t="shared" si="197"/>
        <v>0</v>
      </c>
      <c r="Z476" s="377">
        <f t="shared" si="198"/>
        <v>0</v>
      </c>
      <c r="AA476" s="377">
        <f t="shared" si="199"/>
        <v>0</v>
      </c>
      <c r="AB476" s="377">
        <f t="shared" si="200"/>
        <v>0</v>
      </c>
      <c r="AC476" s="377">
        <f t="shared" si="201"/>
        <v>0</v>
      </c>
      <c r="AD476" s="376"/>
      <c r="AE476" s="332">
        <v>461</v>
      </c>
      <c r="AF476" s="350">
        <v>651089.82401067601</v>
      </c>
      <c r="AG476" s="350">
        <v>648743.50349883898</v>
      </c>
      <c r="AH476" s="350">
        <v>646206.07289721118</v>
      </c>
      <c r="AI476" s="350">
        <v>643161.88171353587</v>
      </c>
      <c r="AJ476" s="350">
        <v>639331.29798689252</v>
      </c>
      <c r="AK476" s="348">
        <v>3228532.5801071548</v>
      </c>
      <c r="AL476" s="369"/>
      <c r="AM476" s="350">
        <v>18129843.303046666</v>
      </c>
      <c r="AN476" s="350">
        <v>17968966.761728883</v>
      </c>
      <c r="AO476" s="350">
        <v>17792742.473655194</v>
      </c>
      <c r="AP476" s="350">
        <v>17566988.42570509</v>
      </c>
      <c r="AQ476" s="350">
        <v>17262456.409119401</v>
      </c>
      <c r="AR476" s="348">
        <v>88720997.373255223</v>
      </c>
      <c r="AS476" s="369"/>
      <c r="AT476" s="350">
        <f t="shared" si="219"/>
        <v>17478753.479035988</v>
      </c>
      <c r="AU476" s="350">
        <f t="shared" si="202"/>
        <v>17320223.258230045</v>
      </c>
      <c r="AV476" s="350">
        <f t="shared" si="203"/>
        <v>17146536.400757983</v>
      </c>
      <c r="AW476" s="350">
        <f t="shared" si="204"/>
        <v>16923826.543991555</v>
      </c>
      <c r="AX476" s="350">
        <f t="shared" si="205"/>
        <v>16623125.111132508</v>
      </c>
      <c r="AY476" s="350">
        <f t="shared" si="206"/>
        <v>85492464.793148071</v>
      </c>
      <c r="AZ476" s="365"/>
      <c r="BA476" s="377">
        <f t="shared" si="207"/>
        <v>0</v>
      </c>
      <c r="BB476" s="377">
        <f t="shared" si="208"/>
        <v>0</v>
      </c>
      <c r="BC476" s="377">
        <f t="shared" si="209"/>
        <v>0</v>
      </c>
      <c r="BD476" s="377">
        <f t="shared" si="210"/>
        <v>0</v>
      </c>
      <c r="BE476" s="377">
        <f t="shared" si="211"/>
        <v>0</v>
      </c>
      <c r="BF476" s="377">
        <f t="shared" si="212"/>
        <v>0</v>
      </c>
      <c r="BG476" s="328"/>
    </row>
    <row r="477" spans="2:59">
      <c r="B477" s="332">
        <v>462</v>
      </c>
      <c r="C477" s="350">
        <v>6645571.9365907693</v>
      </c>
      <c r="D477" s="350">
        <v>6621623.4103311207</v>
      </c>
      <c r="E477" s="350">
        <v>6595724.2532941522</v>
      </c>
      <c r="F477" s="350">
        <v>6564652.6703054458</v>
      </c>
      <c r="G477" s="350">
        <v>6525554.5017029438</v>
      </c>
      <c r="H477" s="348">
        <v>32953126.772224434</v>
      </c>
      <c r="I477" s="369"/>
      <c r="J477" s="350">
        <v>22503463.558627892</v>
      </c>
      <c r="K477" s="350">
        <v>22032942.846497264</v>
      </c>
      <c r="L477" s="350">
        <v>21548902.370079916</v>
      </c>
      <c r="M477" s="350">
        <v>21017661.096354712</v>
      </c>
      <c r="N477" s="350">
        <v>20410936.309174005</v>
      </c>
      <c r="O477" s="348">
        <v>107513906.18073379</v>
      </c>
      <c r="P477" s="369"/>
      <c r="Q477" s="350">
        <f t="shared" si="213"/>
        <v>15857891.622037124</v>
      </c>
      <c r="R477" s="350">
        <f t="shared" si="214"/>
        <v>15411319.436166143</v>
      </c>
      <c r="S477" s="350">
        <f t="shared" si="215"/>
        <v>14953178.116785765</v>
      </c>
      <c r="T477" s="350">
        <f t="shared" si="216"/>
        <v>14453008.426049266</v>
      </c>
      <c r="U477" s="350">
        <f t="shared" si="217"/>
        <v>13885381.807471061</v>
      </c>
      <c r="V477" s="350">
        <f t="shared" si="218"/>
        <v>74560779.408509344</v>
      </c>
      <c r="W477" s="365"/>
      <c r="X477" s="377">
        <f t="shared" si="196"/>
        <v>0</v>
      </c>
      <c r="Y477" s="377">
        <f t="shared" si="197"/>
        <v>0</v>
      </c>
      <c r="Z477" s="377">
        <f t="shared" si="198"/>
        <v>0</v>
      </c>
      <c r="AA477" s="377">
        <f t="shared" si="199"/>
        <v>0</v>
      </c>
      <c r="AB477" s="377">
        <f t="shared" si="200"/>
        <v>0</v>
      </c>
      <c r="AC477" s="377">
        <f t="shared" si="201"/>
        <v>0</v>
      </c>
      <c r="AD477" s="376"/>
      <c r="AE477" s="332">
        <v>462</v>
      </c>
      <c r="AF477" s="350">
        <v>412772.3318925639</v>
      </c>
      <c r="AG477" s="350">
        <v>411284.83177610935</v>
      </c>
      <c r="AH477" s="350">
        <v>409676.17332711426</v>
      </c>
      <c r="AI477" s="350">
        <v>407746.24315884325</v>
      </c>
      <c r="AJ477" s="350">
        <v>405317.76260355447</v>
      </c>
      <c r="AK477" s="348">
        <v>2046797.3427581852</v>
      </c>
      <c r="AL477" s="369"/>
      <c r="AM477" s="350">
        <v>13609649.68585733</v>
      </c>
      <c r="AN477" s="350">
        <v>13492408.877176203</v>
      </c>
      <c r="AO477" s="350">
        <v>13363574.883794004</v>
      </c>
      <c r="AP477" s="350">
        <v>13197374.207555197</v>
      </c>
      <c r="AQ477" s="350">
        <v>12971746.4885295</v>
      </c>
      <c r="AR477" s="348">
        <v>66634754.142912239</v>
      </c>
      <c r="AS477" s="369"/>
      <c r="AT477" s="350">
        <f t="shared" si="219"/>
        <v>13196877.353964766</v>
      </c>
      <c r="AU477" s="350">
        <f t="shared" si="202"/>
        <v>13081124.045400094</v>
      </c>
      <c r="AV477" s="350">
        <f t="shared" si="203"/>
        <v>12953898.71046689</v>
      </c>
      <c r="AW477" s="350">
        <f t="shared" si="204"/>
        <v>12789627.964396354</v>
      </c>
      <c r="AX477" s="350">
        <f t="shared" si="205"/>
        <v>12566428.725925945</v>
      </c>
      <c r="AY477" s="350">
        <f t="shared" si="206"/>
        <v>64587956.800154053</v>
      </c>
      <c r="AZ477" s="365"/>
      <c r="BA477" s="377">
        <f t="shared" si="207"/>
        <v>0</v>
      </c>
      <c r="BB477" s="377">
        <f t="shared" si="208"/>
        <v>0</v>
      </c>
      <c r="BC477" s="377">
        <f t="shared" si="209"/>
        <v>0</v>
      </c>
      <c r="BD477" s="377">
        <f t="shared" si="210"/>
        <v>0</v>
      </c>
      <c r="BE477" s="377">
        <f t="shared" si="211"/>
        <v>0</v>
      </c>
      <c r="BF477" s="377">
        <f t="shared" si="212"/>
        <v>0</v>
      </c>
      <c r="BG477" s="328"/>
    </row>
    <row r="478" spans="2:59">
      <c r="B478" s="332">
        <v>463</v>
      </c>
      <c r="C478" s="350">
        <v>4255874.3419859307</v>
      </c>
      <c r="D478" s="350">
        <v>4240537.5253192354</v>
      </c>
      <c r="E478" s="350">
        <v>4223951.5100049172</v>
      </c>
      <c r="F478" s="350">
        <v>4204053.0341373365</v>
      </c>
      <c r="G478" s="350">
        <v>4179014.2723630741</v>
      </c>
      <c r="H478" s="348">
        <v>21103430.683810495</v>
      </c>
      <c r="I478" s="369"/>
      <c r="J478" s="350">
        <v>15937589.253598433</v>
      </c>
      <c r="K478" s="350">
        <v>15625264.354324741</v>
      </c>
      <c r="L478" s="350">
        <v>15302937.368521594</v>
      </c>
      <c r="M478" s="350">
        <v>14946079.078542016</v>
      </c>
      <c r="N478" s="350">
        <v>14534039.539750854</v>
      </c>
      <c r="O478" s="348">
        <v>76345909.594737634</v>
      </c>
      <c r="P478" s="369"/>
      <c r="Q478" s="350">
        <f t="shared" si="213"/>
        <v>11681714.911612503</v>
      </c>
      <c r="R478" s="350">
        <f t="shared" si="214"/>
        <v>11384726.829005506</v>
      </c>
      <c r="S478" s="350">
        <f t="shared" si="215"/>
        <v>11078985.858516676</v>
      </c>
      <c r="T478" s="350">
        <f t="shared" si="216"/>
        <v>10742026.04440468</v>
      </c>
      <c r="U478" s="350">
        <f t="shared" si="217"/>
        <v>10355025.267387779</v>
      </c>
      <c r="V478" s="350">
        <f t="shared" si="218"/>
        <v>55242478.910927139</v>
      </c>
      <c r="W478" s="365"/>
      <c r="X478" s="377">
        <f t="shared" si="196"/>
        <v>0</v>
      </c>
      <c r="Y478" s="377">
        <f t="shared" si="197"/>
        <v>0</v>
      </c>
      <c r="Z478" s="377">
        <f t="shared" si="198"/>
        <v>0</v>
      </c>
      <c r="AA478" s="377">
        <f t="shared" si="199"/>
        <v>0</v>
      </c>
      <c r="AB478" s="377">
        <f t="shared" si="200"/>
        <v>0</v>
      </c>
      <c r="AC478" s="377">
        <f t="shared" si="201"/>
        <v>0</v>
      </c>
      <c r="AD478" s="376"/>
      <c r="AE478" s="332">
        <v>463</v>
      </c>
      <c r="AF478" s="350">
        <v>328110.73280738655</v>
      </c>
      <c r="AG478" s="350">
        <v>326928.32614988799</v>
      </c>
      <c r="AH478" s="350">
        <v>325649.61131908395</v>
      </c>
      <c r="AI478" s="350">
        <v>324115.51915046631</v>
      </c>
      <c r="AJ478" s="350">
        <v>322185.13168735575</v>
      </c>
      <c r="AK478" s="348">
        <v>1626989.3211141806</v>
      </c>
      <c r="AL478" s="369"/>
      <c r="AM478" s="350">
        <v>9090939.5245241672</v>
      </c>
      <c r="AN478" s="350">
        <v>9010194.6889589038</v>
      </c>
      <c r="AO478" s="350">
        <v>8921755.5003501214</v>
      </c>
      <c r="AP478" s="350">
        <v>8808484.3426596932</v>
      </c>
      <c r="AQ478" s="350">
        <v>8655717.3796372432</v>
      </c>
      <c r="AR478" s="348">
        <v>44487091.436130129</v>
      </c>
      <c r="AS478" s="369"/>
      <c r="AT478" s="350">
        <f t="shared" si="219"/>
        <v>8762828.7917167805</v>
      </c>
      <c r="AU478" s="350">
        <f t="shared" si="202"/>
        <v>8683266.3628090154</v>
      </c>
      <c r="AV478" s="350">
        <f t="shared" si="203"/>
        <v>8596105.8890310377</v>
      </c>
      <c r="AW478" s="350">
        <f t="shared" si="204"/>
        <v>8484368.8235092275</v>
      </c>
      <c r="AX478" s="350">
        <f t="shared" si="205"/>
        <v>8333532.2479498871</v>
      </c>
      <c r="AY478" s="350">
        <f t="shared" si="206"/>
        <v>42860102.115015946</v>
      </c>
      <c r="AZ478" s="365"/>
      <c r="BA478" s="377">
        <f t="shared" si="207"/>
        <v>0</v>
      </c>
      <c r="BB478" s="377">
        <f t="shared" si="208"/>
        <v>0</v>
      </c>
      <c r="BC478" s="377">
        <f t="shared" si="209"/>
        <v>0</v>
      </c>
      <c r="BD478" s="377">
        <f t="shared" si="210"/>
        <v>0</v>
      </c>
      <c r="BE478" s="377">
        <f t="shared" si="211"/>
        <v>0</v>
      </c>
      <c r="BF478" s="377">
        <f t="shared" si="212"/>
        <v>0</v>
      </c>
      <c r="BG478" s="328"/>
    </row>
    <row r="479" spans="2:59">
      <c r="B479" s="332">
        <v>464</v>
      </c>
      <c r="C479" s="350">
        <v>6803231.7012795247</v>
      </c>
      <c r="D479" s="350">
        <v>6778715.0194042623</v>
      </c>
      <c r="E479" s="350">
        <v>6752201.4299236983</v>
      </c>
      <c r="F479" s="350">
        <v>6720392.7036899477</v>
      </c>
      <c r="G479" s="350">
        <v>6680366.9688643366</v>
      </c>
      <c r="H479" s="348">
        <v>33734907.823161766</v>
      </c>
      <c r="I479" s="369"/>
      <c r="J479" s="350">
        <v>19209342.662047554</v>
      </c>
      <c r="K479" s="350">
        <v>18755249.04396655</v>
      </c>
      <c r="L479" s="350">
        <v>18290685.735375591</v>
      </c>
      <c r="M479" s="350">
        <v>17788595.949362043</v>
      </c>
      <c r="N479" s="350">
        <v>17226390.455525409</v>
      </c>
      <c r="O479" s="348">
        <v>91270263.846277148</v>
      </c>
      <c r="P479" s="369"/>
      <c r="Q479" s="350">
        <f t="shared" si="213"/>
        <v>12406110.960768029</v>
      </c>
      <c r="R479" s="350">
        <f t="shared" si="214"/>
        <v>11976534.024562288</v>
      </c>
      <c r="S479" s="350">
        <f t="shared" si="215"/>
        <v>11538484.305451892</v>
      </c>
      <c r="T479" s="350">
        <f t="shared" si="216"/>
        <v>11068203.245672096</v>
      </c>
      <c r="U479" s="350">
        <f t="shared" si="217"/>
        <v>10546023.486661073</v>
      </c>
      <c r="V479" s="350">
        <f t="shared" si="218"/>
        <v>57535356.023115382</v>
      </c>
      <c r="W479" s="365"/>
      <c r="X479" s="377">
        <f t="shared" si="196"/>
        <v>0</v>
      </c>
      <c r="Y479" s="377">
        <f t="shared" si="197"/>
        <v>0</v>
      </c>
      <c r="Z479" s="377">
        <f t="shared" si="198"/>
        <v>0</v>
      </c>
      <c r="AA479" s="377">
        <f t="shared" si="199"/>
        <v>0</v>
      </c>
      <c r="AB479" s="377">
        <f t="shared" si="200"/>
        <v>0</v>
      </c>
      <c r="AC479" s="377">
        <f t="shared" si="201"/>
        <v>0</v>
      </c>
      <c r="AD479" s="376"/>
      <c r="AE479" s="332">
        <v>464</v>
      </c>
      <c r="AF479" s="350">
        <v>455413.16200411716</v>
      </c>
      <c r="AG479" s="350">
        <v>453771.99790668342</v>
      </c>
      <c r="AH479" s="350">
        <v>451997.15939586918</v>
      </c>
      <c r="AI479" s="350">
        <v>449867.86066998437</v>
      </c>
      <c r="AJ479" s="350">
        <v>447188.50955292</v>
      </c>
      <c r="AK479" s="348">
        <v>2258238.6895295745</v>
      </c>
      <c r="AL479" s="369"/>
      <c r="AM479" s="350">
        <v>12623019.805803711</v>
      </c>
      <c r="AN479" s="350">
        <v>12510911.61976967</v>
      </c>
      <c r="AO479" s="350">
        <v>12388119.444423957</v>
      </c>
      <c r="AP479" s="350">
        <v>12230846.961936664</v>
      </c>
      <c r="AQ479" s="350">
        <v>12018732.787899232</v>
      </c>
      <c r="AR479" s="348">
        <v>61771630.619833238</v>
      </c>
      <c r="AS479" s="369"/>
      <c r="AT479" s="350">
        <f t="shared" si="219"/>
        <v>12167606.643799594</v>
      </c>
      <c r="AU479" s="350">
        <f t="shared" si="202"/>
        <v>12057139.621862987</v>
      </c>
      <c r="AV479" s="350">
        <f t="shared" si="203"/>
        <v>11936122.285028087</v>
      </c>
      <c r="AW479" s="350">
        <f t="shared" si="204"/>
        <v>11780979.10126668</v>
      </c>
      <c r="AX479" s="350">
        <f t="shared" si="205"/>
        <v>11571544.278346311</v>
      </c>
      <c r="AY479" s="350">
        <f t="shared" si="206"/>
        <v>59513391.930303663</v>
      </c>
      <c r="AZ479" s="365"/>
      <c r="BA479" s="377">
        <f t="shared" si="207"/>
        <v>0</v>
      </c>
      <c r="BB479" s="377">
        <f t="shared" si="208"/>
        <v>0</v>
      </c>
      <c r="BC479" s="377">
        <f t="shared" si="209"/>
        <v>0</v>
      </c>
      <c r="BD479" s="377">
        <f t="shared" si="210"/>
        <v>0</v>
      </c>
      <c r="BE479" s="377">
        <f t="shared" si="211"/>
        <v>0</v>
      </c>
      <c r="BF479" s="377">
        <f t="shared" si="212"/>
        <v>0</v>
      </c>
      <c r="BG479" s="328"/>
    </row>
    <row r="480" spans="2:59">
      <c r="B480" s="332">
        <v>465</v>
      </c>
      <c r="C480" s="350">
        <v>6337975.8827131689</v>
      </c>
      <c r="D480" s="350">
        <v>6315135.834737096</v>
      </c>
      <c r="E480" s="350">
        <v>6290435.4426189838</v>
      </c>
      <c r="F480" s="350">
        <v>6260802.0347649781</v>
      </c>
      <c r="G480" s="350">
        <v>6223513.558765417</v>
      </c>
      <c r="H480" s="348">
        <v>31427862.753599644</v>
      </c>
      <c r="I480" s="369"/>
      <c r="J480" s="350">
        <v>22140521.146238256</v>
      </c>
      <c r="K480" s="350">
        <v>21686887.616408508</v>
      </c>
      <c r="L480" s="350">
        <v>21219762.497450635</v>
      </c>
      <c r="M480" s="350">
        <v>20705707.665316738</v>
      </c>
      <c r="N480" s="350">
        <v>20116621.162882417</v>
      </c>
      <c r="O480" s="348">
        <v>105869500.08829656</v>
      </c>
      <c r="P480" s="369"/>
      <c r="Q480" s="350">
        <f t="shared" si="213"/>
        <v>15802545.263525087</v>
      </c>
      <c r="R480" s="350">
        <f t="shared" si="214"/>
        <v>15371751.781671412</v>
      </c>
      <c r="S480" s="350">
        <f t="shared" si="215"/>
        <v>14929327.05483165</v>
      </c>
      <c r="T480" s="350">
        <f t="shared" si="216"/>
        <v>14444905.630551759</v>
      </c>
      <c r="U480" s="350">
        <f t="shared" si="217"/>
        <v>13893107.604117</v>
      </c>
      <c r="V480" s="350">
        <f t="shared" si="218"/>
        <v>74441637.334696919</v>
      </c>
      <c r="W480" s="365"/>
      <c r="X480" s="377">
        <f t="shared" si="196"/>
        <v>0</v>
      </c>
      <c r="Y480" s="377">
        <f t="shared" si="197"/>
        <v>0</v>
      </c>
      <c r="Z480" s="377">
        <f t="shared" si="198"/>
        <v>0</v>
      </c>
      <c r="AA480" s="377">
        <f t="shared" si="199"/>
        <v>0</v>
      </c>
      <c r="AB480" s="377">
        <f t="shared" si="200"/>
        <v>0</v>
      </c>
      <c r="AC480" s="377">
        <f t="shared" si="201"/>
        <v>0</v>
      </c>
      <c r="AD480" s="376"/>
      <c r="AE480" s="332">
        <v>465</v>
      </c>
      <c r="AF480" s="350">
        <v>443628.81992611173</v>
      </c>
      <c r="AG480" s="350">
        <v>442030.12284707767</v>
      </c>
      <c r="AH480" s="350">
        <v>440301.21033465286</v>
      </c>
      <c r="AI480" s="350">
        <v>438227.00967501971</v>
      </c>
      <c r="AJ480" s="350">
        <v>435616.98986575427</v>
      </c>
      <c r="AK480" s="348">
        <v>2199804.1526486161</v>
      </c>
      <c r="AL480" s="369"/>
      <c r="AM480" s="350">
        <v>14372647.34769436</v>
      </c>
      <c r="AN480" s="350">
        <v>14248475.710086308</v>
      </c>
      <c r="AO480" s="350">
        <v>14112068.248703329</v>
      </c>
      <c r="AP480" s="350">
        <v>13936218.086812958</v>
      </c>
      <c r="AQ480" s="350">
        <v>13697638.696376726</v>
      </c>
      <c r="AR480" s="348">
        <v>70367048.089673683</v>
      </c>
      <c r="AS480" s="369"/>
      <c r="AT480" s="350">
        <f t="shared" si="219"/>
        <v>13929018.527768249</v>
      </c>
      <c r="AU480" s="350">
        <f t="shared" si="202"/>
        <v>13806445.58723923</v>
      </c>
      <c r="AV480" s="350">
        <f t="shared" si="203"/>
        <v>13671767.038368676</v>
      </c>
      <c r="AW480" s="350">
        <f t="shared" si="204"/>
        <v>13497991.077137938</v>
      </c>
      <c r="AX480" s="350">
        <f t="shared" si="205"/>
        <v>13262021.706510972</v>
      </c>
      <c r="AY480" s="350">
        <f t="shared" si="206"/>
        <v>68167243.93702507</v>
      </c>
      <c r="AZ480" s="365"/>
      <c r="BA480" s="377">
        <f t="shared" si="207"/>
        <v>0</v>
      </c>
      <c r="BB480" s="377">
        <f t="shared" si="208"/>
        <v>0</v>
      </c>
      <c r="BC480" s="377">
        <f t="shared" si="209"/>
        <v>0</v>
      </c>
      <c r="BD480" s="377">
        <f t="shared" si="210"/>
        <v>0</v>
      </c>
      <c r="BE480" s="377">
        <f t="shared" si="211"/>
        <v>0</v>
      </c>
      <c r="BF480" s="377">
        <f t="shared" si="212"/>
        <v>0</v>
      </c>
      <c r="BG480" s="328"/>
    </row>
    <row r="481" spans="2:59">
      <c r="B481" s="332">
        <v>466</v>
      </c>
      <c r="C481" s="350">
        <v>4817128.9131815759</v>
      </c>
      <c r="D481" s="350">
        <v>4799769.5136634922</v>
      </c>
      <c r="E481" s="350">
        <v>4780996.1741555892</v>
      </c>
      <c r="F481" s="350">
        <v>4758473.5346865775</v>
      </c>
      <c r="G481" s="350">
        <v>4730132.7206491046</v>
      </c>
      <c r="H481" s="348">
        <v>23886500.85633634</v>
      </c>
      <c r="I481" s="369"/>
      <c r="J481" s="350">
        <v>14924829.860439386</v>
      </c>
      <c r="K481" s="350">
        <v>14593764.140527664</v>
      </c>
      <c r="L481" s="350">
        <v>14254119.88075511</v>
      </c>
      <c r="M481" s="350">
        <v>13884172.825237915</v>
      </c>
      <c r="N481" s="350">
        <v>13465728.08433786</v>
      </c>
      <c r="O481" s="348">
        <v>71122614.791297942</v>
      </c>
      <c r="P481" s="369"/>
      <c r="Q481" s="350">
        <f t="shared" si="213"/>
        <v>10107700.947257809</v>
      </c>
      <c r="R481" s="350">
        <f t="shared" si="214"/>
        <v>9793994.6268641725</v>
      </c>
      <c r="S481" s="350">
        <f t="shared" si="215"/>
        <v>9473123.7065995205</v>
      </c>
      <c r="T481" s="350">
        <f t="shared" si="216"/>
        <v>9125699.2905513383</v>
      </c>
      <c r="U481" s="350">
        <f t="shared" si="217"/>
        <v>8735595.3636887558</v>
      </c>
      <c r="V481" s="350">
        <f t="shared" si="218"/>
        <v>47236113.934961602</v>
      </c>
      <c r="W481" s="365"/>
      <c r="X481" s="377">
        <f t="shared" si="196"/>
        <v>0</v>
      </c>
      <c r="Y481" s="377">
        <f t="shared" si="197"/>
        <v>0</v>
      </c>
      <c r="Z481" s="377">
        <f t="shared" si="198"/>
        <v>0</v>
      </c>
      <c r="AA481" s="377">
        <f t="shared" si="199"/>
        <v>0</v>
      </c>
      <c r="AB481" s="377">
        <f t="shared" si="200"/>
        <v>0</v>
      </c>
      <c r="AC481" s="377">
        <f t="shared" si="201"/>
        <v>0</v>
      </c>
      <c r="AD481" s="376"/>
      <c r="AE481" s="332">
        <v>466</v>
      </c>
      <c r="AF481" s="350">
        <v>415248.06347669516</v>
      </c>
      <c r="AG481" s="350">
        <v>413751.64161153039</v>
      </c>
      <c r="AH481" s="350">
        <v>412133.33472870733</v>
      </c>
      <c r="AI481" s="350">
        <v>410191.82919866045</v>
      </c>
      <c r="AJ481" s="350">
        <v>407748.78306920972</v>
      </c>
      <c r="AK481" s="348">
        <v>2059073.6520848027</v>
      </c>
      <c r="AL481" s="369"/>
      <c r="AM481" s="350">
        <v>12668253.871196747</v>
      </c>
      <c r="AN481" s="350">
        <v>12557683.179505572</v>
      </c>
      <c r="AO481" s="350">
        <v>12436350.613719938</v>
      </c>
      <c r="AP481" s="350">
        <v>12280311.952588301</v>
      </c>
      <c r="AQ481" s="350">
        <v>12069075.4134656</v>
      </c>
      <c r="AR481" s="348">
        <v>62011675.030476168</v>
      </c>
      <c r="AS481" s="369"/>
      <c r="AT481" s="350">
        <f t="shared" si="219"/>
        <v>12253005.807720052</v>
      </c>
      <c r="AU481" s="350">
        <f t="shared" si="202"/>
        <v>12143931.537894042</v>
      </c>
      <c r="AV481" s="350">
        <f t="shared" si="203"/>
        <v>12024217.278991232</v>
      </c>
      <c r="AW481" s="350">
        <f t="shared" si="204"/>
        <v>11870120.123389641</v>
      </c>
      <c r="AX481" s="350">
        <f t="shared" si="205"/>
        <v>11661326.63039639</v>
      </c>
      <c r="AY481" s="350">
        <f t="shared" si="206"/>
        <v>59952601.378391363</v>
      </c>
      <c r="AZ481" s="365"/>
      <c r="BA481" s="377">
        <f t="shared" si="207"/>
        <v>0</v>
      </c>
      <c r="BB481" s="377">
        <f t="shared" si="208"/>
        <v>0</v>
      </c>
      <c r="BC481" s="377">
        <f t="shared" si="209"/>
        <v>0</v>
      </c>
      <c r="BD481" s="377">
        <f t="shared" si="210"/>
        <v>0</v>
      </c>
      <c r="BE481" s="377">
        <f t="shared" si="211"/>
        <v>0</v>
      </c>
      <c r="BF481" s="377">
        <f t="shared" si="212"/>
        <v>0</v>
      </c>
      <c r="BG481" s="328"/>
    </row>
    <row r="482" spans="2:59">
      <c r="B482" s="332">
        <v>467</v>
      </c>
      <c r="C482" s="350">
        <v>4513852.554102432</v>
      </c>
      <c r="D482" s="350">
        <v>4497586.0660626432</v>
      </c>
      <c r="E482" s="350">
        <v>4479994.6567368712</v>
      </c>
      <c r="F482" s="350">
        <v>4458889.9955321159</v>
      </c>
      <c r="G482" s="350">
        <v>4432333.4598582787</v>
      </c>
      <c r="H482" s="348">
        <v>22382656.732292343</v>
      </c>
      <c r="I482" s="369"/>
      <c r="J482" s="350">
        <v>15931493.13359526</v>
      </c>
      <c r="K482" s="350">
        <v>15607242.932041569</v>
      </c>
      <c r="L482" s="350">
        <v>15273240.424433768</v>
      </c>
      <c r="M482" s="350">
        <v>14905354.779259063</v>
      </c>
      <c r="N482" s="350">
        <v>14483300.679752955</v>
      </c>
      <c r="O482" s="348">
        <v>76200631.949082613</v>
      </c>
      <c r="P482" s="369"/>
      <c r="Q482" s="350">
        <f t="shared" si="213"/>
        <v>11417640.579492828</v>
      </c>
      <c r="R482" s="350">
        <f t="shared" si="214"/>
        <v>11109656.865978926</v>
      </c>
      <c r="S482" s="350">
        <f t="shared" si="215"/>
        <v>10793245.767696897</v>
      </c>
      <c r="T482" s="350">
        <f t="shared" si="216"/>
        <v>10446464.783726947</v>
      </c>
      <c r="U482" s="350">
        <f t="shared" si="217"/>
        <v>10050967.219894677</v>
      </c>
      <c r="V482" s="350">
        <f t="shared" si="218"/>
        <v>53817975.216790274</v>
      </c>
      <c r="W482" s="365"/>
      <c r="X482" s="377">
        <f t="shared" si="196"/>
        <v>0</v>
      </c>
      <c r="Y482" s="377">
        <f t="shared" si="197"/>
        <v>0</v>
      </c>
      <c r="Z482" s="377">
        <f t="shared" si="198"/>
        <v>0</v>
      </c>
      <c r="AA482" s="377">
        <f t="shared" si="199"/>
        <v>0</v>
      </c>
      <c r="AB482" s="377">
        <f t="shared" si="200"/>
        <v>0</v>
      </c>
      <c r="AC482" s="377">
        <f t="shared" si="201"/>
        <v>0</v>
      </c>
      <c r="AD482" s="376"/>
      <c r="AE482" s="332">
        <v>467</v>
      </c>
      <c r="AF482" s="350">
        <v>553027.7403599323</v>
      </c>
      <c r="AG482" s="350">
        <v>551034.80438862764</v>
      </c>
      <c r="AH482" s="350">
        <v>548879.54184237204</v>
      </c>
      <c r="AI482" s="350">
        <v>546293.84305021272</v>
      </c>
      <c r="AJ482" s="350">
        <v>543040.19204157649</v>
      </c>
      <c r="AK482" s="348">
        <v>2742276.1216827212</v>
      </c>
      <c r="AL482" s="369"/>
      <c r="AM482" s="350">
        <v>17149310.133293953</v>
      </c>
      <c r="AN482" s="350">
        <v>17000050.370582655</v>
      </c>
      <c r="AO482" s="350">
        <v>16836213.383880194</v>
      </c>
      <c r="AP482" s="350">
        <v>16625371.682922514</v>
      </c>
      <c r="AQ482" s="350">
        <v>16339772.555667534</v>
      </c>
      <c r="AR482" s="348">
        <v>83950718.126346856</v>
      </c>
      <c r="AS482" s="369"/>
      <c r="AT482" s="350">
        <f t="shared" si="219"/>
        <v>16596282.392934021</v>
      </c>
      <c r="AU482" s="350">
        <f t="shared" si="202"/>
        <v>16449015.566194028</v>
      </c>
      <c r="AV482" s="350">
        <f t="shared" si="203"/>
        <v>16287333.842037823</v>
      </c>
      <c r="AW482" s="350">
        <f t="shared" si="204"/>
        <v>16079077.839872301</v>
      </c>
      <c r="AX482" s="350">
        <f t="shared" si="205"/>
        <v>15796732.363625959</v>
      </c>
      <c r="AY482" s="350">
        <f t="shared" si="206"/>
        <v>81208442.004664138</v>
      </c>
      <c r="AZ482" s="365"/>
      <c r="BA482" s="377">
        <f t="shared" si="207"/>
        <v>0</v>
      </c>
      <c r="BB482" s="377">
        <f t="shared" si="208"/>
        <v>0</v>
      </c>
      <c r="BC482" s="377">
        <f t="shared" si="209"/>
        <v>0</v>
      </c>
      <c r="BD482" s="377">
        <f t="shared" si="210"/>
        <v>0</v>
      </c>
      <c r="BE482" s="377">
        <f t="shared" si="211"/>
        <v>0</v>
      </c>
      <c r="BF482" s="377">
        <f t="shared" si="212"/>
        <v>0</v>
      </c>
      <c r="BG482" s="328"/>
    </row>
    <row r="483" spans="2:59">
      <c r="B483" s="332">
        <v>468</v>
      </c>
      <c r="C483" s="350">
        <v>7915886.3380076997</v>
      </c>
      <c r="D483" s="350">
        <v>7887360.0029318016</v>
      </c>
      <c r="E483" s="350">
        <v>7856510.1700940793</v>
      </c>
      <c r="F483" s="350">
        <v>7819499.1917121727</v>
      </c>
      <c r="G483" s="350">
        <v>7772927.3297814392</v>
      </c>
      <c r="H483" s="348">
        <v>39252183.032527193</v>
      </c>
      <c r="I483" s="369"/>
      <c r="J483" s="350">
        <v>23360545.808231141</v>
      </c>
      <c r="K483" s="350">
        <v>22824909.881535638</v>
      </c>
      <c r="L483" s="350">
        <v>22276202.984351844</v>
      </c>
      <c r="M483" s="350">
        <v>21680985.506334182</v>
      </c>
      <c r="N483" s="350">
        <v>21011295.298015453</v>
      </c>
      <c r="O483" s="348">
        <v>111153939.47846827</v>
      </c>
      <c r="P483" s="369"/>
      <c r="Q483" s="350">
        <f t="shared" si="213"/>
        <v>15444659.470223442</v>
      </c>
      <c r="R483" s="350">
        <f t="shared" si="214"/>
        <v>14937549.878603837</v>
      </c>
      <c r="S483" s="350">
        <f t="shared" si="215"/>
        <v>14419692.814257763</v>
      </c>
      <c r="T483" s="350">
        <f t="shared" si="216"/>
        <v>13861486.314622009</v>
      </c>
      <c r="U483" s="350">
        <f t="shared" si="217"/>
        <v>13238367.968234014</v>
      </c>
      <c r="V483" s="350">
        <f t="shared" si="218"/>
        <v>71901756.445941076</v>
      </c>
      <c r="W483" s="365"/>
      <c r="X483" s="377">
        <f t="shared" si="196"/>
        <v>0</v>
      </c>
      <c r="Y483" s="377">
        <f t="shared" si="197"/>
        <v>0</v>
      </c>
      <c r="Z483" s="377">
        <f t="shared" si="198"/>
        <v>0</v>
      </c>
      <c r="AA483" s="377">
        <f t="shared" si="199"/>
        <v>0</v>
      </c>
      <c r="AB483" s="377">
        <f t="shared" si="200"/>
        <v>0</v>
      </c>
      <c r="AC483" s="377">
        <f t="shared" si="201"/>
        <v>0</v>
      </c>
      <c r="AD483" s="376"/>
      <c r="AE483" s="332">
        <v>468</v>
      </c>
      <c r="AF483" s="350">
        <v>469371.47841560474</v>
      </c>
      <c r="AG483" s="350">
        <v>467680.012988156</v>
      </c>
      <c r="AH483" s="350">
        <v>465850.77605502948</v>
      </c>
      <c r="AI483" s="350">
        <v>463656.21477674122</v>
      </c>
      <c r="AJ483" s="350">
        <v>460894.74211864622</v>
      </c>
      <c r="AK483" s="348">
        <v>2327453.2243541777</v>
      </c>
      <c r="AL483" s="369"/>
      <c r="AM483" s="350">
        <v>11563620.941722905</v>
      </c>
      <c r="AN483" s="350">
        <v>11458500.613888379</v>
      </c>
      <c r="AO483" s="350">
        <v>11343642.396085184</v>
      </c>
      <c r="AP483" s="350">
        <v>11197325.286402261</v>
      </c>
      <c r="AQ483" s="350">
        <v>11000968.449343646</v>
      </c>
      <c r="AR483" s="348">
        <v>56564057.687442377</v>
      </c>
      <c r="AS483" s="369"/>
      <c r="AT483" s="350">
        <f t="shared" si="219"/>
        <v>11094249.463307301</v>
      </c>
      <c r="AU483" s="350">
        <f t="shared" si="202"/>
        <v>10990820.600900223</v>
      </c>
      <c r="AV483" s="350">
        <f t="shared" si="203"/>
        <v>10877791.620030155</v>
      </c>
      <c r="AW483" s="350">
        <f t="shared" si="204"/>
        <v>10733669.07162552</v>
      </c>
      <c r="AX483" s="350">
        <f t="shared" si="205"/>
        <v>10540073.707225</v>
      </c>
      <c r="AY483" s="350">
        <f t="shared" si="206"/>
        <v>54236604.463088199</v>
      </c>
      <c r="AZ483" s="365"/>
      <c r="BA483" s="377">
        <f t="shared" si="207"/>
        <v>0</v>
      </c>
      <c r="BB483" s="377">
        <f t="shared" si="208"/>
        <v>0</v>
      </c>
      <c r="BC483" s="377">
        <f t="shared" si="209"/>
        <v>0</v>
      </c>
      <c r="BD483" s="377">
        <f t="shared" si="210"/>
        <v>0</v>
      </c>
      <c r="BE483" s="377">
        <f t="shared" si="211"/>
        <v>0</v>
      </c>
      <c r="BF483" s="377">
        <f t="shared" si="212"/>
        <v>0</v>
      </c>
      <c r="BG483" s="328"/>
    </row>
    <row r="484" spans="2:59">
      <c r="B484" s="332">
        <v>469</v>
      </c>
      <c r="C484" s="350">
        <v>5429991.5958859883</v>
      </c>
      <c r="D484" s="350">
        <v>5410423.634307282</v>
      </c>
      <c r="E484" s="350">
        <v>5389261.8432089183</v>
      </c>
      <c r="F484" s="350">
        <v>5363873.7447714359</v>
      </c>
      <c r="G484" s="350">
        <v>5331927.2503309511</v>
      </c>
      <c r="H484" s="348">
        <v>26925478.068504576</v>
      </c>
      <c r="I484" s="369"/>
      <c r="J484" s="350">
        <v>16784274.851181217</v>
      </c>
      <c r="K484" s="350">
        <v>16411372.863264423</v>
      </c>
      <c r="L484" s="350">
        <v>16028835.598982733</v>
      </c>
      <c r="M484" s="350">
        <v>15612251.279190181</v>
      </c>
      <c r="N484" s="350">
        <v>15141175.625333237</v>
      </c>
      <c r="O484" s="348">
        <v>79977910.217951789</v>
      </c>
      <c r="P484" s="369"/>
      <c r="Q484" s="350">
        <f t="shared" si="213"/>
        <v>11354283.255295228</v>
      </c>
      <c r="R484" s="350">
        <f t="shared" si="214"/>
        <v>11000949.228957141</v>
      </c>
      <c r="S484" s="350">
        <f t="shared" si="215"/>
        <v>10639573.755773814</v>
      </c>
      <c r="T484" s="350">
        <f t="shared" si="216"/>
        <v>10248377.534418745</v>
      </c>
      <c r="U484" s="350">
        <f t="shared" si="217"/>
        <v>9809248.3750022855</v>
      </c>
      <c r="V484" s="350">
        <f t="shared" si="218"/>
        <v>53052432.149447218</v>
      </c>
      <c r="W484" s="365"/>
      <c r="X484" s="377">
        <f t="shared" si="196"/>
        <v>0</v>
      </c>
      <c r="Y484" s="377">
        <f t="shared" si="197"/>
        <v>0</v>
      </c>
      <c r="Z484" s="377">
        <f t="shared" si="198"/>
        <v>0</v>
      </c>
      <c r="AA484" s="377">
        <f t="shared" si="199"/>
        <v>0</v>
      </c>
      <c r="AB484" s="377">
        <f t="shared" si="200"/>
        <v>0</v>
      </c>
      <c r="AC484" s="377">
        <f t="shared" si="201"/>
        <v>0</v>
      </c>
      <c r="AD484" s="376"/>
      <c r="AE484" s="332">
        <v>469</v>
      </c>
      <c r="AF484" s="350">
        <v>426885.5561104368</v>
      </c>
      <c r="AG484" s="350">
        <v>425347.19642553345</v>
      </c>
      <c r="AH484" s="350">
        <v>423683.53584672848</v>
      </c>
      <c r="AI484" s="350">
        <v>421687.61884967767</v>
      </c>
      <c r="AJ484" s="350">
        <v>419176.10537784535</v>
      </c>
      <c r="AK484" s="348">
        <v>2116780.0126102217</v>
      </c>
      <c r="AL484" s="369"/>
      <c r="AM484" s="350">
        <v>13293208.92417201</v>
      </c>
      <c r="AN484" s="350">
        <v>13177594.017439684</v>
      </c>
      <c r="AO484" s="350">
        <v>13050677.945377454</v>
      </c>
      <c r="AP484" s="350">
        <v>12887322.003723018</v>
      </c>
      <c r="AQ484" s="350">
        <v>12666011.343768185</v>
      </c>
      <c r="AR484" s="348">
        <v>65074814.234480351</v>
      </c>
      <c r="AS484" s="369"/>
      <c r="AT484" s="350">
        <f t="shared" si="219"/>
        <v>12866323.368061574</v>
      </c>
      <c r="AU484" s="350">
        <f t="shared" si="202"/>
        <v>12752246.821014151</v>
      </c>
      <c r="AV484" s="350">
        <f t="shared" si="203"/>
        <v>12626994.409530725</v>
      </c>
      <c r="AW484" s="350">
        <f t="shared" si="204"/>
        <v>12465634.38487334</v>
      </c>
      <c r="AX484" s="350">
        <f t="shared" si="205"/>
        <v>12246835.23839034</v>
      </c>
      <c r="AY484" s="350">
        <f t="shared" si="206"/>
        <v>62958034.221870132</v>
      </c>
      <c r="AZ484" s="365"/>
      <c r="BA484" s="377">
        <f t="shared" si="207"/>
        <v>0</v>
      </c>
      <c r="BB484" s="377">
        <f t="shared" si="208"/>
        <v>0</v>
      </c>
      <c r="BC484" s="377">
        <f t="shared" si="209"/>
        <v>0</v>
      </c>
      <c r="BD484" s="377">
        <f t="shared" si="210"/>
        <v>0</v>
      </c>
      <c r="BE484" s="377">
        <f t="shared" si="211"/>
        <v>0</v>
      </c>
      <c r="BF484" s="377">
        <f t="shared" si="212"/>
        <v>0</v>
      </c>
      <c r="BG484" s="328"/>
    </row>
    <row r="485" spans="2:59">
      <c r="B485" s="332">
        <v>470</v>
      </c>
      <c r="C485" s="350">
        <v>6896458.2348158993</v>
      </c>
      <c r="D485" s="350">
        <v>6871605.5941837709</v>
      </c>
      <c r="E485" s="350">
        <v>6844728.6817785418</v>
      </c>
      <c r="F485" s="350">
        <v>6812484.0719216578</v>
      </c>
      <c r="G485" s="350">
        <v>6771909.8535702908</v>
      </c>
      <c r="H485" s="348">
        <v>34197186.436270162</v>
      </c>
      <c r="I485" s="369"/>
      <c r="J485" s="350">
        <v>23682472.485794358</v>
      </c>
      <c r="K485" s="350">
        <v>23191814.027233645</v>
      </c>
      <c r="L485" s="350">
        <v>22686835.29773742</v>
      </c>
      <c r="M485" s="350">
        <v>22131944.852293715</v>
      </c>
      <c r="N485" s="350">
        <v>21497244.488434304</v>
      </c>
      <c r="O485" s="348">
        <v>113190311.15149343</v>
      </c>
      <c r="P485" s="369"/>
      <c r="Q485" s="350">
        <f t="shared" si="213"/>
        <v>16786014.250978459</v>
      </c>
      <c r="R485" s="350">
        <f t="shared" si="214"/>
        <v>16320208.433049874</v>
      </c>
      <c r="S485" s="350">
        <f t="shared" si="215"/>
        <v>15842106.615958877</v>
      </c>
      <c r="T485" s="350">
        <f t="shared" si="216"/>
        <v>15319460.780372057</v>
      </c>
      <c r="U485" s="350">
        <f t="shared" si="217"/>
        <v>14725334.634864014</v>
      </c>
      <c r="V485" s="350">
        <f t="shared" si="218"/>
        <v>78993124.715223268</v>
      </c>
      <c r="W485" s="365"/>
      <c r="X485" s="377">
        <f t="shared" si="196"/>
        <v>0</v>
      </c>
      <c r="Y485" s="377">
        <f t="shared" si="197"/>
        <v>0</v>
      </c>
      <c r="Z485" s="377">
        <f t="shared" si="198"/>
        <v>0</v>
      </c>
      <c r="AA485" s="377">
        <f t="shared" si="199"/>
        <v>0</v>
      </c>
      <c r="AB485" s="377">
        <f t="shared" si="200"/>
        <v>0</v>
      </c>
      <c r="AC485" s="377">
        <f t="shared" si="201"/>
        <v>0</v>
      </c>
      <c r="AD485" s="376"/>
      <c r="AE485" s="332">
        <v>470</v>
      </c>
      <c r="AF485" s="350">
        <v>406405.19331926521</v>
      </c>
      <c r="AG485" s="350">
        <v>404940.63834384235</v>
      </c>
      <c r="AH485" s="350">
        <v>403356.79393995262</v>
      </c>
      <c r="AI485" s="350">
        <v>401456.63353062328</v>
      </c>
      <c r="AJ485" s="350">
        <v>399065.61302539933</v>
      </c>
      <c r="AK485" s="348">
        <v>2015224.8721590829</v>
      </c>
      <c r="AL485" s="369"/>
      <c r="AM485" s="350">
        <v>15201921.754616432</v>
      </c>
      <c r="AN485" s="350">
        <v>15073500.274154803</v>
      </c>
      <c r="AO485" s="350">
        <v>14932077.469402265</v>
      </c>
      <c r="AP485" s="350">
        <v>14748782.546454217</v>
      </c>
      <c r="AQ485" s="350">
        <v>14498899.066615846</v>
      </c>
      <c r="AR485" s="348">
        <v>74455181.111243576</v>
      </c>
      <c r="AS485" s="369"/>
      <c r="AT485" s="350">
        <f t="shared" si="219"/>
        <v>14795516.561297167</v>
      </c>
      <c r="AU485" s="350">
        <f t="shared" si="202"/>
        <v>14668559.63581096</v>
      </c>
      <c r="AV485" s="350">
        <f t="shared" si="203"/>
        <v>14528720.675462313</v>
      </c>
      <c r="AW485" s="350">
        <f t="shared" si="204"/>
        <v>14347325.912923593</v>
      </c>
      <c r="AX485" s="350">
        <f t="shared" si="205"/>
        <v>14099833.453590447</v>
      </c>
      <c r="AY485" s="350">
        <f t="shared" si="206"/>
        <v>72439956.239084497</v>
      </c>
      <c r="AZ485" s="365"/>
      <c r="BA485" s="377">
        <f t="shared" si="207"/>
        <v>0</v>
      </c>
      <c r="BB485" s="377">
        <f t="shared" si="208"/>
        <v>0</v>
      </c>
      <c r="BC485" s="377">
        <f t="shared" si="209"/>
        <v>0</v>
      </c>
      <c r="BD485" s="377">
        <f t="shared" si="210"/>
        <v>0</v>
      </c>
      <c r="BE485" s="377">
        <f t="shared" si="211"/>
        <v>0</v>
      </c>
      <c r="BF485" s="377">
        <f t="shared" si="212"/>
        <v>0</v>
      </c>
      <c r="BG485" s="328"/>
    </row>
    <row r="486" spans="2:59">
      <c r="B486" s="332">
        <v>471</v>
      </c>
      <c r="C486" s="350">
        <v>4831488.8494126555</v>
      </c>
      <c r="D486" s="350">
        <v>4814077.7012545448</v>
      </c>
      <c r="E486" s="350">
        <v>4795248.3981295079</v>
      </c>
      <c r="F486" s="350">
        <v>4772658.6183218509</v>
      </c>
      <c r="G486" s="350">
        <v>4744233.319876831</v>
      </c>
      <c r="H486" s="348">
        <v>23957706.88699539</v>
      </c>
      <c r="I486" s="369"/>
      <c r="J486" s="350">
        <v>14586770.098004933</v>
      </c>
      <c r="K486" s="350">
        <v>14257474.649509531</v>
      </c>
      <c r="L486" s="350">
        <v>13919911.951310024</v>
      </c>
      <c r="M486" s="350">
        <v>13553034.834949819</v>
      </c>
      <c r="N486" s="350">
        <v>13139230.205019481</v>
      </c>
      <c r="O486" s="348">
        <v>69456421.73879379</v>
      </c>
      <c r="P486" s="369"/>
      <c r="Q486" s="350">
        <f t="shared" si="213"/>
        <v>9755281.248592278</v>
      </c>
      <c r="R486" s="350">
        <f t="shared" si="214"/>
        <v>9443396.9482549857</v>
      </c>
      <c r="S486" s="350">
        <f t="shared" si="215"/>
        <v>9124663.5531805158</v>
      </c>
      <c r="T486" s="350">
        <f t="shared" si="216"/>
        <v>8780376.2166279685</v>
      </c>
      <c r="U486" s="350">
        <f t="shared" si="217"/>
        <v>8394996.8851426505</v>
      </c>
      <c r="V486" s="350">
        <f t="shared" si="218"/>
        <v>45498714.8517984</v>
      </c>
      <c r="W486" s="365"/>
      <c r="X486" s="377">
        <f t="shared" si="196"/>
        <v>0</v>
      </c>
      <c r="Y486" s="377">
        <f t="shared" si="197"/>
        <v>0</v>
      </c>
      <c r="Z486" s="377">
        <f t="shared" si="198"/>
        <v>0</v>
      </c>
      <c r="AA486" s="377">
        <f t="shared" si="199"/>
        <v>0</v>
      </c>
      <c r="AB486" s="377">
        <f t="shared" si="200"/>
        <v>0</v>
      </c>
      <c r="AC486" s="377">
        <f t="shared" si="201"/>
        <v>0</v>
      </c>
      <c r="AD486" s="376"/>
      <c r="AE486" s="332">
        <v>471</v>
      </c>
      <c r="AF486" s="350">
        <v>474949.40777120041</v>
      </c>
      <c r="AG486" s="350">
        <v>473237.84126156929</v>
      </c>
      <c r="AH486" s="350">
        <v>471386.86599354859</v>
      </c>
      <c r="AI486" s="350">
        <v>469166.22492912115</v>
      </c>
      <c r="AJ486" s="350">
        <v>466371.93540823716</v>
      </c>
      <c r="AK486" s="348">
        <v>2355112.2753636762</v>
      </c>
      <c r="AL486" s="369"/>
      <c r="AM486" s="350">
        <v>16920718.840824503</v>
      </c>
      <c r="AN486" s="350">
        <v>16776729.165815525</v>
      </c>
      <c r="AO486" s="350">
        <v>16618289.584906679</v>
      </c>
      <c r="AP486" s="350">
        <v>16413298.899510164</v>
      </c>
      <c r="AQ486" s="350">
        <v>16134277.167246344</v>
      </c>
      <c r="AR486" s="348">
        <v>82863313.658303216</v>
      </c>
      <c r="AS486" s="369"/>
      <c r="AT486" s="350">
        <f t="shared" si="219"/>
        <v>16445769.433053304</v>
      </c>
      <c r="AU486" s="350">
        <f t="shared" si="202"/>
        <v>16303491.324553955</v>
      </c>
      <c r="AV486" s="350">
        <f t="shared" si="203"/>
        <v>16146902.71891313</v>
      </c>
      <c r="AW486" s="350">
        <f t="shared" si="204"/>
        <v>15944132.674581043</v>
      </c>
      <c r="AX486" s="350">
        <f t="shared" si="205"/>
        <v>15667905.231838107</v>
      </c>
      <c r="AY486" s="350">
        <f t="shared" si="206"/>
        <v>80508201.382939547</v>
      </c>
      <c r="AZ486" s="365"/>
      <c r="BA486" s="377">
        <f t="shared" si="207"/>
        <v>0</v>
      </c>
      <c r="BB486" s="377">
        <f t="shared" si="208"/>
        <v>0</v>
      </c>
      <c r="BC486" s="377">
        <f t="shared" si="209"/>
        <v>0</v>
      </c>
      <c r="BD486" s="377">
        <f t="shared" si="210"/>
        <v>0</v>
      </c>
      <c r="BE486" s="377">
        <f t="shared" si="211"/>
        <v>0</v>
      </c>
      <c r="BF486" s="377">
        <f t="shared" si="212"/>
        <v>0</v>
      </c>
      <c r="BG486" s="328"/>
    </row>
    <row r="487" spans="2:59">
      <c r="B487" s="332">
        <v>472</v>
      </c>
      <c r="C487" s="350">
        <v>6528597.9885679111</v>
      </c>
      <c r="D487" s="350">
        <v>6505070.999189157</v>
      </c>
      <c r="E487" s="350">
        <v>6479627.7136223931</v>
      </c>
      <c r="F487" s="350">
        <v>6449103.046048671</v>
      </c>
      <c r="G487" s="350">
        <v>6410693.0751190754</v>
      </c>
      <c r="H487" s="348">
        <v>32373092.822547209</v>
      </c>
      <c r="I487" s="369"/>
      <c r="J487" s="350">
        <v>21802656.956100546</v>
      </c>
      <c r="K487" s="350">
        <v>21342614.372407958</v>
      </c>
      <c r="L487" s="350">
        <v>20869558.310942851</v>
      </c>
      <c r="M487" s="350">
        <v>20350991.473830529</v>
      </c>
      <c r="N487" s="350">
        <v>19759635.577957898</v>
      </c>
      <c r="O487" s="348">
        <v>104125456.69123977</v>
      </c>
      <c r="P487" s="369"/>
      <c r="Q487" s="350">
        <f t="shared" si="213"/>
        <v>15274058.967532635</v>
      </c>
      <c r="R487" s="350">
        <f t="shared" si="214"/>
        <v>14837543.373218801</v>
      </c>
      <c r="S487" s="350">
        <f t="shared" si="215"/>
        <v>14389930.597320458</v>
      </c>
      <c r="T487" s="350">
        <f t="shared" si="216"/>
        <v>13901888.427781858</v>
      </c>
      <c r="U487" s="350">
        <f t="shared" si="217"/>
        <v>13348942.502838824</v>
      </c>
      <c r="V487" s="350">
        <f t="shared" si="218"/>
        <v>71752363.868692562</v>
      </c>
      <c r="W487" s="365"/>
      <c r="X487" s="377">
        <f t="shared" si="196"/>
        <v>0</v>
      </c>
      <c r="Y487" s="377">
        <f t="shared" si="197"/>
        <v>0</v>
      </c>
      <c r="Z487" s="377">
        <f t="shared" si="198"/>
        <v>0</v>
      </c>
      <c r="AA487" s="377">
        <f t="shared" si="199"/>
        <v>0</v>
      </c>
      <c r="AB487" s="377">
        <f t="shared" si="200"/>
        <v>0</v>
      </c>
      <c r="AC487" s="377">
        <f t="shared" si="201"/>
        <v>0</v>
      </c>
      <c r="AD487" s="376"/>
      <c r="AE487" s="332">
        <v>472</v>
      </c>
      <c r="AF487" s="350">
        <v>434676.97351441911</v>
      </c>
      <c r="AG487" s="350">
        <v>433110.536040865</v>
      </c>
      <c r="AH487" s="350">
        <v>431416.51071019052</v>
      </c>
      <c r="AI487" s="350">
        <v>429384.16469321831</v>
      </c>
      <c r="AJ487" s="350">
        <v>426826.81165268971</v>
      </c>
      <c r="AK487" s="348">
        <v>2155414.9966113828</v>
      </c>
      <c r="AL487" s="369"/>
      <c r="AM487" s="350">
        <v>12438753.014876638</v>
      </c>
      <c r="AN487" s="350">
        <v>12328934.989383807</v>
      </c>
      <c r="AO487" s="350">
        <v>12208575.588641662</v>
      </c>
      <c r="AP487" s="350">
        <v>12054204.755509121</v>
      </c>
      <c r="AQ487" s="350">
        <v>11845738.975669574</v>
      </c>
      <c r="AR487" s="348">
        <v>60876207.32408081</v>
      </c>
      <c r="AS487" s="369"/>
      <c r="AT487" s="350">
        <f t="shared" si="219"/>
        <v>12004076.041362219</v>
      </c>
      <c r="AU487" s="350">
        <f t="shared" si="202"/>
        <v>11895824.453342943</v>
      </c>
      <c r="AV487" s="350">
        <f t="shared" si="203"/>
        <v>11777159.077931471</v>
      </c>
      <c r="AW487" s="350">
        <f t="shared" si="204"/>
        <v>11624820.590815904</v>
      </c>
      <c r="AX487" s="350">
        <f t="shared" si="205"/>
        <v>11418912.164016884</v>
      </c>
      <c r="AY487" s="350">
        <f t="shared" si="206"/>
        <v>58720792.327469423</v>
      </c>
      <c r="AZ487" s="365"/>
      <c r="BA487" s="377">
        <f t="shared" si="207"/>
        <v>0</v>
      </c>
      <c r="BB487" s="377">
        <f t="shared" si="208"/>
        <v>0</v>
      </c>
      <c r="BC487" s="377">
        <f t="shared" si="209"/>
        <v>0</v>
      </c>
      <c r="BD487" s="377">
        <f t="shared" si="210"/>
        <v>0</v>
      </c>
      <c r="BE487" s="377">
        <f t="shared" si="211"/>
        <v>0</v>
      </c>
      <c r="BF487" s="377">
        <f t="shared" si="212"/>
        <v>0</v>
      </c>
      <c r="BG487" s="328"/>
    </row>
    <row r="488" spans="2:59">
      <c r="B488" s="332">
        <v>473</v>
      </c>
      <c r="C488" s="350">
        <v>6186494.2013018746</v>
      </c>
      <c r="D488" s="350">
        <v>6164200.0450955005</v>
      </c>
      <c r="E488" s="350">
        <v>6140090.0081631467</v>
      </c>
      <c r="F488" s="350">
        <v>6111164.8577292915</v>
      </c>
      <c r="G488" s="350">
        <v>6074767.6001796275</v>
      </c>
      <c r="H488" s="348">
        <v>30676716.712469444</v>
      </c>
      <c r="I488" s="369"/>
      <c r="J488" s="350">
        <v>18757625.791985266</v>
      </c>
      <c r="K488" s="350">
        <v>18335402.210909538</v>
      </c>
      <c r="L488" s="350">
        <v>17902522.401394099</v>
      </c>
      <c r="M488" s="350">
        <v>17431881.408686027</v>
      </c>
      <c r="N488" s="350">
        <v>16900793.562135313</v>
      </c>
      <c r="O488" s="348">
        <v>89328225.375110239</v>
      </c>
      <c r="P488" s="369"/>
      <c r="Q488" s="350">
        <f t="shared" si="213"/>
        <v>12571131.590683391</v>
      </c>
      <c r="R488" s="350">
        <f t="shared" si="214"/>
        <v>12171202.165814038</v>
      </c>
      <c r="S488" s="350">
        <f t="shared" si="215"/>
        <v>11762432.393230952</v>
      </c>
      <c r="T488" s="350">
        <f t="shared" si="216"/>
        <v>11320716.550956735</v>
      </c>
      <c r="U488" s="350">
        <f t="shared" si="217"/>
        <v>10826025.961955685</v>
      </c>
      <c r="V488" s="350">
        <f t="shared" si="218"/>
        <v>58651508.662640795</v>
      </c>
      <c r="W488" s="365"/>
      <c r="X488" s="377">
        <f t="shared" si="196"/>
        <v>0</v>
      </c>
      <c r="Y488" s="377">
        <f t="shared" si="197"/>
        <v>0</v>
      </c>
      <c r="Z488" s="377">
        <f t="shared" si="198"/>
        <v>0</v>
      </c>
      <c r="AA488" s="377">
        <f t="shared" si="199"/>
        <v>0</v>
      </c>
      <c r="AB488" s="377">
        <f t="shared" si="200"/>
        <v>0</v>
      </c>
      <c r="AC488" s="377">
        <f t="shared" si="201"/>
        <v>0</v>
      </c>
      <c r="AD488" s="376"/>
      <c r="AE488" s="332">
        <v>473</v>
      </c>
      <c r="AF488" s="350">
        <v>370107.84954990842</v>
      </c>
      <c r="AG488" s="350">
        <v>368774.09864954639</v>
      </c>
      <c r="AH488" s="350">
        <v>367331.7124399668</v>
      </c>
      <c r="AI488" s="350">
        <v>365601.26141606871</v>
      </c>
      <c r="AJ488" s="350">
        <v>363423.79057670629</v>
      </c>
      <c r="AK488" s="348">
        <v>1835238.7126321965</v>
      </c>
      <c r="AL488" s="369"/>
      <c r="AM488" s="350">
        <v>13739109.797646867</v>
      </c>
      <c r="AN488" s="350">
        <v>13622915.397784177</v>
      </c>
      <c r="AO488" s="350">
        <v>13494973.393541034</v>
      </c>
      <c r="AP488" s="350">
        <v>13329195.305908233</v>
      </c>
      <c r="AQ488" s="350">
        <v>13103246.907093482</v>
      </c>
      <c r="AR488" s="348">
        <v>67289440.80197379</v>
      </c>
      <c r="AS488" s="369"/>
      <c r="AT488" s="350">
        <f t="shared" si="219"/>
        <v>13369001.948096959</v>
      </c>
      <c r="AU488" s="350">
        <f t="shared" si="202"/>
        <v>13254141.299134631</v>
      </c>
      <c r="AV488" s="350">
        <f t="shared" si="203"/>
        <v>13127641.681101067</v>
      </c>
      <c r="AW488" s="350">
        <f t="shared" si="204"/>
        <v>12963594.044492165</v>
      </c>
      <c r="AX488" s="350">
        <f t="shared" si="205"/>
        <v>12739823.116516776</v>
      </c>
      <c r="AY488" s="350">
        <f t="shared" si="206"/>
        <v>65454202.089341596</v>
      </c>
      <c r="AZ488" s="365"/>
      <c r="BA488" s="377">
        <f t="shared" si="207"/>
        <v>0</v>
      </c>
      <c r="BB488" s="377">
        <f t="shared" si="208"/>
        <v>0</v>
      </c>
      <c r="BC488" s="377">
        <f t="shared" si="209"/>
        <v>0</v>
      </c>
      <c r="BD488" s="377">
        <f t="shared" si="210"/>
        <v>0</v>
      </c>
      <c r="BE488" s="377">
        <f t="shared" si="211"/>
        <v>0</v>
      </c>
      <c r="BF488" s="377">
        <f t="shared" si="212"/>
        <v>0</v>
      </c>
      <c r="BG488" s="328"/>
    </row>
    <row r="489" spans="2:59">
      <c r="B489" s="332">
        <v>474</v>
      </c>
      <c r="C489" s="350">
        <v>4796694.5498954523</v>
      </c>
      <c r="D489" s="350">
        <v>4779408.7893192712</v>
      </c>
      <c r="E489" s="350">
        <v>4760715.0867167758</v>
      </c>
      <c r="F489" s="350">
        <v>4738287.988763337</v>
      </c>
      <c r="G489" s="350">
        <v>4710067.3970616804</v>
      </c>
      <c r="H489" s="348">
        <v>23785173.811756514</v>
      </c>
      <c r="I489" s="369"/>
      <c r="J489" s="350">
        <v>16310133.709470864</v>
      </c>
      <c r="K489" s="350">
        <v>15970031.680403028</v>
      </c>
      <c r="L489" s="350">
        <v>15620111.894423576</v>
      </c>
      <c r="M489" s="350">
        <v>15235933.076529862</v>
      </c>
      <c r="N489" s="350">
        <v>14796969.036003793</v>
      </c>
      <c r="O489" s="348">
        <v>77933179.396831125</v>
      </c>
      <c r="P489" s="369"/>
      <c r="Q489" s="350">
        <f t="shared" si="213"/>
        <v>11513439.159575412</v>
      </c>
      <c r="R489" s="350">
        <f t="shared" si="214"/>
        <v>11190622.891083756</v>
      </c>
      <c r="S489" s="350">
        <f t="shared" si="215"/>
        <v>10859396.807706799</v>
      </c>
      <c r="T489" s="350">
        <f t="shared" si="216"/>
        <v>10497645.087766524</v>
      </c>
      <c r="U489" s="350">
        <f t="shared" si="217"/>
        <v>10086901.638942111</v>
      </c>
      <c r="V489" s="350">
        <f t="shared" si="218"/>
        <v>54148005.585074611</v>
      </c>
      <c r="W489" s="365"/>
      <c r="X489" s="377">
        <f t="shared" si="196"/>
        <v>0</v>
      </c>
      <c r="Y489" s="377">
        <f t="shared" si="197"/>
        <v>0</v>
      </c>
      <c r="Z489" s="377">
        <f t="shared" si="198"/>
        <v>0</v>
      </c>
      <c r="AA489" s="377">
        <f t="shared" si="199"/>
        <v>0</v>
      </c>
      <c r="AB489" s="377">
        <f t="shared" si="200"/>
        <v>0</v>
      </c>
      <c r="AC489" s="377">
        <f t="shared" si="201"/>
        <v>0</v>
      </c>
      <c r="AD489" s="376"/>
      <c r="AE489" s="332">
        <v>474</v>
      </c>
      <c r="AF489" s="350">
        <v>413054.4345787412</v>
      </c>
      <c r="AG489" s="350">
        <v>411565.9178539869</v>
      </c>
      <c r="AH489" s="350">
        <v>409956.15999295621</v>
      </c>
      <c r="AI489" s="350">
        <v>408024.91084460227</v>
      </c>
      <c r="AJ489" s="350">
        <v>405594.77058289648</v>
      </c>
      <c r="AK489" s="348">
        <v>2048196.193853183</v>
      </c>
      <c r="AL489" s="369"/>
      <c r="AM489" s="350">
        <v>13030745.75267026</v>
      </c>
      <c r="AN489" s="350">
        <v>12917664.226533076</v>
      </c>
      <c r="AO489" s="350">
        <v>12793499.548491174</v>
      </c>
      <c r="AP489" s="350">
        <v>12633601.261240574</v>
      </c>
      <c r="AQ489" s="350">
        <v>12416871.884726264</v>
      </c>
      <c r="AR489" s="348">
        <v>63792382.673661344</v>
      </c>
      <c r="AS489" s="369"/>
      <c r="AT489" s="350">
        <f t="shared" si="219"/>
        <v>12617691.318091519</v>
      </c>
      <c r="AU489" s="350">
        <f t="shared" si="202"/>
        <v>12506098.308679089</v>
      </c>
      <c r="AV489" s="350">
        <f t="shared" si="203"/>
        <v>12383543.388498219</v>
      </c>
      <c r="AW489" s="350">
        <f t="shared" si="204"/>
        <v>12225576.350395972</v>
      </c>
      <c r="AX489" s="350">
        <f t="shared" si="205"/>
        <v>12011277.114143368</v>
      </c>
      <c r="AY489" s="350">
        <f t="shared" si="206"/>
        <v>61744186.479808159</v>
      </c>
      <c r="AZ489" s="365"/>
      <c r="BA489" s="377">
        <f t="shared" si="207"/>
        <v>0</v>
      </c>
      <c r="BB489" s="377">
        <f t="shared" si="208"/>
        <v>0</v>
      </c>
      <c r="BC489" s="377">
        <f t="shared" si="209"/>
        <v>0</v>
      </c>
      <c r="BD489" s="377">
        <f t="shared" si="210"/>
        <v>0</v>
      </c>
      <c r="BE489" s="377">
        <f t="shared" si="211"/>
        <v>0</v>
      </c>
      <c r="BF489" s="377">
        <f t="shared" si="212"/>
        <v>0</v>
      </c>
      <c r="BG489" s="328"/>
    </row>
    <row r="490" spans="2:59">
      <c r="B490" s="332">
        <v>475</v>
      </c>
      <c r="C490" s="350">
        <v>7100664.3298603501</v>
      </c>
      <c r="D490" s="350">
        <v>7075075.7954516988</v>
      </c>
      <c r="E490" s="350">
        <v>7047403.0500054732</v>
      </c>
      <c r="F490" s="350">
        <v>7014203.6680553053</v>
      </c>
      <c r="G490" s="350">
        <v>6972428.0355277201</v>
      </c>
      <c r="H490" s="348">
        <v>35209774.87890055</v>
      </c>
      <c r="I490" s="369"/>
      <c r="J490" s="350">
        <v>21769471.883050181</v>
      </c>
      <c r="K490" s="350">
        <v>21283126.704206649</v>
      </c>
      <c r="L490" s="350">
        <v>20784339.253577754</v>
      </c>
      <c r="M490" s="350">
        <v>20241533.792389557</v>
      </c>
      <c r="N490" s="350">
        <v>19628273.297814898</v>
      </c>
      <c r="O490" s="348">
        <v>103706744.93103904</v>
      </c>
      <c r="P490" s="369"/>
      <c r="Q490" s="350">
        <f t="shared" si="213"/>
        <v>14668807.553189831</v>
      </c>
      <c r="R490" s="350">
        <f t="shared" si="214"/>
        <v>14208050.90875495</v>
      </c>
      <c r="S490" s="350">
        <f t="shared" si="215"/>
        <v>13736936.203572281</v>
      </c>
      <c r="T490" s="350">
        <f t="shared" si="216"/>
        <v>13227330.124334252</v>
      </c>
      <c r="U490" s="350">
        <f t="shared" si="217"/>
        <v>12655845.262287177</v>
      </c>
      <c r="V490" s="350">
        <f t="shared" si="218"/>
        <v>68496970.052138478</v>
      </c>
      <c r="W490" s="365"/>
      <c r="X490" s="377">
        <f t="shared" si="196"/>
        <v>0</v>
      </c>
      <c r="Y490" s="377">
        <f t="shared" si="197"/>
        <v>0</v>
      </c>
      <c r="Z490" s="377">
        <f t="shared" si="198"/>
        <v>0</v>
      </c>
      <c r="AA490" s="377">
        <f t="shared" si="199"/>
        <v>0</v>
      </c>
      <c r="AB490" s="377">
        <f t="shared" si="200"/>
        <v>0</v>
      </c>
      <c r="AC490" s="377">
        <f t="shared" si="201"/>
        <v>0</v>
      </c>
      <c r="AD490" s="376"/>
      <c r="AE490" s="332">
        <v>475</v>
      </c>
      <c r="AF490" s="350">
        <v>579324.45077557163</v>
      </c>
      <c r="AG490" s="350">
        <v>577236.74982904131</v>
      </c>
      <c r="AH490" s="350">
        <v>574979.00360807567</v>
      </c>
      <c r="AI490" s="350">
        <v>572270.35370985582</v>
      </c>
      <c r="AJ490" s="350">
        <v>568861.99017574661</v>
      </c>
      <c r="AK490" s="348">
        <v>2872672.5480982913</v>
      </c>
      <c r="AL490" s="369"/>
      <c r="AM490" s="350">
        <v>18996374.879823454</v>
      </c>
      <c r="AN490" s="350">
        <v>18832582.579556201</v>
      </c>
      <c r="AO490" s="350">
        <v>18652611.499098089</v>
      </c>
      <c r="AP490" s="350">
        <v>18420491.699882198</v>
      </c>
      <c r="AQ490" s="350">
        <v>18105435.653879922</v>
      </c>
      <c r="AR490" s="348">
        <v>93007496.31223987</v>
      </c>
      <c r="AS490" s="369"/>
      <c r="AT490" s="350">
        <f t="shared" si="219"/>
        <v>18417050.429047883</v>
      </c>
      <c r="AU490" s="350">
        <f t="shared" si="202"/>
        <v>18255345.829727158</v>
      </c>
      <c r="AV490" s="350">
        <f t="shared" si="203"/>
        <v>18077632.495490015</v>
      </c>
      <c r="AW490" s="350">
        <f t="shared" si="204"/>
        <v>17848221.346172344</v>
      </c>
      <c r="AX490" s="350">
        <f t="shared" si="205"/>
        <v>17536573.663704176</v>
      </c>
      <c r="AY490" s="350">
        <f t="shared" si="206"/>
        <v>90134823.764141575</v>
      </c>
      <c r="AZ490" s="365"/>
      <c r="BA490" s="377">
        <f t="shared" si="207"/>
        <v>0</v>
      </c>
      <c r="BB490" s="377">
        <f t="shared" si="208"/>
        <v>0</v>
      </c>
      <c r="BC490" s="377">
        <f t="shared" si="209"/>
        <v>0</v>
      </c>
      <c r="BD490" s="377">
        <f t="shared" si="210"/>
        <v>0</v>
      </c>
      <c r="BE490" s="377">
        <f t="shared" si="211"/>
        <v>0</v>
      </c>
      <c r="BF490" s="377">
        <f t="shared" si="212"/>
        <v>0</v>
      </c>
      <c r="BG490" s="328"/>
    </row>
    <row r="491" spans="2:59">
      <c r="B491" s="332">
        <v>476</v>
      </c>
      <c r="C491" s="350">
        <v>3614139.2459526616</v>
      </c>
      <c r="D491" s="350">
        <v>3601115.0383353811</v>
      </c>
      <c r="E491" s="350">
        <v>3587029.9963288354</v>
      </c>
      <c r="F491" s="350">
        <v>3570131.9733166937</v>
      </c>
      <c r="G491" s="350">
        <v>3548868.7582105352</v>
      </c>
      <c r="H491" s="348">
        <v>17921285.012144107</v>
      </c>
      <c r="I491" s="369"/>
      <c r="J491" s="350">
        <v>12930891.881462788</v>
      </c>
      <c r="K491" s="350">
        <v>12670011.488794703</v>
      </c>
      <c r="L491" s="350">
        <v>12401168.628156321</v>
      </c>
      <c r="M491" s="350">
        <v>12104703.108570684</v>
      </c>
      <c r="N491" s="350">
        <v>11764082.13502482</v>
      </c>
      <c r="O491" s="348">
        <v>61870857.242009312</v>
      </c>
      <c r="P491" s="369"/>
      <c r="Q491" s="350">
        <f t="shared" si="213"/>
        <v>9316752.6355101261</v>
      </c>
      <c r="R491" s="350">
        <f t="shared" si="214"/>
        <v>9068896.450459322</v>
      </c>
      <c r="S491" s="350">
        <f t="shared" si="215"/>
        <v>8814138.6318274848</v>
      </c>
      <c r="T491" s="350">
        <f t="shared" si="216"/>
        <v>8534571.1352539901</v>
      </c>
      <c r="U491" s="350">
        <f t="shared" si="217"/>
        <v>8215213.3768142844</v>
      </c>
      <c r="V491" s="350">
        <f t="shared" si="218"/>
        <v>43949572.229865208</v>
      </c>
      <c r="W491" s="365"/>
      <c r="X491" s="377">
        <f t="shared" si="196"/>
        <v>0</v>
      </c>
      <c r="Y491" s="377">
        <f t="shared" si="197"/>
        <v>0</v>
      </c>
      <c r="Z491" s="377">
        <f t="shared" si="198"/>
        <v>0</v>
      </c>
      <c r="AA491" s="377">
        <f t="shared" si="199"/>
        <v>0</v>
      </c>
      <c r="AB491" s="377">
        <f t="shared" si="200"/>
        <v>0</v>
      </c>
      <c r="AC491" s="377">
        <f t="shared" si="201"/>
        <v>0</v>
      </c>
      <c r="AD491" s="376"/>
      <c r="AE491" s="332">
        <v>476</v>
      </c>
      <c r="AF491" s="350">
        <v>638383.9618104907</v>
      </c>
      <c r="AG491" s="350">
        <v>636083.42918229371</v>
      </c>
      <c r="AH491" s="350">
        <v>633595.51593200176</v>
      </c>
      <c r="AI491" s="350">
        <v>630610.73141122377</v>
      </c>
      <c r="AJ491" s="350">
        <v>626854.90060987871</v>
      </c>
      <c r="AK491" s="348">
        <v>3165528.5389458886</v>
      </c>
      <c r="AL491" s="369"/>
      <c r="AM491" s="350">
        <v>17264007.501415938</v>
      </c>
      <c r="AN491" s="350">
        <v>17109960.858666062</v>
      </c>
      <c r="AO491" s="350">
        <v>16941316.860605393</v>
      </c>
      <c r="AP491" s="350">
        <v>16725553.495361183</v>
      </c>
      <c r="AQ491" s="350">
        <v>16434844.643231601</v>
      </c>
      <c r="AR491" s="348">
        <v>84475683.359280169</v>
      </c>
      <c r="AS491" s="369"/>
      <c r="AT491" s="350">
        <f t="shared" si="219"/>
        <v>16625623.539605448</v>
      </c>
      <c r="AU491" s="350">
        <f t="shared" si="202"/>
        <v>16473877.429483769</v>
      </c>
      <c r="AV491" s="350">
        <f t="shared" si="203"/>
        <v>16307721.344673391</v>
      </c>
      <c r="AW491" s="350">
        <f t="shared" si="204"/>
        <v>16094942.763949959</v>
      </c>
      <c r="AX491" s="350">
        <f t="shared" si="205"/>
        <v>15807989.742621722</v>
      </c>
      <c r="AY491" s="350">
        <f t="shared" si="206"/>
        <v>81310154.820334285</v>
      </c>
      <c r="AZ491" s="365"/>
      <c r="BA491" s="377">
        <f t="shared" si="207"/>
        <v>0</v>
      </c>
      <c r="BB491" s="377">
        <f t="shared" si="208"/>
        <v>0</v>
      </c>
      <c r="BC491" s="377">
        <f t="shared" si="209"/>
        <v>0</v>
      </c>
      <c r="BD491" s="377">
        <f t="shared" si="210"/>
        <v>0</v>
      </c>
      <c r="BE491" s="377">
        <f t="shared" si="211"/>
        <v>0</v>
      </c>
      <c r="BF491" s="377">
        <f t="shared" si="212"/>
        <v>0</v>
      </c>
      <c r="BG491" s="328"/>
    </row>
    <row r="492" spans="2:59">
      <c r="B492" s="332">
        <v>477</v>
      </c>
      <c r="C492" s="350">
        <v>5503429.5428903643</v>
      </c>
      <c r="D492" s="350">
        <v>5483596.934322793</v>
      </c>
      <c r="E492" s="350">
        <v>5462148.940480696</v>
      </c>
      <c r="F492" s="350">
        <v>5436417.4805858927</v>
      </c>
      <c r="G492" s="350">
        <v>5404038.9256303497</v>
      </c>
      <c r="H492" s="348">
        <v>27289631.823910095</v>
      </c>
      <c r="I492" s="369"/>
      <c r="J492" s="350">
        <v>16862999.885158837</v>
      </c>
      <c r="K492" s="350">
        <v>16486123.246945348</v>
      </c>
      <c r="L492" s="350">
        <v>16099611.585660005</v>
      </c>
      <c r="M492" s="350">
        <v>15679010.499772511</v>
      </c>
      <c r="N492" s="350">
        <v>15203845.733969616</v>
      </c>
      <c r="O492" s="348">
        <v>80331590.951506317</v>
      </c>
      <c r="P492" s="369"/>
      <c r="Q492" s="350">
        <f t="shared" si="213"/>
        <v>11359570.342268473</v>
      </c>
      <c r="R492" s="350">
        <f t="shared" si="214"/>
        <v>11002526.312622555</v>
      </c>
      <c r="S492" s="350">
        <f t="shared" si="215"/>
        <v>10637462.645179309</v>
      </c>
      <c r="T492" s="350">
        <f t="shared" si="216"/>
        <v>10242593.01918662</v>
      </c>
      <c r="U492" s="350">
        <f t="shared" si="217"/>
        <v>9799806.8083392661</v>
      </c>
      <c r="V492" s="350">
        <f t="shared" si="218"/>
        <v>53041959.127596222</v>
      </c>
      <c r="W492" s="365"/>
      <c r="X492" s="377">
        <f t="shared" si="196"/>
        <v>0</v>
      </c>
      <c r="Y492" s="377">
        <f t="shared" si="197"/>
        <v>0</v>
      </c>
      <c r="Z492" s="377">
        <f t="shared" si="198"/>
        <v>0</v>
      </c>
      <c r="AA492" s="377">
        <f t="shared" si="199"/>
        <v>0</v>
      </c>
      <c r="AB492" s="377">
        <f t="shared" si="200"/>
        <v>0</v>
      </c>
      <c r="AC492" s="377">
        <f t="shared" si="201"/>
        <v>0</v>
      </c>
      <c r="AD492" s="376"/>
      <c r="AE492" s="332">
        <v>477</v>
      </c>
      <c r="AF492" s="350">
        <v>392710.30646061711</v>
      </c>
      <c r="AG492" s="350">
        <v>391295.10349893919</v>
      </c>
      <c r="AH492" s="350">
        <v>389764.63087835727</v>
      </c>
      <c r="AI492" s="350">
        <v>387928.50134817709</v>
      </c>
      <c r="AJ492" s="350">
        <v>385618.05253798567</v>
      </c>
      <c r="AK492" s="348">
        <v>1947316.5947240763</v>
      </c>
      <c r="AL492" s="369"/>
      <c r="AM492" s="350">
        <v>14338338.706254352</v>
      </c>
      <c r="AN492" s="350">
        <v>14216776.775051801</v>
      </c>
      <c r="AO492" s="350">
        <v>14082960.990279412</v>
      </c>
      <c r="AP492" s="350">
        <v>13909674.708718942</v>
      </c>
      <c r="AQ492" s="350">
        <v>13673618.476243839</v>
      </c>
      <c r="AR492" s="348">
        <v>70221369.656548351</v>
      </c>
      <c r="AS492" s="369"/>
      <c r="AT492" s="350">
        <f t="shared" si="219"/>
        <v>13945628.399793735</v>
      </c>
      <c r="AU492" s="350">
        <f t="shared" si="202"/>
        <v>13825481.671552861</v>
      </c>
      <c r="AV492" s="350">
        <f t="shared" si="203"/>
        <v>13693196.359401055</v>
      </c>
      <c r="AW492" s="350">
        <f t="shared" si="204"/>
        <v>13521746.207370766</v>
      </c>
      <c r="AX492" s="350">
        <f t="shared" si="205"/>
        <v>13288000.423705854</v>
      </c>
      <c r="AY492" s="350">
        <f t="shared" si="206"/>
        <v>68274053.061824277</v>
      </c>
      <c r="AZ492" s="365"/>
      <c r="BA492" s="377">
        <f t="shared" si="207"/>
        <v>0</v>
      </c>
      <c r="BB492" s="377">
        <f t="shared" si="208"/>
        <v>0</v>
      </c>
      <c r="BC492" s="377">
        <f t="shared" si="209"/>
        <v>0</v>
      </c>
      <c r="BD492" s="377">
        <f t="shared" si="210"/>
        <v>0</v>
      </c>
      <c r="BE492" s="377">
        <f t="shared" si="211"/>
        <v>0</v>
      </c>
      <c r="BF492" s="377">
        <f t="shared" si="212"/>
        <v>0</v>
      </c>
      <c r="BG492" s="328"/>
    </row>
    <row r="493" spans="2:59">
      <c r="B493" s="332">
        <v>478</v>
      </c>
      <c r="C493" s="350">
        <v>5335942.5436316598</v>
      </c>
      <c r="D493" s="350">
        <v>5316713.5049055051</v>
      </c>
      <c r="E493" s="350">
        <v>5295918.2422559746</v>
      </c>
      <c r="F493" s="350">
        <v>5270969.8731540553</v>
      </c>
      <c r="G493" s="350">
        <v>5239576.7013977664</v>
      </c>
      <c r="H493" s="348">
        <v>26459120.86534496</v>
      </c>
      <c r="I493" s="369"/>
      <c r="J493" s="350">
        <v>17784871.318024963</v>
      </c>
      <c r="K493" s="350">
        <v>17409121.197428975</v>
      </c>
      <c r="L493" s="350">
        <v>17022765.60160115</v>
      </c>
      <c r="M493" s="350">
        <v>16599311.45482683</v>
      </c>
      <c r="N493" s="350">
        <v>16116521.641084457</v>
      </c>
      <c r="O493" s="348">
        <v>84932591.212966383</v>
      </c>
      <c r="P493" s="369"/>
      <c r="Q493" s="350">
        <f t="shared" si="213"/>
        <v>12448928.774393303</v>
      </c>
      <c r="R493" s="350">
        <f t="shared" si="214"/>
        <v>12092407.69252347</v>
      </c>
      <c r="S493" s="350">
        <f t="shared" si="215"/>
        <v>11726847.359345175</v>
      </c>
      <c r="T493" s="350">
        <f t="shared" si="216"/>
        <v>11328341.581672775</v>
      </c>
      <c r="U493" s="350">
        <f t="shared" si="217"/>
        <v>10876944.93968669</v>
      </c>
      <c r="V493" s="350">
        <f t="shared" si="218"/>
        <v>58473470.347621426</v>
      </c>
      <c r="W493" s="365"/>
      <c r="X493" s="377">
        <f t="shared" si="196"/>
        <v>0</v>
      </c>
      <c r="Y493" s="377">
        <f t="shared" si="197"/>
        <v>0</v>
      </c>
      <c r="Z493" s="377">
        <f t="shared" si="198"/>
        <v>0</v>
      </c>
      <c r="AA493" s="377">
        <f t="shared" si="199"/>
        <v>0</v>
      </c>
      <c r="AB493" s="377">
        <f t="shared" si="200"/>
        <v>0</v>
      </c>
      <c r="AC493" s="377">
        <f t="shared" si="201"/>
        <v>0</v>
      </c>
      <c r="AD493" s="376"/>
      <c r="AE493" s="332">
        <v>478</v>
      </c>
      <c r="AF493" s="350">
        <v>513251.7919808221</v>
      </c>
      <c r="AG493" s="350">
        <v>511402.19586850144</v>
      </c>
      <c r="AH493" s="350">
        <v>509401.94835228293</v>
      </c>
      <c r="AI493" s="350">
        <v>507002.22327206424</v>
      </c>
      <c r="AJ493" s="350">
        <v>503982.58774785738</v>
      </c>
      <c r="AK493" s="348">
        <v>2545040.7472215281</v>
      </c>
      <c r="AL493" s="369"/>
      <c r="AM493" s="350">
        <v>15144805.487313002</v>
      </c>
      <c r="AN493" s="350">
        <v>15011838.37575461</v>
      </c>
      <c r="AO493" s="350">
        <v>14866021.462850407</v>
      </c>
      <c r="AP493" s="350">
        <v>14678754.818359887</v>
      </c>
      <c r="AQ493" s="350">
        <v>14425563.785528904</v>
      </c>
      <c r="AR493" s="348">
        <v>74126983.929806814</v>
      </c>
      <c r="AS493" s="369"/>
      <c r="AT493" s="350">
        <f t="shared" si="219"/>
        <v>14631553.695332181</v>
      </c>
      <c r="AU493" s="350">
        <f t="shared" si="202"/>
        <v>14500436.179886108</v>
      </c>
      <c r="AV493" s="350">
        <f t="shared" si="203"/>
        <v>14356619.514498124</v>
      </c>
      <c r="AW493" s="350">
        <f t="shared" si="204"/>
        <v>14171752.595087823</v>
      </c>
      <c r="AX493" s="350">
        <f t="shared" si="205"/>
        <v>13921581.197781047</v>
      </c>
      <c r="AY493" s="350">
        <f t="shared" si="206"/>
        <v>71581943.182585284</v>
      </c>
      <c r="AZ493" s="365"/>
      <c r="BA493" s="377">
        <f t="shared" si="207"/>
        <v>0</v>
      </c>
      <c r="BB493" s="377">
        <f t="shared" si="208"/>
        <v>0</v>
      </c>
      <c r="BC493" s="377">
        <f t="shared" si="209"/>
        <v>0</v>
      </c>
      <c r="BD493" s="377">
        <f t="shared" si="210"/>
        <v>0</v>
      </c>
      <c r="BE493" s="377">
        <f t="shared" si="211"/>
        <v>0</v>
      </c>
      <c r="BF493" s="377">
        <f t="shared" si="212"/>
        <v>0</v>
      </c>
      <c r="BG493" s="328"/>
    </row>
    <row r="494" spans="2:59">
      <c r="B494" s="332">
        <v>479</v>
      </c>
      <c r="C494" s="350">
        <v>5833742.5332078775</v>
      </c>
      <c r="D494" s="350">
        <v>5812719.5817476232</v>
      </c>
      <c r="E494" s="350">
        <v>5789984.2904254589</v>
      </c>
      <c r="F494" s="350">
        <v>5762708.4416369963</v>
      </c>
      <c r="G494" s="350">
        <v>5728386.5425855247</v>
      </c>
      <c r="H494" s="348">
        <v>28927541.389603477</v>
      </c>
      <c r="I494" s="369"/>
      <c r="J494" s="350">
        <v>17917397.106849819</v>
      </c>
      <c r="K494" s="350">
        <v>17517595.737977788</v>
      </c>
      <c r="L494" s="350">
        <v>17107543.818769574</v>
      </c>
      <c r="M494" s="350">
        <v>16661237.20037083</v>
      </c>
      <c r="N494" s="350">
        <v>16156902.463592542</v>
      </c>
      <c r="O494" s="348">
        <v>85360676.327560559</v>
      </c>
      <c r="P494" s="369"/>
      <c r="Q494" s="350">
        <f t="shared" si="213"/>
        <v>12083654.573641941</v>
      </c>
      <c r="R494" s="350">
        <f t="shared" si="214"/>
        <v>11704876.156230165</v>
      </c>
      <c r="S494" s="350">
        <f t="shared" si="215"/>
        <v>11317559.528344115</v>
      </c>
      <c r="T494" s="350">
        <f t="shared" si="216"/>
        <v>10898528.758733833</v>
      </c>
      <c r="U494" s="350">
        <f t="shared" si="217"/>
        <v>10428515.921007019</v>
      </c>
      <c r="V494" s="350">
        <f t="shared" si="218"/>
        <v>56433134.937957078</v>
      </c>
      <c r="W494" s="365"/>
      <c r="X494" s="377">
        <f t="shared" si="196"/>
        <v>0</v>
      </c>
      <c r="Y494" s="377">
        <f t="shared" si="197"/>
        <v>0</v>
      </c>
      <c r="Z494" s="377">
        <f t="shared" si="198"/>
        <v>0</v>
      </c>
      <c r="AA494" s="377">
        <f t="shared" si="199"/>
        <v>0</v>
      </c>
      <c r="AB494" s="377">
        <f t="shared" si="200"/>
        <v>0</v>
      </c>
      <c r="AC494" s="377">
        <f t="shared" si="201"/>
        <v>0</v>
      </c>
      <c r="AD494" s="376"/>
      <c r="AE494" s="332">
        <v>479</v>
      </c>
      <c r="AF494" s="350">
        <v>569433.11063649994</v>
      </c>
      <c r="AG494" s="350">
        <v>567381.05493184249</v>
      </c>
      <c r="AH494" s="350">
        <v>565161.85729240056</v>
      </c>
      <c r="AI494" s="350">
        <v>562499.4546696496</v>
      </c>
      <c r="AJ494" s="350">
        <v>559149.2852666328</v>
      </c>
      <c r="AK494" s="348">
        <v>2823624.7627970255</v>
      </c>
      <c r="AL494" s="369"/>
      <c r="AM494" s="350">
        <v>18992436.70005969</v>
      </c>
      <c r="AN494" s="350">
        <v>18829131.705450546</v>
      </c>
      <c r="AO494" s="350">
        <v>18649642.027290657</v>
      </c>
      <c r="AP494" s="350">
        <v>18417990.542419303</v>
      </c>
      <c r="AQ494" s="350">
        <v>18103382.678606</v>
      </c>
      <c r="AR494" s="348">
        <v>92992583.653826192</v>
      </c>
      <c r="AS494" s="369"/>
      <c r="AT494" s="350">
        <f t="shared" si="219"/>
        <v>18423003.589423191</v>
      </c>
      <c r="AU494" s="350">
        <f t="shared" si="202"/>
        <v>18261750.650518704</v>
      </c>
      <c r="AV494" s="350">
        <f t="shared" si="203"/>
        <v>18084480.169998258</v>
      </c>
      <c r="AW494" s="350">
        <f t="shared" si="204"/>
        <v>17855491.087749653</v>
      </c>
      <c r="AX494" s="350">
        <f t="shared" si="205"/>
        <v>17544233.393339366</v>
      </c>
      <c r="AY494" s="350">
        <f t="shared" si="206"/>
        <v>90168958.891029164</v>
      </c>
      <c r="AZ494" s="365"/>
      <c r="BA494" s="377">
        <f t="shared" si="207"/>
        <v>0</v>
      </c>
      <c r="BB494" s="377">
        <f t="shared" si="208"/>
        <v>0</v>
      </c>
      <c r="BC494" s="377">
        <f t="shared" si="209"/>
        <v>0</v>
      </c>
      <c r="BD494" s="377">
        <f t="shared" si="210"/>
        <v>0</v>
      </c>
      <c r="BE494" s="377">
        <f t="shared" si="211"/>
        <v>0</v>
      </c>
      <c r="BF494" s="377">
        <f t="shared" si="212"/>
        <v>0</v>
      </c>
      <c r="BG494" s="328"/>
    </row>
    <row r="495" spans="2:59">
      <c r="B495" s="332">
        <v>480</v>
      </c>
      <c r="C495" s="350">
        <v>4587020.4116213806</v>
      </c>
      <c r="D495" s="350">
        <v>4570490.2499092789</v>
      </c>
      <c r="E495" s="350">
        <v>4552613.6904338999</v>
      </c>
      <c r="F495" s="350">
        <v>4531166.9305838067</v>
      </c>
      <c r="G495" s="350">
        <v>4504179.9234235631</v>
      </c>
      <c r="H495" s="348">
        <v>22745471.20597193</v>
      </c>
      <c r="I495" s="369"/>
      <c r="J495" s="350">
        <v>20048058.664781176</v>
      </c>
      <c r="K495" s="350">
        <v>19690744.159926713</v>
      </c>
      <c r="L495" s="350">
        <v>19320121.744578626</v>
      </c>
      <c r="M495" s="350">
        <v>18904187.32661074</v>
      </c>
      <c r="N495" s="350">
        <v>18415911.882041156</v>
      </c>
      <c r="O495" s="348">
        <v>96379023.777938411</v>
      </c>
      <c r="P495" s="369"/>
      <c r="Q495" s="350">
        <f t="shared" si="213"/>
        <v>15461038.253159795</v>
      </c>
      <c r="R495" s="350">
        <f t="shared" si="214"/>
        <v>15120253.910017435</v>
      </c>
      <c r="S495" s="350">
        <f t="shared" si="215"/>
        <v>14767508.054144725</v>
      </c>
      <c r="T495" s="350">
        <f t="shared" si="216"/>
        <v>14373020.396026934</v>
      </c>
      <c r="U495" s="350">
        <f t="shared" si="217"/>
        <v>13911731.958617594</v>
      </c>
      <c r="V495" s="350">
        <f t="shared" si="218"/>
        <v>73633552.571966484</v>
      </c>
      <c r="W495" s="365"/>
      <c r="X495" s="377">
        <f t="shared" si="196"/>
        <v>0</v>
      </c>
      <c r="Y495" s="377">
        <f t="shared" si="197"/>
        <v>0</v>
      </c>
      <c r="Z495" s="377">
        <f t="shared" si="198"/>
        <v>0</v>
      </c>
      <c r="AA495" s="377">
        <f t="shared" si="199"/>
        <v>0</v>
      </c>
      <c r="AB495" s="377">
        <f t="shared" si="200"/>
        <v>0</v>
      </c>
      <c r="AC495" s="377">
        <f t="shared" si="201"/>
        <v>0</v>
      </c>
      <c r="AD495" s="376"/>
      <c r="AE495" s="332">
        <v>480</v>
      </c>
      <c r="AF495" s="350">
        <v>489109.3186152603</v>
      </c>
      <c r="AG495" s="350">
        <v>487346.72429343802</v>
      </c>
      <c r="AH495" s="350">
        <v>485440.56494824844</v>
      </c>
      <c r="AI495" s="350">
        <v>483153.71877023549</v>
      </c>
      <c r="AJ495" s="350">
        <v>480276.12165944639</v>
      </c>
      <c r="AK495" s="348">
        <v>2425326.4482866288</v>
      </c>
      <c r="AL495" s="369"/>
      <c r="AM495" s="350">
        <v>15887090.92139332</v>
      </c>
      <c r="AN495" s="350">
        <v>15749894.010778943</v>
      </c>
      <c r="AO495" s="350">
        <v>15599170.791476458</v>
      </c>
      <c r="AP495" s="350">
        <v>15404845.707538228</v>
      </c>
      <c r="AQ495" s="350">
        <v>15141176.795447266</v>
      </c>
      <c r="AR495" s="348">
        <v>77782178.226634204</v>
      </c>
      <c r="AS495" s="369"/>
      <c r="AT495" s="350">
        <f t="shared" si="219"/>
        <v>15397981.60277806</v>
      </c>
      <c r="AU495" s="350">
        <f t="shared" si="202"/>
        <v>15262547.286485504</v>
      </c>
      <c r="AV495" s="350">
        <f t="shared" si="203"/>
        <v>15113730.226528211</v>
      </c>
      <c r="AW495" s="350">
        <f t="shared" si="204"/>
        <v>14921691.988767993</v>
      </c>
      <c r="AX495" s="350">
        <f t="shared" si="205"/>
        <v>14660900.673787819</v>
      </c>
      <c r="AY495" s="350">
        <f t="shared" si="206"/>
        <v>75356851.778347582</v>
      </c>
      <c r="AZ495" s="365"/>
      <c r="BA495" s="377">
        <f t="shared" si="207"/>
        <v>0</v>
      </c>
      <c r="BB495" s="377">
        <f t="shared" si="208"/>
        <v>0</v>
      </c>
      <c r="BC495" s="377">
        <f t="shared" si="209"/>
        <v>0</v>
      </c>
      <c r="BD495" s="377">
        <f t="shared" si="210"/>
        <v>0</v>
      </c>
      <c r="BE495" s="377">
        <f t="shared" si="211"/>
        <v>0</v>
      </c>
      <c r="BF495" s="377">
        <f t="shared" si="212"/>
        <v>0</v>
      </c>
      <c r="BG495" s="328"/>
    </row>
    <row r="496" spans="2:59">
      <c r="B496" s="332">
        <v>481</v>
      </c>
      <c r="C496" s="350">
        <v>5326920.1219043182</v>
      </c>
      <c r="D496" s="350">
        <v>5307723.5971146198</v>
      </c>
      <c r="E496" s="350">
        <v>5286963.4966933224</v>
      </c>
      <c r="F496" s="350">
        <v>5262057.3122111969</v>
      </c>
      <c r="G496" s="350">
        <v>5230717.2224423215</v>
      </c>
      <c r="H496" s="348">
        <v>26414381.750365779</v>
      </c>
      <c r="I496" s="369"/>
      <c r="J496" s="350">
        <v>16377437.875633065</v>
      </c>
      <c r="K496" s="350">
        <v>16012250.246588642</v>
      </c>
      <c r="L496" s="350">
        <v>15637687.938224304</v>
      </c>
      <c r="M496" s="350">
        <v>15229973.668765726</v>
      </c>
      <c r="N496" s="350">
        <v>14769197.939098028</v>
      </c>
      <c r="O496" s="348">
        <v>78026547.668309763</v>
      </c>
      <c r="P496" s="369"/>
      <c r="Q496" s="350">
        <f t="shared" si="213"/>
        <v>11050517.753728747</v>
      </c>
      <c r="R496" s="350">
        <f t="shared" si="214"/>
        <v>10704526.649474021</v>
      </c>
      <c r="S496" s="350">
        <f t="shared" si="215"/>
        <v>10350724.441530982</v>
      </c>
      <c r="T496" s="350">
        <f t="shared" si="216"/>
        <v>9967916.3565545287</v>
      </c>
      <c r="U496" s="350">
        <f t="shared" si="217"/>
        <v>9538480.716655707</v>
      </c>
      <c r="V496" s="350">
        <f t="shared" si="218"/>
        <v>51612165.917943984</v>
      </c>
      <c r="W496" s="365"/>
      <c r="X496" s="377">
        <f t="shared" si="196"/>
        <v>0</v>
      </c>
      <c r="Y496" s="377">
        <f t="shared" si="197"/>
        <v>0</v>
      </c>
      <c r="Z496" s="377">
        <f t="shared" si="198"/>
        <v>0</v>
      </c>
      <c r="AA496" s="377">
        <f t="shared" si="199"/>
        <v>0</v>
      </c>
      <c r="AB496" s="377">
        <f t="shared" si="200"/>
        <v>0</v>
      </c>
      <c r="AC496" s="377">
        <f t="shared" si="201"/>
        <v>0</v>
      </c>
      <c r="AD496" s="376"/>
      <c r="AE496" s="332">
        <v>481</v>
      </c>
      <c r="AF496" s="350">
        <v>370009.16162743652</v>
      </c>
      <c r="AG496" s="350">
        <v>368675.76636693894</v>
      </c>
      <c r="AH496" s="350">
        <v>367233.76476443693</v>
      </c>
      <c r="AI496" s="350">
        <v>365503.77515905973</v>
      </c>
      <c r="AJ496" s="350">
        <v>363326.8849344388</v>
      </c>
      <c r="AK496" s="348">
        <v>1834749.352852311</v>
      </c>
      <c r="AL496" s="369"/>
      <c r="AM496" s="350">
        <v>8744572.7886124216</v>
      </c>
      <c r="AN496" s="350">
        <v>8664380.4111743271</v>
      </c>
      <c r="AO496" s="350">
        <v>8576838.3761018645</v>
      </c>
      <c r="AP496" s="350">
        <v>8465543.5285111945</v>
      </c>
      <c r="AQ496" s="350">
        <v>8316465.4787752787</v>
      </c>
      <c r="AR496" s="348">
        <v>42767800.583175085</v>
      </c>
      <c r="AS496" s="369"/>
      <c r="AT496" s="350">
        <f t="shared" si="219"/>
        <v>8374563.6269849855</v>
      </c>
      <c r="AU496" s="350">
        <f t="shared" si="202"/>
        <v>8295704.6448073881</v>
      </c>
      <c r="AV496" s="350">
        <f t="shared" si="203"/>
        <v>8209604.611337428</v>
      </c>
      <c r="AW496" s="350">
        <f t="shared" si="204"/>
        <v>8100039.7533521345</v>
      </c>
      <c r="AX496" s="350">
        <f t="shared" si="205"/>
        <v>7953138.5938408403</v>
      </c>
      <c r="AY496" s="350">
        <f t="shared" si="206"/>
        <v>40933051.230322778</v>
      </c>
      <c r="AZ496" s="365"/>
      <c r="BA496" s="377">
        <f t="shared" si="207"/>
        <v>0</v>
      </c>
      <c r="BB496" s="377">
        <f t="shared" si="208"/>
        <v>0</v>
      </c>
      <c r="BC496" s="377">
        <f t="shared" si="209"/>
        <v>0</v>
      </c>
      <c r="BD496" s="377">
        <f t="shared" si="210"/>
        <v>0</v>
      </c>
      <c r="BE496" s="377">
        <f t="shared" si="211"/>
        <v>0</v>
      </c>
      <c r="BF496" s="377">
        <f t="shared" si="212"/>
        <v>0</v>
      </c>
      <c r="BG496" s="328"/>
    </row>
    <row r="497" spans="2:59">
      <c r="B497" s="332">
        <v>482</v>
      </c>
      <c r="C497" s="350">
        <v>9395839.2300200332</v>
      </c>
      <c r="D497" s="350">
        <v>9361979.6157266982</v>
      </c>
      <c r="E497" s="350">
        <v>9325362.1028874293</v>
      </c>
      <c r="F497" s="350">
        <v>9281431.5576808304</v>
      </c>
      <c r="G497" s="350">
        <v>9226152.6276079156</v>
      </c>
      <c r="H497" s="348">
        <v>46590765.133922905</v>
      </c>
      <c r="I497" s="369"/>
      <c r="J497" s="350">
        <v>31077371.558275446</v>
      </c>
      <c r="K497" s="350">
        <v>30417453.298058145</v>
      </c>
      <c r="L497" s="350">
        <v>29739070.990370549</v>
      </c>
      <c r="M497" s="350">
        <v>28996038.072888307</v>
      </c>
      <c r="N497" s="350">
        <v>28149595.943554338</v>
      </c>
      <c r="O497" s="348">
        <v>148379529.86314678</v>
      </c>
      <c r="P497" s="369"/>
      <c r="Q497" s="350">
        <f t="shared" si="213"/>
        <v>21681532.328255415</v>
      </c>
      <c r="R497" s="350">
        <f t="shared" si="214"/>
        <v>21055473.682331447</v>
      </c>
      <c r="S497" s="350">
        <f t="shared" si="215"/>
        <v>20413708.88748312</v>
      </c>
      <c r="T497" s="350">
        <f t="shared" si="216"/>
        <v>19714606.515207477</v>
      </c>
      <c r="U497" s="350">
        <f t="shared" si="217"/>
        <v>18923443.315946423</v>
      </c>
      <c r="V497" s="350">
        <f t="shared" si="218"/>
        <v>101788764.72922388</v>
      </c>
      <c r="W497" s="365"/>
      <c r="X497" s="377">
        <f t="shared" si="196"/>
        <v>0</v>
      </c>
      <c r="Y497" s="377">
        <f t="shared" si="197"/>
        <v>0</v>
      </c>
      <c r="Z497" s="377">
        <f t="shared" si="198"/>
        <v>0</v>
      </c>
      <c r="AA497" s="377">
        <f t="shared" si="199"/>
        <v>0</v>
      </c>
      <c r="AB497" s="377">
        <f t="shared" si="200"/>
        <v>0</v>
      </c>
      <c r="AC497" s="377">
        <f t="shared" si="201"/>
        <v>0</v>
      </c>
      <c r="AD497" s="376"/>
      <c r="AE497" s="332">
        <v>482</v>
      </c>
      <c r="AF497" s="350">
        <v>409040.47193565842</v>
      </c>
      <c r="AG497" s="350">
        <v>407566.42025479802</v>
      </c>
      <c r="AH497" s="350">
        <v>405972.30562956812</v>
      </c>
      <c r="AI497" s="350">
        <v>404059.82389123796</v>
      </c>
      <c r="AJ497" s="350">
        <v>401653.29914218956</v>
      </c>
      <c r="AK497" s="348">
        <v>2028292.320853452</v>
      </c>
      <c r="AL497" s="369"/>
      <c r="AM497" s="350">
        <v>13193110.30584199</v>
      </c>
      <c r="AN497" s="350">
        <v>13079044.792441117</v>
      </c>
      <c r="AO497" s="350">
        <v>12953749.350867063</v>
      </c>
      <c r="AP497" s="350">
        <v>12792252.649658311</v>
      </c>
      <c r="AQ497" s="350">
        <v>12573181.743959205</v>
      </c>
      <c r="AR497" s="348">
        <v>64591338.842767686</v>
      </c>
      <c r="AS497" s="369"/>
      <c r="AT497" s="350">
        <f t="shared" si="219"/>
        <v>12784069.833906332</v>
      </c>
      <c r="AU497" s="350">
        <f t="shared" si="202"/>
        <v>12671478.372186318</v>
      </c>
      <c r="AV497" s="350">
        <f t="shared" si="203"/>
        <v>12547777.045237495</v>
      </c>
      <c r="AW497" s="350">
        <f t="shared" si="204"/>
        <v>12388192.825767074</v>
      </c>
      <c r="AX497" s="350">
        <f t="shared" si="205"/>
        <v>12171528.444817016</v>
      </c>
      <c r="AY497" s="350">
        <f t="shared" si="206"/>
        <v>62563046.521914236</v>
      </c>
      <c r="AZ497" s="365"/>
      <c r="BA497" s="377">
        <f t="shared" si="207"/>
        <v>0</v>
      </c>
      <c r="BB497" s="377">
        <f t="shared" si="208"/>
        <v>0</v>
      </c>
      <c r="BC497" s="377">
        <f t="shared" si="209"/>
        <v>0</v>
      </c>
      <c r="BD497" s="377">
        <f t="shared" si="210"/>
        <v>0</v>
      </c>
      <c r="BE497" s="377">
        <f t="shared" si="211"/>
        <v>0</v>
      </c>
      <c r="BF497" s="377">
        <f t="shared" si="212"/>
        <v>0</v>
      </c>
      <c r="BG497" s="328"/>
    </row>
    <row r="498" spans="2:59">
      <c r="B498" s="332">
        <v>483</v>
      </c>
      <c r="C498" s="350">
        <v>5444695.6774125127</v>
      </c>
      <c r="D498" s="350">
        <v>5425074.727003661</v>
      </c>
      <c r="E498" s="350">
        <v>5403855.6310833544</v>
      </c>
      <c r="F498" s="350">
        <v>5378398.7832449488</v>
      </c>
      <c r="G498" s="350">
        <v>5346365.7796726478</v>
      </c>
      <c r="H498" s="348">
        <v>26998390.598417126</v>
      </c>
      <c r="I498" s="369"/>
      <c r="J498" s="350">
        <v>15999017.522538386</v>
      </c>
      <c r="K498" s="350">
        <v>15631092.954372974</v>
      </c>
      <c r="L498" s="350">
        <v>15254238.51487945</v>
      </c>
      <c r="M498" s="350">
        <v>14845587.239434648</v>
      </c>
      <c r="N498" s="350">
        <v>14386020.632346248</v>
      </c>
      <c r="O498" s="348">
        <v>76115956.863571703</v>
      </c>
      <c r="P498" s="369"/>
      <c r="Q498" s="350">
        <f t="shared" si="213"/>
        <v>10554321.845125873</v>
      </c>
      <c r="R498" s="350">
        <f t="shared" si="214"/>
        <v>10206018.227369312</v>
      </c>
      <c r="S498" s="350">
        <f t="shared" si="215"/>
        <v>9850382.8837960958</v>
      </c>
      <c r="T498" s="350">
        <f t="shared" si="216"/>
        <v>9467188.4561896995</v>
      </c>
      <c r="U498" s="350">
        <f t="shared" si="217"/>
        <v>9039654.8526736014</v>
      </c>
      <c r="V498" s="350">
        <f t="shared" si="218"/>
        <v>49117566.265154578</v>
      </c>
      <c r="W498" s="365"/>
      <c r="X498" s="377">
        <f t="shared" si="196"/>
        <v>0</v>
      </c>
      <c r="Y498" s="377">
        <f t="shared" si="197"/>
        <v>0</v>
      </c>
      <c r="Z498" s="377">
        <f t="shared" si="198"/>
        <v>0</v>
      </c>
      <c r="AA498" s="377">
        <f t="shared" si="199"/>
        <v>0</v>
      </c>
      <c r="AB498" s="377">
        <f t="shared" si="200"/>
        <v>0</v>
      </c>
      <c r="AC498" s="377">
        <f t="shared" si="201"/>
        <v>0</v>
      </c>
      <c r="AD498" s="376"/>
      <c r="AE498" s="332">
        <v>483</v>
      </c>
      <c r="AF498" s="350">
        <v>451037.34095720935</v>
      </c>
      <c r="AG498" s="350">
        <v>449411.94592619309</v>
      </c>
      <c r="AH498" s="350">
        <v>447654.16088760679</v>
      </c>
      <c r="AI498" s="350">
        <v>445545.32145222381</v>
      </c>
      <c r="AJ498" s="350">
        <v>442891.71478435042</v>
      </c>
      <c r="AK498" s="348">
        <v>2236540.484007583</v>
      </c>
      <c r="AL498" s="369"/>
      <c r="AM498" s="350">
        <v>15986347.997770684</v>
      </c>
      <c r="AN498" s="350">
        <v>15850202.104920391</v>
      </c>
      <c r="AO498" s="350">
        <v>15700406.430601874</v>
      </c>
      <c r="AP498" s="350">
        <v>15506635.889723541</v>
      </c>
      <c r="AQ498" s="350">
        <v>15242931.177456357</v>
      </c>
      <c r="AR498" s="348">
        <v>78286523.600472838</v>
      </c>
      <c r="AS498" s="369"/>
      <c r="AT498" s="350">
        <f t="shared" si="219"/>
        <v>15535310.656813474</v>
      </c>
      <c r="AU498" s="350">
        <f t="shared" si="202"/>
        <v>15400790.158994198</v>
      </c>
      <c r="AV498" s="350">
        <f t="shared" si="203"/>
        <v>15252752.269714268</v>
      </c>
      <c r="AW498" s="350">
        <f t="shared" si="204"/>
        <v>15061090.568271317</v>
      </c>
      <c r="AX498" s="350">
        <f t="shared" si="205"/>
        <v>14800039.462672006</v>
      </c>
      <c r="AY498" s="350">
        <f t="shared" si="206"/>
        <v>76049983.116465256</v>
      </c>
      <c r="AZ498" s="365"/>
      <c r="BA498" s="377">
        <f t="shared" si="207"/>
        <v>0</v>
      </c>
      <c r="BB498" s="377">
        <f t="shared" si="208"/>
        <v>0</v>
      </c>
      <c r="BC498" s="377">
        <f t="shared" si="209"/>
        <v>0</v>
      </c>
      <c r="BD498" s="377">
        <f t="shared" si="210"/>
        <v>0</v>
      </c>
      <c r="BE498" s="377">
        <f t="shared" si="211"/>
        <v>0</v>
      </c>
      <c r="BF498" s="377">
        <f t="shared" si="212"/>
        <v>0</v>
      </c>
      <c r="BG498" s="328"/>
    </row>
    <row r="499" spans="2:59">
      <c r="B499" s="332">
        <v>484</v>
      </c>
      <c r="C499" s="350">
        <v>14028726.22677426</v>
      </c>
      <c r="D499" s="350">
        <v>13978171.162193365</v>
      </c>
      <c r="E499" s="350">
        <v>13923498.338387884</v>
      </c>
      <c r="F499" s="350">
        <v>13857906.582653364</v>
      </c>
      <c r="G499" s="350">
        <v>13775370.796640314</v>
      </c>
      <c r="H499" s="348">
        <v>69563673.10664919</v>
      </c>
      <c r="I499" s="369"/>
      <c r="J499" s="350">
        <v>39271630.544712469</v>
      </c>
      <c r="K499" s="350">
        <v>38337704.381931439</v>
      </c>
      <c r="L499" s="350">
        <v>37382487.818133608</v>
      </c>
      <c r="M499" s="350">
        <v>36350845.971706986</v>
      </c>
      <c r="N499" s="350">
        <v>35196762.504234247</v>
      </c>
      <c r="O499" s="348">
        <v>186539431.22071874</v>
      </c>
      <c r="P499" s="369"/>
      <c r="Q499" s="350">
        <f t="shared" si="213"/>
        <v>25242904.317938209</v>
      </c>
      <c r="R499" s="350">
        <f t="shared" si="214"/>
        <v>24359533.219738074</v>
      </c>
      <c r="S499" s="350">
        <f t="shared" si="215"/>
        <v>23458989.479745723</v>
      </c>
      <c r="T499" s="350">
        <f t="shared" si="216"/>
        <v>22492939.38905362</v>
      </c>
      <c r="U499" s="350">
        <f t="shared" si="217"/>
        <v>21421391.707593933</v>
      </c>
      <c r="V499" s="350">
        <f t="shared" si="218"/>
        <v>116975758.11406955</v>
      </c>
      <c r="W499" s="365"/>
      <c r="X499" s="377">
        <f t="shared" si="196"/>
        <v>0</v>
      </c>
      <c r="Y499" s="377">
        <f t="shared" si="197"/>
        <v>0</v>
      </c>
      <c r="Z499" s="377">
        <f t="shared" si="198"/>
        <v>0</v>
      </c>
      <c r="AA499" s="377">
        <f t="shared" si="199"/>
        <v>0</v>
      </c>
      <c r="AB499" s="377">
        <f t="shared" si="200"/>
        <v>0</v>
      </c>
      <c r="AC499" s="377">
        <f t="shared" si="201"/>
        <v>0</v>
      </c>
      <c r="AD499" s="376"/>
      <c r="AE499" s="332">
        <v>484</v>
      </c>
      <c r="AF499" s="350">
        <v>737093.07530560403</v>
      </c>
      <c r="AG499" s="350">
        <v>734436.82644723752</v>
      </c>
      <c r="AH499" s="350">
        <v>731564.22353354527</v>
      </c>
      <c r="AI499" s="350">
        <v>728117.92141263152</v>
      </c>
      <c r="AJ499" s="350">
        <v>723781.3511957993</v>
      </c>
      <c r="AK499" s="348">
        <v>3654993.3978948174</v>
      </c>
      <c r="AL499" s="369"/>
      <c r="AM499" s="350">
        <v>21390622.166109011</v>
      </c>
      <c r="AN499" s="350">
        <v>21202253.772059493</v>
      </c>
      <c r="AO499" s="350">
        <v>20995747.767460272</v>
      </c>
      <c r="AP499" s="350">
        <v>20730727.664411597</v>
      </c>
      <c r="AQ499" s="350">
        <v>20372642.024879653</v>
      </c>
      <c r="AR499" s="348">
        <v>104691993.39492002</v>
      </c>
      <c r="AS499" s="369"/>
      <c r="AT499" s="350">
        <f t="shared" si="219"/>
        <v>20653529.090803407</v>
      </c>
      <c r="AU499" s="350">
        <f t="shared" si="202"/>
        <v>20467816.945612255</v>
      </c>
      <c r="AV499" s="350">
        <f t="shared" si="203"/>
        <v>20264183.543926727</v>
      </c>
      <c r="AW499" s="350">
        <f t="shared" si="204"/>
        <v>20002609.742998965</v>
      </c>
      <c r="AX499" s="350">
        <f t="shared" si="205"/>
        <v>19648860.673683852</v>
      </c>
      <c r="AY499" s="350">
        <f t="shared" si="206"/>
        <v>101036999.99702521</v>
      </c>
      <c r="AZ499" s="365"/>
      <c r="BA499" s="377">
        <f t="shared" si="207"/>
        <v>0</v>
      </c>
      <c r="BB499" s="377">
        <f t="shared" si="208"/>
        <v>0</v>
      </c>
      <c r="BC499" s="377">
        <f t="shared" si="209"/>
        <v>0</v>
      </c>
      <c r="BD499" s="377">
        <f t="shared" si="210"/>
        <v>0</v>
      </c>
      <c r="BE499" s="377">
        <f t="shared" si="211"/>
        <v>0</v>
      </c>
      <c r="BF499" s="377">
        <f t="shared" si="212"/>
        <v>0</v>
      </c>
      <c r="BG499" s="328"/>
    </row>
    <row r="500" spans="2:59">
      <c r="B500" s="332">
        <v>485</v>
      </c>
      <c r="C500" s="350">
        <v>4589097.2547763046</v>
      </c>
      <c r="D500" s="350">
        <v>4572559.6087824404</v>
      </c>
      <c r="E500" s="350">
        <v>4554674.9554232676</v>
      </c>
      <c r="F500" s="350">
        <v>4533218.4852269385</v>
      </c>
      <c r="G500" s="350">
        <v>4506219.2592893485</v>
      </c>
      <c r="H500" s="348">
        <v>22755769.563498296</v>
      </c>
      <c r="I500" s="369"/>
      <c r="J500" s="350">
        <v>15138734.790749162</v>
      </c>
      <c r="K500" s="350">
        <v>14816707.209649293</v>
      </c>
      <c r="L500" s="350">
        <v>14485696.689788815</v>
      </c>
      <c r="M500" s="350">
        <v>14123222.476631487</v>
      </c>
      <c r="N500" s="350">
        <v>13710420.697473245</v>
      </c>
      <c r="O500" s="348">
        <v>72274781.864292011</v>
      </c>
      <c r="P500" s="369"/>
      <c r="Q500" s="350">
        <f t="shared" si="213"/>
        <v>10549637.535972858</v>
      </c>
      <c r="R500" s="350">
        <f t="shared" si="214"/>
        <v>10244147.600866852</v>
      </c>
      <c r="S500" s="350">
        <f t="shared" si="215"/>
        <v>9931021.7343655471</v>
      </c>
      <c r="T500" s="350">
        <f t="shared" si="216"/>
        <v>9590003.9914045483</v>
      </c>
      <c r="U500" s="350">
        <f t="shared" si="217"/>
        <v>9204201.4381838962</v>
      </c>
      <c r="V500" s="350">
        <f t="shared" si="218"/>
        <v>49519012.300793715</v>
      </c>
      <c r="W500" s="365"/>
      <c r="X500" s="377">
        <f t="shared" si="196"/>
        <v>0</v>
      </c>
      <c r="Y500" s="377">
        <f t="shared" si="197"/>
        <v>0</v>
      </c>
      <c r="Z500" s="377">
        <f t="shared" si="198"/>
        <v>0</v>
      </c>
      <c r="AA500" s="377">
        <f t="shared" si="199"/>
        <v>0</v>
      </c>
      <c r="AB500" s="377">
        <f t="shared" si="200"/>
        <v>0</v>
      </c>
      <c r="AC500" s="377">
        <f t="shared" si="201"/>
        <v>0</v>
      </c>
      <c r="AD500" s="376"/>
      <c r="AE500" s="332">
        <v>485</v>
      </c>
      <c r="AF500" s="350">
        <v>440072.08008372458</v>
      </c>
      <c r="AG500" s="350">
        <v>438486.20036312524</v>
      </c>
      <c r="AH500" s="350">
        <v>436771.14919545676</v>
      </c>
      <c r="AI500" s="350">
        <v>434713.5781860986</v>
      </c>
      <c r="AJ500" s="350">
        <v>432124.48389165121</v>
      </c>
      <c r="AK500" s="348">
        <v>2182167.4917200562</v>
      </c>
      <c r="AL500" s="369"/>
      <c r="AM500" s="350">
        <v>13123891.968298288</v>
      </c>
      <c r="AN500" s="350">
        <v>13008885.584248327</v>
      </c>
      <c r="AO500" s="350">
        <v>12882739.623436976</v>
      </c>
      <c r="AP500" s="350">
        <v>12720663.482468449</v>
      </c>
      <c r="AQ500" s="350">
        <v>12501441.940756399</v>
      </c>
      <c r="AR500" s="348">
        <v>64237622.599208444</v>
      </c>
      <c r="AS500" s="369"/>
      <c r="AT500" s="350">
        <f t="shared" si="219"/>
        <v>12683819.888214564</v>
      </c>
      <c r="AU500" s="350">
        <f t="shared" si="202"/>
        <v>12570399.383885201</v>
      </c>
      <c r="AV500" s="350">
        <f t="shared" si="203"/>
        <v>12445968.474241519</v>
      </c>
      <c r="AW500" s="350">
        <f t="shared" si="204"/>
        <v>12285949.90428235</v>
      </c>
      <c r="AX500" s="350">
        <f t="shared" si="205"/>
        <v>12069317.456864748</v>
      </c>
      <c r="AY500" s="350">
        <f t="shared" si="206"/>
        <v>62055455.107488386</v>
      </c>
      <c r="AZ500" s="365"/>
      <c r="BA500" s="377">
        <f t="shared" si="207"/>
        <v>0</v>
      </c>
      <c r="BB500" s="377">
        <f t="shared" si="208"/>
        <v>0</v>
      </c>
      <c r="BC500" s="377">
        <f t="shared" si="209"/>
        <v>0</v>
      </c>
      <c r="BD500" s="377">
        <f t="shared" si="210"/>
        <v>0</v>
      </c>
      <c r="BE500" s="377">
        <f t="shared" si="211"/>
        <v>0</v>
      </c>
      <c r="BF500" s="377">
        <f t="shared" si="212"/>
        <v>0</v>
      </c>
      <c r="BG500" s="328"/>
    </row>
    <row r="501" spans="2:59">
      <c r="B501" s="332">
        <v>486</v>
      </c>
      <c r="C501" s="350">
        <v>7802029.9722023029</v>
      </c>
      <c r="D501" s="350">
        <v>7773913.9392331839</v>
      </c>
      <c r="E501" s="350">
        <v>7743507.8280082606</v>
      </c>
      <c r="F501" s="350">
        <v>7707029.1886865068</v>
      </c>
      <c r="G501" s="350">
        <v>7661127.1826281054</v>
      </c>
      <c r="H501" s="348">
        <v>38687608.110758357</v>
      </c>
      <c r="I501" s="369"/>
      <c r="J501" s="350">
        <v>26407653.749234054</v>
      </c>
      <c r="K501" s="350">
        <v>25855338.724210195</v>
      </c>
      <c r="L501" s="350">
        <v>25287161.667153489</v>
      </c>
      <c r="M501" s="350">
        <v>24663603.369083896</v>
      </c>
      <c r="N501" s="350">
        <v>23951479.072343383</v>
      </c>
      <c r="O501" s="348">
        <v>126165236.58202502</v>
      </c>
      <c r="P501" s="369"/>
      <c r="Q501" s="350">
        <f t="shared" si="213"/>
        <v>18605623.777031749</v>
      </c>
      <c r="R501" s="350">
        <f t="shared" si="214"/>
        <v>18081424.784977011</v>
      </c>
      <c r="S501" s="350">
        <f t="shared" si="215"/>
        <v>17543653.839145228</v>
      </c>
      <c r="T501" s="350">
        <f t="shared" si="216"/>
        <v>16956574.180397391</v>
      </c>
      <c r="U501" s="350">
        <f t="shared" si="217"/>
        <v>16290351.889715277</v>
      </c>
      <c r="V501" s="350">
        <f t="shared" si="218"/>
        <v>87477628.471266657</v>
      </c>
      <c r="W501" s="365"/>
      <c r="X501" s="377">
        <f t="shared" si="196"/>
        <v>0</v>
      </c>
      <c r="Y501" s="377">
        <f t="shared" si="197"/>
        <v>0</v>
      </c>
      <c r="Z501" s="377">
        <f t="shared" si="198"/>
        <v>0</v>
      </c>
      <c r="AA501" s="377">
        <f t="shared" si="199"/>
        <v>0</v>
      </c>
      <c r="AB501" s="377">
        <f t="shared" si="200"/>
        <v>0</v>
      </c>
      <c r="AC501" s="377">
        <f t="shared" si="201"/>
        <v>0</v>
      </c>
      <c r="AD501" s="376"/>
      <c r="AE501" s="332">
        <v>486</v>
      </c>
      <c r="AF501" s="350">
        <v>555693.13990527496</v>
      </c>
      <c r="AG501" s="350">
        <v>553690.59868229111</v>
      </c>
      <c r="AH501" s="350">
        <v>551524.94852725614</v>
      </c>
      <c r="AI501" s="350">
        <v>548926.78757473477</v>
      </c>
      <c r="AJ501" s="350">
        <v>545657.45511056541</v>
      </c>
      <c r="AK501" s="348">
        <v>2755492.9298001225</v>
      </c>
      <c r="AL501" s="369"/>
      <c r="AM501" s="350">
        <v>14443148.595006468</v>
      </c>
      <c r="AN501" s="350">
        <v>14313269.457427828</v>
      </c>
      <c r="AO501" s="350">
        <v>14171198.586191434</v>
      </c>
      <c r="AP501" s="350">
        <v>13989760.309096446</v>
      </c>
      <c r="AQ501" s="350">
        <v>13745704.871482929</v>
      </c>
      <c r="AR501" s="348">
        <v>70663081.819205105</v>
      </c>
      <c r="AS501" s="369"/>
      <c r="AT501" s="350">
        <f t="shared" si="219"/>
        <v>13887455.455101192</v>
      </c>
      <c r="AU501" s="350">
        <f t="shared" si="202"/>
        <v>13759578.858745536</v>
      </c>
      <c r="AV501" s="350">
        <f t="shared" si="203"/>
        <v>13619673.637664178</v>
      </c>
      <c r="AW501" s="350">
        <f t="shared" si="204"/>
        <v>13440833.521521712</v>
      </c>
      <c r="AX501" s="350">
        <f t="shared" si="205"/>
        <v>13200047.416372364</v>
      </c>
      <c r="AY501" s="350">
        <f t="shared" si="206"/>
        <v>67907588.889404982</v>
      </c>
      <c r="AZ501" s="365"/>
      <c r="BA501" s="377">
        <f t="shared" si="207"/>
        <v>0</v>
      </c>
      <c r="BB501" s="377">
        <f t="shared" si="208"/>
        <v>0</v>
      </c>
      <c r="BC501" s="377">
        <f t="shared" si="209"/>
        <v>0</v>
      </c>
      <c r="BD501" s="377">
        <f t="shared" si="210"/>
        <v>0</v>
      </c>
      <c r="BE501" s="377">
        <f t="shared" si="211"/>
        <v>0</v>
      </c>
      <c r="BF501" s="377">
        <f t="shared" si="212"/>
        <v>0</v>
      </c>
      <c r="BG501" s="328"/>
    </row>
    <row r="502" spans="2:59">
      <c r="B502" s="332">
        <v>487</v>
      </c>
      <c r="C502" s="350">
        <v>5895642.6709187599</v>
      </c>
      <c r="D502" s="350">
        <v>5874396.6510623498</v>
      </c>
      <c r="E502" s="350">
        <v>5851420.1222060071</v>
      </c>
      <c r="F502" s="350">
        <v>5823854.8573546</v>
      </c>
      <c r="G502" s="350">
        <v>5789168.778659326</v>
      </c>
      <c r="H502" s="348">
        <v>29234483.080201041</v>
      </c>
      <c r="I502" s="369"/>
      <c r="J502" s="350">
        <v>21560613.461807102</v>
      </c>
      <c r="K502" s="350">
        <v>21131682.16991742</v>
      </c>
      <c r="L502" s="350">
        <v>20689350.865204908</v>
      </c>
      <c r="M502" s="350">
        <v>20200643.179179821</v>
      </c>
      <c r="N502" s="350">
        <v>19637813.497963242</v>
      </c>
      <c r="O502" s="348">
        <v>103220103.1740725</v>
      </c>
      <c r="P502" s="369"/>
      <c r="Q502" s="350">
        <f t="shared" si="213"/>
        <v>15664970.790888343</v>
      </c>
      <c r="R502" s="350">
        <f t="shared" si="214"/>
        <v>15257285.518855069</v>
      </c>
      <c r="S502" s="350">
        <f t="shared" si="215"/>
        <v>14837930.742998902</v>
      </c>
      <c r="T502" s="350">
        <f t="shared" si="216"/>
        <v>14376788.321825221</v>
      </c>
      <c r="U502" s="350">
        <f t="shared" si="217"/>
        <v>13848644.719303917</v>
      </c>
      <c r="V502" s="350">
        <f t="shared" si="218"/>
        <v>73985620.093871459</v>
      </c>
      <c r="W502" s="365"/>
      <c r="X502" s="377">
        <f t="shared" si="196"/>
        <v>0</v>
      </c>
      <c r="Y502" s="377">
        <f t="shared" si="197"/>
        <v>0</v>
      </c>
      <c r="Z502" s="377">
        <f t="shared" si="198"/>
        <v>0</v>
      </c>
      <c r="AA502" s="377">
        <f t="shared" si="199"/>
        <v>0</v>
      </c>
      <c r="AB502" s="377">
        <f t="shared" si="200"/>
        <v>0</v>
      </c>
      <c r="AC502" s="377">
        <f t="shared" si="201"/>
        <v>0</v>
      </c>
      <c r="AD502" s="376"/>
      <c r="AE502" s="332">
        <v>487</v>
      </c>
      <c r="AF502" s="350">
        <v>423276.99135777337</v>
      </c>
      <c r="AG502" s="350">
        <v>421751.63579178776</v>
      </c>
      <c r="AH502" s="350">
        <v>420102.03853004548</v>
      </c>
      <c r="AI502" s="350">
        <v>418122.99349228619</v>
      </c>
      <c r="AJ502" s="350">
        <v>415632.71043891268</v>
      </c>
      <c r="AK502" s="348">
        <v>2098886.3696108055</v>
      </c>
      <c r="AL502" s="369"/>
      <c r="AM502" s="350">
        <v>11948309.820454583</v>
      </c>
      <c r="AN502" s="350">
        <v>11842555.514533451</v>
      </c>
      <c r="AO502" s="350">
        <v>11726680.902490836</v>
      </c>
      <c r="AP502" s="350">
        <v>11578149.918922113</v>
      </c>
      <c r="AQ502" s="350">
        <v>11377678.801002221</v>
      </c>
      <c r="AR502" s="348">
        <v>58473374.957403198</v>
      </c>
      <c r="AS502" s="369"/>
      <c r="AT502" s="350">
        <f t="shared" si="219"/>
        <v>11525032.829096809</v>
      </c>
      <c r="AU502" s="350">
        <f t="shared" si="202"/>
        <v>11420803.878741663</v>
      </c>
      <c r="AV502" s="350">
        <f t="shared" si="203"/>
        <v>11306578.86396079</v>
      </c>
      <c r="AW502" s="350">
        <f t="shared" si="204"/>
        <v>11160026.925429827</v>
      </c>
      <c r="AX502" s="350">
        <f t="shared" si="205"/>
        <v>10962046.090563308</v>
      </c>
      <c r="AY502" s="350">
        <f t="shared" si="206"/>
        <v>56374488.587792389</v>
      </c>
      <c r="AZ502" s="365"/>
      <c r="BA502" s="377">
        <f t="shared" si="207"/>
        <v>0</v>
      </c>
      <c r="BB502" s="377">
        <f t="shared" si="208"/>
        <v>0</v>
      </c>
      <c r="BC502" s="377">
        <f t="shared" si="209"/>
        <v>0</v>
      </c>
      <c r="BD502" s="377">
        <f t="shared" si="210"/>
        <v>0</v>
      </c>
      <c r="BE502" s="377">
        <f t="shared" si="211"/>
        <v>0</v>
      </c>
      <c r="BF502" s="377">
        <f t="shared" si="212"/>
        <v>0</v>
      </c>
      <c r="BG502" s="328"/>
    </row>
    <row r="503" spans="2:59">
      <c r="B503" s="332">
        <v>488</v>
      </c>
      <c r="C503" s="350">
        <v>5047044.1150772851</v>
      </c>
      <c r="D503" s="350">
        <v>5028856.1743436931</v>
      </c>
      <c r="E503" s="350">
        <v>5009186.808131706</v>
      </c>
      <c r="F503" s="350">
        <v>4985589.1928225067</v>
      </c>
      <c r="G503" s="350">
        <v>4955895.709155729</v>
      </c>
      <c r="H503" s="348">
        <v>25026571.999530919</v>
      </c>
      <c r="I503" s="369"/>
      <c r="J503" s="350">
        <v>17912831.396832205</v>
      </c>
      <c r="K503" s="350">
        <v>17549562.84487173</v>
      </c>
      <c r="L503" s="350">
        <v>17175302.433163311</v>
      </c>
      <c r="M503" s="350">
        <v>16762876.047623513</v>
      </c>
      <c r="N503" s="350">
        <v>16289436.843950029</v>
      </c>
      <c r="O503" s="348">
        <v>85690009.566440791</v>
      </c>
      <c r="P503" s="369"/>
      <c r="Q503" s="350">
        <f t="shared" si="213"/>
        <v>12865787.28175492</v>
      </c>
      <c r="R503" s="350">
        <f t="shared" si="214"/>
        <v>12520706.670528036</v>
      </c>
      <c r="S503" s="350">
        <f t="shared" si="215"/>
        <v>12166115.625031605</v>
      </c>
      <c r="T503" s="350">
        <f t="shared" si="216"/>
        <v>11777286.854801007</v>
      </c>
      <c r="U503" s="350">
        <f t="shared" si="217"/>
        <v>11333541.1347943</v>
      </c>
      <c r="V503" s="350">
        <f t="shared" si="218"/>
        <v>60663437.566909872</v>
      </c>
      <c r="W503" s="365"/>
      <c r="X503" s="377">
        <f t="shared" si="196"/>
        <v>0</v>
      </c>
      <c r="Y503" s="377">
        <f t="shared" si="197"/>
        <v>0</v>
      </c>
      <c r="Z503" s="377">
        <f t="shared" si="198"/>
        <v>0</v>
      </c>
      <c r="AA503" s="377">
        <f t="shared" si="199"/>
        <v>0</v>
      </c>
      <c r="AB503" s="377">
        <f t="shared" si="200"/>
        <v>0</v>
      </c>
      <c r="AC503" s="377">
        <f t="shared" si="201"/>
        <v>0</v>
      </c>
      <c r="AD503" s="376"/>
      <c r="AE503" s="332">
        <v>488</v>
      </c>
      <c r="AF503" s="350">
        <v>670352.25651333388</v>
      </c>
      <c r="AG503" s="350">
        <v>667936.52032516163</v>
      </c>
      <c r="AH503" s="350">
        <v>665324.02007278567</v>
      </c>
      <c r="AI503" s="350">
        <v>662189.76677319617</v>
      </c>
      <c r="AJ503" s="350">
        <v>658245.85557965143</v>
      </c>
      <c r="AK503" s="348">
        <v>3324048.4192641289</v>
      </c>
      <c r="AL503" s="369"/>
      <c r="AM503" s="350">
        <v>18215584.865110621</v>
      </c>
      <c r="AN503" s="350">
        <v>18053196.6472404</v>
      </c>
      <c r="AO503" s="350">
        <v>17875403.430669833</v>
      </c>
      <c r="AP503" s="350">
        <v>17647885.794679537</v>
      </c>
      <c r="AQ503" s="350">
        <v>17341279.444465324</v>
      </c>
      <c r="AR503" s="348">
        <v>89133350.182165712</v>
      </c>
      <c r="AS503" s="369"/>
      <c r="AT503" s="350">
        <f t="shared" si="219"/>
        <v>17545232.608597286</v>
      </c>
      <c r="AU503" s="350">
        <f t="shared" si="202"/>
        <v>17385260.126915239</v>
      </c>
      <c r="AV503" s="350">
        <f t="shared" si="203"/>
        <v>17210079.410597049</v>
      </c>
      <c r="AW503" s="350">
        <f t="shared" si="204"/>
        <v>16985696.02790634</v>
      </c>
      <c r="AX503" s="350">
        <f t="shared" si="205"/>
        <v>16683033.588885672</v>
      </c>
      <c r="AY503" s="350">
        <f t="shared" si="206"/>
        <v>85809301.762901589</v>
      </c>
      <c r="AZ503" s="365"/>
      <c r="BA503" s="377">
        <f t="shared" si="207"/>
        <v>0</v>
      </c>
      <c r="BB503" s="377">
        <f t="shared" si="208"/>
        <v>0</v>
      </c>
      <c r="BC503" s="377">
        <f t="shared" si="209"/>
        <v>0</v>
      </c>
      <c r="BD503" s="377">
        <f t="shared" si="210"/>
        <v>0</v>
      </c>
      <c r="BE503" s="377">
        <f t="shared" si="211"/>
        <v>0</v>
      </c>
      <c r="BF503" s="377">
        <f t="shared" si="212"/>
        <v>0</v>
      </c>
      <c r="BG503" s="328"/>
    </row>
    <row r="504" spans="2:59">
      <c r="B504" s="332">
        <v>489</v>
      </c>
      <c r="C504" s="350">
        <v>3934466.7525819624</v>
      </c>
      <c r="D504" s="350">
        <v>3920288.1865772633</v>
      </c>
      <c r="E504" s="350">
        <v>3904954.7625688962</v>
      </c>
      <c r="F504" s="350">
        <v>3886559.0381097198</v>
      </c>
      <c r="G504" s="350">
        <v>3863411.2269173688</v>
      </c>
      <c r="H504" s="348">
        <v>19509679.966755211</v>
      </c>
      <c r="I504" s="369"/>
      <c r="J504" s="350">
        <v>14381637.428096145</v>
      </c>
      <c r="K504" s="350">
        <v>14095438.968003754</v>
      </c>
      <c r="L504" s="350">
        <v>13800304.039773008</v>
      </c>
      <c r="M504" s="350">
        <v>13474239.138574574</v>
      </c>
      <c r="N504" s="350">
        <v>13098739.611079192</v>
      </c>
      <c r="O504" s="348">
        <v>68850359.185526669</v>
      </c>
      <c r="P504" s="369"/>
      <c r="Q504" s="350">
        <f t="shared" si="213"/>
        <v>10447170.675514184</v>
      </c>
      <c r="R504" s="350">
        <f t="shared" si="214"/>
        <v>10175150.781426489</v>
      </c>
      <c r="S504" s="350">
        <f t="shared" si="215"/>
        <v>9895349.2772041112</v>
      </c>
      <c r="T504" s="350">
        <f t="shared" si="216"/>
        <v>9587680.1004648544</v>
      </c>
      <c r="U504" s="350">
        <f t="shared" si="217"/>
        <v>9235328.3841618225</v>
      </c>
      <c r="V504" s="350">
        <f t="shared" si="218"/>
        <v>49340679.218771458</v>
      </c>
      <c r="W504" s="365"/>
      <c r="X504" s="377">
        <f t="shared" si="196"/>
        <v>0</v>
      </c>
      <c r="Y504" s="377">
        <f t="shared" si="197"/>
        <v>0</v>
      </c>
      <c r="Z504" s="377">
        <f t="shared" si="198"/>
        <v>0</v>
      </c>
      <c r="AA504" s="377">
        <f t="shared" si="199"/>
        <v>0</v>
      </c>
      <c r="AB504" s="377">
        <f t="shared" si="200"/>
        <v>0</v>
      </c>
      <c r="AC504" s="377">
        <f t="shared" si="201"/>
        <v>0</v>
      </c>
      <c r="AD504" s="376"/>
      <c r="AE504" s="332">
        <v>489</v>
      </c>
      <c r="AF504" s="350">
        <v>406727.43412559881</v>
      </c>
      <c r="AG504" s="350">
        <v>405261.71789686539</v>
      </c>
      <c r="AH504" s="350">
        <v>403676.61765445251</v>
      </c>
      <c r="AI504" s="350">
        <v>401774.95059798239</v>
      </c>
      <c r="AJ504" s="350">
        <v>399382.03424007678</v>
      </c>
      <c r="AK504" s="348">
        <v>2016822.7545149759</v>
      </c>
      <c r="AL504" s="369"/>
      <c r="AM504" s="350">
        <v>11907769.713965494</v>
      </c>
      <c r="AN504" s="350">
        <v>11803075.433851946</v>
      </c>
      <c r="AO504" s="350">
        <v>11688280.866727024</v>
      </c>
      <c r="AP504" s="350">
        <v>11540903.764603026</v>
      </c>
      <c r="AQ504" s="350">
        <v>11341705.026057588</v>
      </c>
      <c r="AR504" s="348">
        <v>58281734.805205077</v>
      </c>
      <c r="AS504" s="369"/>
      <c r="AT504" s="350">
        <f t="shared" si="219"/>
        <v>11501042.279839896</v>
      </c>
      <c r="AU504" s="350">
        <f t="shared" si="202"/>
        <v>11397813.71595508</v>
      </c>
      <c r="AV504" s="350">
        <f t="shared" si="203"/>
        <v>11284604.249072572</v>
      </c>
      <c r="AW504" s="350">
        <f t="shared" si="204"/>
        <v>11139128.814005043</v>
      </c>
      <c r="AX504" s="350">
        <f t="shared" si="205"/>
        <v>10942322.991817512</v>
      </c>
      <c r="AY504" s="350">
        <f t="shared" si="206"/>
        <v>56264912.0506901</v>
      </c>
      <c r="AZ504" s="365"/>
      <c r="BA504" s="377">
        <f t="shared" si="207"/>
        <v>0</v>
      </c>
      <c r="BB504" s="377">
        <f t="shared" si="208"/>
        <v>0</v>
      </c>
      <c r="BC504" s="377">
        <f t="shared" si="209"/>
        <v>0</v>
      </c>
      <c r="BD504" s="377">
        <f t="shared" si="210"/>
        <v>0</v>
      </c>
      <c r="BE504" s="377">
        <f t="shared" si="211"/>
        <v>0</v>
      </c>
      <c r="BF504" s="377">
        <f t="shared" si="212"/>
        <v>0</v>
      </c>
      <c r="BG504" s="328"/>
    </row>
    <row r="505" spans="2:59">
      <c r="B505" s="332">
        <v>490</v>
      </c>
      <c r="C505" s="350">
        <v>5018988.5308371596</v>
      </c>
      <c r="D505" s="350">
        <v>5000901.6935002822</v>
      </c>
      <c r="E505" s="350">
        <v>4981341.6656550951</v>
      </c>
      <c r="F505" s="350">
        <v>4957875.2251224741</v>
      </c>
      <c r="G505" s="350">
        <v>4928346.8020363851</v>
      </c>
      <c r="H505" s="348">
        <v>24887453.917151395</v>
      </c>
      <c r="I505" s="369"/>
      <c r="J505" s="350">
        <v>16869215.444136333</v>
      </c>
      <c r="K505" s="350">
        <v>16514770.287501998</v>
      </c>
      <c r="L505" s="350">
        <v>16150225.667904519</v>
      </c>
      <c r="M505" s="350">
        <v>15750389.225507699</v>
      </c>
      <c r="N505" s="350">
        <v>15294110.692035785</v>
      </c>
      <c r="O505" s="348">
        <v>80578711.317086339</v>
      </c>
      <c r="P505" s="369"/>
      <c r="Q505" s="350">
        <f t="shared" si="213"/>
        <v>11850226.913299173</v>
      </c>
      <c r="R505" s="350">
        <f t="shared" si="214"/>
        <v>11513868.594001716</v>
      </c>
      <c r="S505" s="350">
        <f t="shared" si="215"/>
        <v>11168884.002249423</v>
      </c>
      <c r="T505" s="350">
        <f t="shared" si="216"/>
        <v>10792514.000385225</v>
      </c>
      <c r="U505" s="350">
        <f t="shared" si="217"/>
        <v>10365763.889999401</v>
      </c>
      <c r="V505" s="350">
        <f t="shared" si="218"/>
        <v>55691257.399934947</v>
      </c>
      <c r="W505" s="365"/>
      <c r="X505" s="377">
        <f t="shared" si="196"/>
        <v>0</v>
      </c>
      <c r="Y505" s="377">
        <f t="shared" si="197"/>
        <v>0</v>
      </c>
      <c r="Z505" s="377">
        <f t="shared" si="198"/>
        <v>0</v>
      </c>
      <c r="AA505" s="377">
        <f t="shared" si="199"/>
        <v>0</v>
      </c>
      <c r="AB505" s="377">
        <f t="shared" si="200"/>
        <v>0</v>
      </c>
      <c r="AC505" s="377">
        <f t="shared" si="201"/>
        <v>0</v>
      </c>
      <c r="AD505" s="376"/>
      <c r="AE505" s="332">
        <v>490</v>
      </c>
      <c r="AF505" s="350">
        <v>248191.89186870941</v>
      </c>
      <c r="AG505" s="350">
        <v>247297.48727922281</v>
      </c>
      <c r="AH505" s="350">
        <v>246330.23256523535</v>
      </c>
      <c r="AI505" s="350">
        <v>245169.80347968717</v>
      </c>
      <c r="AJ505" s="350">
        <v>243709.60584332925</v>
      </c>
      <c r="AK505" s="348">
        <v>1230699.0210361839</v>
      </c>
      <c r="AL505" s="369"/>
      <c r="AM505" s="350">
        <v>8864571.5851220693</v>
      </c>
      <c r="AN505" s="350">
        <v>8789166.2055565696</v>
      </c>
      <c r="AO505" s="350">
        <v>8706190.089495372</v>
      </c>
      <c r="AP505" s="350">
        <v>8598824.8431326076</v>
      </c>
      <c r="AQ505" s="350">
        <v>8452673.1742336173</v>
      </c>
      <c r="AR505" s="348">
        <v>43411425.897540234</v>
      </c>
      <c r="AS505" s="369"/>
      <c r="AT505" s="350">
        <f t="shared" si="219"/>
        <v>8616379.6932533607</v>
      </c>
      <c r="AU505" s="350">
        <f t="shared" si="202"/>
        <v>8541868.7182773463</v>
      </c>
      <c r="AV505" s="350">
        <f t="shared" si="203"/>
        <v>8459859.8569301367</v>
      </c>
      <c r="AW505" s="350">
        <f t="shared" si="204"/>
        <v>8353655.0396529203</v>
      </c>
      <c r="AX505" s="350">
        <f t="shared" si="205"/>
        <v>8208963.5683902884</v>
      </c>
      <c r="AY505" s="350">
        <f t="shared" si="206"/>
        <v>42180726.876504049</v>
      </c>
      <c r="AZ505" s="365"/>
      <c r="BA505" s="377">
        <f t="shared" si="207"/>
        <v>0</v>
      </c>
      <c r="BB505" s="377">
        <f t="shared" si="208"/>
        <v>0</v>
      </c>
      <c r="BC505" s="377">
        <f t="shared" si="209"/>
        <v>0</v>
      </c>
      <c r="BD505" s="377">
        <f t="shared" si="210"/>
        <v>0</v>
      </c>
      <c r="BE505" s="377">
        <f t="shared" si="211"/>
        <v>0</v>
      </c>
      <c r="BF505" s="377">
        <f t="shared" si="212"/>
        <v>0</v>
      </c>
      <c r="BG505" s="328"/>
    </row>
    <row r="506" spans="2:59">
      <c r="B506" s="332">
        <v>491</v>
      </c>
      <c r="C506" s="350">
        <v>5479191.2452666452</v>
      </c>
      <c r="D506" s="350">
        <v>5459445.983809704</v>
      </c>
      <c r="E506" s="350">
        <v>5438092.4515854251</v>
      </c>
      <c r="F506" s="350">
        <v>5412474.3186221942</v>
      </c>
      <c r="G506" s="350">
        <v>5380238.3658468956</v>
      </c>
      <c r="H506" s="348">
        <v>27169442.365130864</v>
      </c>
      <c r="I506" s="369"/>
      <c r="J506" s="350">
        <v>18572758.142703276</v>
      </c>
      <c r="K506" s="350">
        <v>18184683.223025069</v>
      </c>
      <c r="L506" s="350">
        <v>17785444.754450075</v>
      </c>
      <c r="M506" s="350">
        <v>17347236.430102214</v>
      </c>
      <c r="N506" s="350">
        <v>16846708.024962611</v>
      </c>
      <c r="O506" s="348">
        <v>88736830.575243235</v>
      </c>
      <c r="P506" s="369"/>
      <c r="Q506" s="350">
        <f t="shared" si="213"/>
        <v>13093566.89743663</v>
      </c>
      <c r="R506" s="350">
        <f t="shared" si="214"/>
        <v>12725237.239215365</v>
      </c>
      <c r="S506" s="350">
        <f t="shared" si="215"/>
        <v>12347352.30286465</v>
      </c>
      <c r="T506" s="350">
        <f t="shared" si="216"/>
        <v>11934762.11148002</v>
      </c>
      <c r="U506" s="350">
        <f t="shared" si="217"/>
        <v>11466469.659115717</v>
      </c>
      <c r="V506" s="350">
        <f t="shared" si="218"/>
        <v>61567388.210112371</v>
      </c>
      <c r="W506" s="365"/>
      <c r="X506" s="377">
        <f t="shared" si="196"/>
        <v>0</v>
      </c>
      <c r="Y506" s="377">
        <f t="shared" si="197"/>
        <v>0</v>
      </c>
      <c r="Z506" s="377">
        <f t="shared" si="198"/>
        <v>0</v>
      </c>
      <c r="AA506" s="377">
        <f t="shared" si="199"/>
        <v>0</v>
      </c>
      <c r="AB506" s="377">
        <f t="shared" si="200"/>
        <v>0</v>
      </c>
      <c r="AC506" s="377">
        <f t="shared" si="201"/>
        <v>0</v>
      </c>
      <c r="AD506" s="376"/>
      <c r="AE506" s="332">
        <v>491</v>
      </c>
      <c r="AF506" s="350">
        <v>738288.95271754276</v>
      </c>
      <c r="AG506" s="350">
        <v>735628.39429757989</v>
      </c>
      <c r="AH506" s="350">
        <v>732751.13080430415</v>
      </c>
      <c r="AI506" s="350">
        <v>729299.23732050916</v>
      </c>
      <c r="AJ506" s="350">
        <v>724955.63134857174</v>
      </c>
      <c r="AK506" s="348">
        <v>3660923.3464885079</v>
      </c>
      <c r="AL506" s="369"/>
      <c r="AM506" s="350">
        <v>22763179.299196824</v>
      </c>
      <c r="AN506" s="350">
        <v>22564862.902674858</v>
      </c>
      <c r="AO506" s="350">
        <v>22347201.395743422</v>
      </c>
      <c r="AP506" s="350">
        <v>22067158.401566558</v>
      </c>
      <c r="AQ506" s="350">
        <v>21687902.096358638</v>
      </c>
      <c r="AR506" s="348">
        <v>111430304.0955403</v>
      </c>
      <c r="AS506" s="369"/>
      <c r="AT506" s="350">
        <f t="shared" si="219"/>
        <v>22024890.346479282</v>
      </c>
      <c r="AU506" s="350">
        <f t="shared" si="202"/>
        <v>21829234.508377276</v>
      </c>
      <c r="AV506" s="350">
        <f t="shared" si="203"/>
        <v>21614450.264939118</v>
      </c>
      <c r="AW506" s="350">
        <f t="shared" si="204"/>
        <v>21337859.164246049</v>
      </c>
      <c r="AX506" s="350">
        <f t="shared" si="205"/>
        <v>20962946.465010066</v>
      </c>
      <c r="AY506" s="350">
        <f t="shared" si="206"/>
        <v>107769380.74905179</v>
      </c>
      <c r="AZ506" s="365"/>
      <c r="BA506" s="377">
        <f t="shared" si="207"/>
        <v>0</v>
      </c>
      <c r="BB506" s="377">
        <f t="shared" si="208"/>
        <v>0</v>
      </c>
      <c r="BC506" s="377">
        <f t="shared" si="209"/>
        <v>0</v>
      </c>
      <c r="BD506" s="377">
        <f t="shared" si="210"/>
        <v>0</v>
      </c>
      <c r="BE506" s="377">
        <f t="shared" si="211"/>
        <v>0</v>
      </c>
      <c r="BF506" s="377">
        <f t="shared" si="212"/>
        <v>0</v>
      </c>
      <c r="BG506" s="328"/>
    </row>
    <row r="507" spans="2:59">
      <c r="B507" s="332">
        <v>492</v>
      </c>
      <c r="C507" s="350">
        <v>5919426.8905909574</v>
      </c>
      <c r="D507" s="350">
        <v>5898095.1599763436</v>
      </c>
      <c r="E507" s="350">
        <v>5875025.939137103</v>
      </c>
      <c r="F507" s="350">
        <v>5847349.4704100285</v>
      </c>
      <c r="G507" s="350">
        <v>5812523.4610301303</v>
      </c>
      <c r="H507" s="348">
        <v>29352420.921144564</v>
      </c>
      <c r="I507" s="369"/>
      <c r="J507" s="350">
        <v>18913656.642274298</v>
      </c>
      <c r="K507" s="350">
        <v>18502699.430089295</v>
      </c>
      <c r="L507" s="350">
        <v>18080695.56979217</v>
      </c>
      <c r="M507" s="350">
        <v>17619837.345636245</v>
      </c>
      <c r="N507" s="350">
        <v>17096812.686430849</v>
      </c>
      <c r="O507" s="348">
        <v>90213701.674222857</v>
      </c>
      <c r="P507" s="369"/>
      <c r="Q507" s="350">
        <f t="shared" si="213"/>
        <v>12994229.751683339</v>
      </c>
      <c r="R507" s="350">
        <f t="shared" si="214"/>
        <v>12604604.27011295</v>
      </c>
      <c r="S507" s="350">
        <f t="shared" si="215"/>
        <v>12205669.630655067</v>
      </c>
      <c r="T507" s="350">
        <f t="shared" si="216"/>
        <v>11772487.875226216</v>
      </c>
      <c r="U507" s="350">
        <f t="shared" si="217"/>
        <v>11284289.22540072</v>
      </c>
      <c r="V507" s="350">
        <f t="shared" si="218"/>
        <v>60861280.753078297</v>
      </c>
      <c r="W507" s="365"/>
      <c r="X507" s="377">
        <f t="shared" si="196"/>
        <v>0</v>
      </c>
      <c r="Y507" s="377">
        <f t="shared" si="197"/>
        <v>0</v>
      </c>
      <c r="Z507" s="377">
        <f t="shared" si="198"/>
        <v>0</v>
      </c>
      <c r="AA507" s="377">
        <f t="shared" si="199"/>
        <v>0</v>
      </c>
      <c r="AB507" s="377">
        <f t="shared" si="200"/>
        <v>0</v>
      </c>
      <c r="AC507" s="377">
        <f t="shared" si="201"/>
        <v>0</v>
      </c>
      <c r="AD507" s="376"/>
      <c r="AE507" s="332">
        <v>492</v>
      </c>
      <c r="AF507" s="350">
        <v>324894.82794483699</v>
      </c>
      <c r="AG507" s="350">
        <v>323724.01038497873</v>
      </c>
      <c r="AH507" s="350">
        <v>322457.82859509974</v>
      </c>
      <c r="AI507" s="350">
        <v>320938.77249196649</v>
      </c>
      <c r="AJ507" s="350">
        <v>319027.30529512133</v>
      </c>
      <c r="AK507" s="348">
        <v>1611042.7447120035</v>
      </c>
      <c r="AL507" s="369"/>
      <c r="AM507" s="350">
        <v>11213344.027759256</v>
      </c>
      <c r="AN507" s="350">
        <v>11117451.457620364</v>
      </c>
      <c r="AO507" s="350">
        <v>11011992.561572306</v>
      </c>
      <c r="AP507" s="350">
        <v>10875709.109952601</v>
      </c>
      <c r="AQ507" s="350">
        <v>10690404.113724856</v>
      </c>
      <c r="AR507" s="348">
        <v>54908901.270629384</v>
      </c>
      <c r="AS507" s="369"/>
      <c r="AT507" s="350">
        <f t="shared" si="219"/>
        <v>10888449.199814418</v>
      </c>
      <c r="AU507" s="350">
        <f t="shared" si="202"/>
        <v>10793727.447235385</v>
      </c>
      <c r="AV507" s="350">
        <f t="shared" si="203"/>
        <v>10689534.732977206</v>
      </c>
      <c r="AW507" s="350">
        <f t="shared" si="204"/>
        <v>10554770.337460633</v>
      </c>
      <c r="AX507" s="350">
        <f t="shared" si="205"/>
        <v>10371376.808429735</v>
      </c>
      <c r="AY507" s="350">
        <f t="shared" si="206"/>
        <v>53297858.525917381</v>
      </c>
      <c r="AZ507" s="365"/>
      <c r="BA507" s="377">
        <f t="shared" si="207"/>
        <v>0</v>
      </c>
      <c r="BB507" s="377">
        <f t="shared" si="208"/>
        <v>0</v>
      </c>
      <c r="BC507" s="377">
        <f t="shared" si="209"/>
        <v>0</v>
      </c>
      <c r="BD507" s="377">
        <f t="shared" si="210"/>
        <v>0</v>
      </c>
      <c r="BE507" s="377">
        <f t="shared" si="211"/>
        <v>0</v>
      </c>
      <c r="BF507" s="377">
        <f t="shared" si="212"/>
        <v>0</v>
      </c>
      <c r="BG507" s="328"/>
    </row>
    <row r="508" spans="2:59">
      <c r="B508" s="332">
        <v>493</v>
      </c>
      <c r="C508" s="350">
        <v>4988571.7489199312</v>
      </c>
      <c r="D508" s="350">
        <v>4970594.5239847293</v>
      </c>
      <c r="E508" s="350">
        <v>4951153.0365780424</v>
      </c>
      <c r="F508" s="350">
        <v>4927828.8106768485</v>
      </c>
      <c r="G508" s="350">
        <v>4898479.3399035297</v>
      </c>
      <c r="H508" s="348">
        <v>24736627.460063081</v>
      </c>
      <c r="I508" s="369"/>
      <c r="J508" s="350">
        <v>16596632.418520879</v>
      </c>
      <c r="K508" s="350">
        <v>16245563.093526449</v>
      </c>
      <c r="L508" s="350">
        <v>15884605.516733084</v>
      </c>
      <c r="M508" s="350">
        <v>15489050.347227016</v>
      </c>
      <c r="N508" s="350">
        <v>15038158.720122494</v>
      </c>
      <c r="O508" s="348">
        <v>79254010.096129924</v>
      </c>
      <c r="P508" s="369"/>
      <c r="Q508" s="350">
        <f t="shared" si="213"/>
        <v>11608060.669600949</v>
      </c>
      <c r="R508" s="350">
        <f t="shared" si="214"/>
        <v>11274968.569541719</v>
      </c>
      <c r="S508" s="350">
        <f t="shared" si="215"/>
        <v>10933452.480155041</v>
      </c>
      <c r="T508" s="350">
        <f t="shared" si="216"/>
        <v>10561221.536550168</v>
      </c>
      <c r="U508" s="350">
        <f t="shared" si="217"/>
        <v>10139679.380218964</v>
      </c>
      <c r="V508" s="350">
        <f t="shared" si="218"/>
        <v>54517382.636066839</v>
      </c>
      <c r="W508" s="365"/>
      <c r="X508" s="377">
        <f t="shared" si="196"/>
        <v>0</v>
      </c>
      <c r="Y508" s="377">
        <f t="shared" si="197"/>
        <v>0</v>
      </c>
      <c r="Z508" s="377">
        <f t="shared" si="198"/>
        <v>0</v>
      </c>
      <c r="AA508" s="377">
        <f t="shared" si="199"/>
        <v>0</v>
      </c>
      <c r="AB508" s="377">
        <f t="shared" si="200"/>
        <v>0</v>
      </c>
      <c r="AC508" s="377">
        <f t="shared" si="201"/>
        <v>0</v>
      </c>
      <c r="AD508" s="376"/>
      <c r="AE508" s="332">
        <v>493</v>
      </c>
      <c r="AF508" s="350">
        <v>427540.9057110594</v>
      </c>
      <c r="AG508" s="350">
        <v>426000.18435476511</v>
      </c>
      <c r="AH508" s="350">
        <v>424333.96974413533</v>
      </c>
      <c r="AI508" s="350">
        <v>422334.98863917979</v>
      </c>
      <c r="AJ508" s="350">
        <v>419819.61952190055</v>
      </c>
      <c r="AK508" s="348">
        <v>2120029.6679710401</v>
      </c>
      <c r="AL508" s="369"/>
      <c r="AM508" s="350">
        <v>13218642.538729161</v>
      </c>
      <c r="AN508" s="350">
        <v>13103534.65323193</v>
      </c>
      <c r="AO508" s="350">
        <v>12977191.884226613</v>
      </c>
      <c r="AP508" s="350">
        <v>12814621.109569484</v>
      </c>
      <c r="AQ508" s="350">
        <v>12594432.355996316</v>
      </c>
      <c r="AR508" s="348">
        <v>64708422.541753501</v>
      </c>
      <c r="AS508" s="369"/>
      <c r="AT508" s="350">
        <f t="shared" si="219"/>
        <v>12791101.633018102</v>
      </c>
      <c r="AU508" s="350">
        <f t="shared" si="202"/>
        <v>12677534.468877165</v>
      </c>
      <c r="AV508" s="350">
        <f t="shared" si="203"/>
        <v>12552857.914482478</v>
      </c>
      <c r="AW508" s="350">
        <f t="shared" si="204"/>
        <v>12392286.120930305</v>
      </c>
      <c r="AX508" s="350">
        <f t="shared" si="205"/>
        <v>12174612.736474415</v>
      </c>
      <c r="AY508" s="350">
        <f t="shared" si="206"/>
        <v>62588392.873782463</v>
      </c>
      <c r="AZ508" s="365"/>
      <c r="BA508" s="377">
        <f t="shared" si="207"/>
        <v>0</v>
      </c>
      <c r="BB508" s="377">
        <f t="shared" si="208"/>
        <v>0</v>
      </c>
      <c r="BC508" s="377">
        <f t="shared" si="209"/>
        <v>0</v>
      </c>
      <c r="BD508" s="377">
        <f t="shared" si="210"/>
        <v>0</v>
      </c>
      <c r="BE508" s="377">
        <f t="shared" si="211"/>
        <v>0</v>
      </c>
      <c r="BF508" s="377">
        <f t="shared" si="212"/>
        <v>0</v>
      </c>
      <c r="BG508" s="328"/>
    </row>
    <row r="509" spans="2:59">
      <c r="B509" s="332">
        <v>494</v>
      </c>
      <c r="C509" s="350">
        <v>7204815.6143567357</v>
      </c>
      <c r="D509" s="350">
        <v>7178851.7518656347</v>
      </c>
      <c r="E509" s="350">
        <v>7150773.1074992698</v>
      </c>
      <c r="F509" s="350">
        <v>7117086.7629053285</v>
      </c>
      <c r="G509" s="350">
        <v>7074698.3728122152</v>
      </c>
      <c r="H509" s="348">
        <v>35726225.609439179</v>
      </c>
      <c r="I509" s="369"/>
      <c r="J509" s="350">
        <v>16761943.013906239</v>
      </c>
      <c r="K509" s="350">
        <v>16306856.679646842</v>
      </c>
      <c r="L509" s="350">
        <v>15843836.228574522</v>
      </c>
      <c r="M509" s="350">
        <v>15351172.652188305</v>
      </c>
      <c r="N509" s="350">
        <v>14810897.617958235</v>
      </c>
      <c r="O509" s="348">
        <v>79074706.192274138</v>
      </c>
      <c r="P509" s="369"/>
      <c r="Q509" s="350">
        <f t="shared" si="213"/>
        <v>9557127.3995495029</v>
      </c>
      <c r="R509" s="350">
        <f t="shared" si="214"/>
        <v>9128004.9277812075</v>
      </c>
      <c r="S509" s="350">
        <f t="shared" si="215"/>
        <v>8693063.1210752521</v>
      </c>
      <c r="T509" s="350">
        <f t="shared" si="216"/>
        <v>8234085.8892829763</v>
      </c>
      <c r="U509" s="350">
        <f t="shared" si="217"/>
        <v>7736199.2451460194</v>
      </c>
      <c r="V509" s="350">
        <f t="shared" si="218"/>
        <v>43348480.582834959</v>
      </c>
      <c r="W509" s="365"/>
      <c r="X509" s="377">
        <f t="shared" si="196"/>
        <v>0</v>
      </c>
      <c r="Y509" s="377">
        <f t="shared" si="197"/>
        <v>0</v>
      </c>
      <c r="Z509" s="377">
        <f t="shared" si="198"/>
        <v>0</v>
      </c>
      <c r="AA509" s="377">
        <f t="shared" si="199"/>
        <v>0</v>
      </c>
      <c r="AB509" s="377">
        <f t="shared" si="200"/>
        <v>0</v>
      </c>
      <c r="AC509" s="377">
        <f t="shared" si="201"/>
        <v>0</v>
      </c>
      <c r="AD509" s="376"/>
      <c r="AE509" s="332">
        <v>494</v>
      </c>
      <c r="AF509" s="350">
        <v>349114.93491651636</v>
      </c>
      <c r="AG509" s="350">
        <v>347856.83579935093</v>
      </c>
      <c r="AH509" s="350">
        <v>346496.26328435494</v>
      </c>
      <c r="AI509" s="350">
        <v>344863.96530062112</v>
      </c>
      <c r="AJ509" s="350">
        <v>342810.00294534798</v>
      </c>
      <c r="AK509" s="348">
        <v>1731142.0022461913</v>
      </c>
      <c r="AL509" s="369"/>
      <c r="AM509" s="350">
        <v>10000461.599289969</v>
      </c>
      <c r="AN509" s="350">
        <v>9912186.9898875449</v>
      </c>
      <c r="AO509" s="350">
        <v>9815437.0291393027</v>
      </c>
      <c r="AP509" s="350">
        <v>9691341.8173137791</v>
      </c>
      <c r="AQ509" s="350">
        <v>9523754.1987055261</v>
      </c>
      <c r="AR509" s="348">
        <v>48943181.634336114</v>
      </c>
      <c r="AS509" s="369"/>
      <c r="AT509" s="350">
        <f t="shared" si="219"/>
        <v>9651346.6643734518</v>
      </c>
      <c r="AU509" s="350">
        <f t="shared" si="202"/>
        <v>9564330.1540881936</v>
      </c>
      <c r="AV509" s="350">
        <f t="shared" si="203"/>
        <v>9468940.7658549473</v>
      </c>
      <c r="AW509" s="350">
        <f t="shared" si="204"/>
        <v>9346477.8520131577</v>
      </c>
      <c r="AX509" s="350">
        <f t="shared" si="205"/>
        <v>9180944.1957601774</v>
      </c>
      <c r="AY509" s="350">
        <f t="shared" si="206"/>
        <v>47212039.63208992</v>
      </c>
      <c r="AZ509" s="365"/>
      <c r="BA509" s="377">
        <f t="shared" si="207"/>
        <v>0</v>
      </c>
      <c r="BB509" s="377">
        <f t="shared" si="208"/>
        <v>0</v>
      </c>
      <c r="BC509" s="377">
        <f t="shared" si="209"/>
        <v>0</v>
      </c>
      <c r="BD509" s="377">
        <f t="shared" si="210"/>
        <v>0</v>
      </c>
      <c r="BE509" s="377">
        <f t="shared" si="211"/>
        <v>0</v>
      </c>
      <c r="BF509" s="377">
        <f t="shared" si="212"/>
        <v>0</v>
      </c>
      <c r="BG509" s="328"/>
    </row>
    <row r="510" spans="2:59">
      <c r="B510" s="332">
        <v>495</v>
      </c>
      <c r="C510" s="350">
        <v>5695520.6441339497</v>
      </c>
      <c r="D510" s="350">
        <v>5674995.800371835</v>
      </c>
      <c r="E510" s="350">
        <v>5652799.1881047199</v>
      </c>
      <c r="F510" s="350">
        <v>5626169.6001555324</v>
      </c>
      <c r="G510" s="350">
        <v>5592660.907668543</v>
      </c>
      <c r="H510" s="348">
        <v>28242146.140434578</v>
      </c>
      <c r="I510" s="369"/>
      <c r="J510" s="350">
        <v>17933186.650403023</v>
      </c>
      <c r="K510" s="350">
        <v>17539684.467306893</v>
      </c>
      <c r="L510" s="350">
        <v>17135786.876590054</v>
      </c>
      <c r="M510" s="350">
        <v>16695251.993121726</v>
      </c>
      <c r="N510" s="350">
        <v>16196090.212713439</v>
      </c>
      <c r="O510" s="348">
        <v>85500000.200135142</v>
      </c>
      <c r="P510" s="369"/>
      <c r="Q510" s="350">
        <f t="shared" si="213"/>
        <v>12237666.006269073</v>
      </c>
      <c r="R510" s="350">
        <f t="shared" si="214"/>
        <v>11864688.666935058</v>
      </c>
      <c r="S510" s="350">
        <f t="shared" si="215"/>
        <v>11482987.688485336</v>
      </c>
      <c r="T510" s="350">
        <f t="shared" si="216"/>
        <v>11069082.392966194</v>
      </c>
      <c r="U510" s="350">
        <f t="shared" si="217"/>
        <v>10603429.305044897</v>
      </c>
      <c r="V510" s="350">
        <f t="shared" si="218"/>
        <v>57257854.059700564</v>
      </c>
      <c r="W510" s="365"/>
      <c r="X510" s="377">
        <f t="shared" si="196"/>
        <v>0</v>
      </c>
      <c r="Y510" s="377">
        <f t="shared" si="197"/>
        <v>0</v>
      </c>
      <c r="Z510" s="377">
        <f t="shared" si="198"/>
        <v>0</v>
      </c>
      <c r="AA510" s="377">
        <f t="shared" si="199"/>
        <v>0</v>
      </c>
      <c r="AB510" s="377">
        <f t="shared" si="200"/>
        <v>0</v>
      </c>
      <c r="AC510" s="377">
        <f t="shared" si="201"/>
        <v>0</v>
      </c>
      <c r="AD510" s="376"/>
      <c r="AE510" s="332">
        <v>495</v>
      </c>
      <c r="AF510" s="350">
        <v>522905.78523168759</v>
      </c>
      <c r="AG510" s="350">
        <v>521021.39920014207</v>
      </c>
      <c r="AH510" s="350">
        <v>518983.52809190995</v>
      </c>
      <c r="AI510" s="350">
        <v>516538.66545914841</v>
      </c>
      <c r="AJ510" s="350">
        <v>513462.23219662596</v>
      </c>
      <c r="AK510" s="348">
        <v>2592911.6101795142</v>
      </c>
      <c r="AL510" s="369"/>
      <c r="AM510" s="350">
        <v>16756299.756089456</v>
      </c>
      <c r="AN510" s="350">
        <v>16611270.109837102</v>
      </c>
      <c r="AO510" s="350">
        <v>16451980.77481309</v>
      </c>
      <c r="AP510" s="350">
        <v>16246721.255763348</v>
      </c>
      <c r="AQ510" s="350">
        <v>15968350.87304035</v>
      </c>
      <c r="AR510" s="348">
        <v>82034622.76954335</v>
      </c>
      <c r="AS510" s="369"/>
      <c r="AT510" s="350">
        <f t="shared" si="219"/>
        <v>16233393.970857769</v>
      </c>
      <c r="AU510" s="350">
        <f t="shared" si="202"/>
        <v>16090248.71063696</v>
      </c>
      <c r="AV510" s="350">
        <f t="shared" si="203"/>
        <v>15932997.24672118</v>
      </c>
      <c r="AW510" s="350">
        <f t="shared" si="204"/>
        <v>15730182.5903042</v>
      </c>
      <c r="AX510" s="350">
        <f t="shared" si="205"/>
        <v>15454888.640843725</v>
      </c>
      <c r="AY510" s="350">
        <f t="shared" si="206"/>
        <v>79441711.159363836</v>
      </c>
      <c r="AZ510" s="365"/>
      <c r="BA510" s="377">
        <f t="shared" si="207"/>
        <v>0</v>
      </c>
      <c r="BB510" s="377">
        <f t="shared" si="208"/>
        <v>0</v>
      </c>
      <c r="BC510" s="377">
        <f t="shared" si="209"/>
        <v>0</v>
      </c>
      <c r="BD510" s="377">
        <f t="shared" si="210"/>
        <v>0</v>
      </c>
      <c r="BE510" s="377">
        <f t="shared" si="211"/>
        <v>0</v>
      </c>
      <c r="BF510" s="377">
        <f t="shared" si="212"/>
        <v>0</v>
      </c>
      <c r="BG510" s="328"/>
    </row>
    <row r="511" spans="2:59">
      <c r="B511" s="332">
        <v>496</v>
      </c>
      <c r="C511" s="350">
        <v>4876338.8874078728</v>
      </c>
      <c r="D511" s="350">
        <v>4858766.1139866682</v>
      </c>
      <c r="E511" s="350">
        <v>4839762.0210635168</v>
      </c>
      <c r="F511" s="350">
        <v>4816962.5434765089</v>
      </c>
      <c r="G511" s="350">
        <v>4788273.376945476</v>
      </c>
      <c r="H511" s="348">
        <v>24180102.942880046</v>
      </c>
      <c r="I511" s="369"/>
      <c r="J511" s="350">
        <v>17120997.901549838</v>
      </c>
      <c r="K511" s="350">
        <v>16771356.475481331</v>
      </c>
      <c r="L511" s="350">
        <v>16411258.725927008</v>
      </c>
      <c r="M511" s="350">
        <v>16014810.281487785</v>
      </c>
      <c r="N511" s="350">
        <v>15560246.240143191</v>
      </c>
      <c r="O511" s="348">
        <v>81878669.62458916</v>
      </c>
      <c r="P511" s="369"/>
      <c r="Q511" s="350">
        <f t="shared" si="213"/>
        <v>12244659.014141966</v>
      </c>
      <c r="R511" s="350">
        <f t="shared" si="214"/>
        <v>11912590.361494664</v>
      </c>
      <c r="S511" s="350">
        <f t="shared" si="215"/>
        <v>11571496.704863492</v>
      </c>
      <c r="T511" s="350">
        <f t="shared" si="216"/>
        <v>11197847.738011276</v>
      </c>
      <c r="U511" s="350">
        <f t="shared" si="217"/>
        <v>10771972.863197714</v>
      </c>
      <c r="V511" s="350">
        <f t="shared" si="218"/>
        <v>57698566.681709111</v>
      </c>
      <c r="W511" s="365"/>
      <c r="X511" s="377">
        <f t="shared" si="196"/>
        <v>0</v>
      </c>
      <c r="Y511" s="377">
        <f t="shared" si="197"/>
        <v>0</v>
      </c>
      <c r="Z511" s="377">
        <f t="shared" si="198"/>
        <v>0</v>
      </c>
      <c r="AA511" s="377">
        <f t="shared" si="199"/>
        <v>0</v>
      </c>
      <c r="AB511" s="377">
        <f t="shared" si="200"/>
        <v>0</v>
      </c>
      <c r="AC511" s="377">
        <f t="shared" si="201"/>
        <v>0</v>
      </c>
      <c r="AD511" s="376"/>
      <c r="AE511" s="332">
        <v>496</v>
      </c>
      <c r="AF511" s="350">
        <v>295832.1339097633</v>
      </c>
      <c r="AG511" s="350">
        <v>294766.0490498016</v>
      </c>
      <c r="AH511" s="350">
        <v>293613.13054018095</v>
      </c>
      <c r="AI511" s="350">
        <v>292229.95798750845</v>
      </c>
      <c r="AJ511" s="350">
        <v>290489.47654211824</v>
      </c>
      <c r="AK511" s="348">
        <v>1466930.7480293727</v>
      </c>
      <c r="AL511" s="369"/>
      <c r="AM511" s="350">
        <v>7830801.822678498</v>
      </c>
      <c r="AN511" s="350">
        <v>7760636.8657201827</v>
      </c>
      <c r="AO511" s="350">
        <v>7683856.6141468417</v>
      </c>
      <c r="AP511" s="350">
        <v>7585718.7600703156</v>
      </c>
      <c r="AQ511" s="350">
        <v>7453610.231859575</v>
      </c>
      <c r="AR511" s="348">
        <v>38314624.294475414</v>
      </c>
      <c r="AS511" s="369"/>
      <c r="AT511" s="350">
        <f t="shared" si="219"/>
        <v>7534969.6887687352</v>
      </c>
      <c r="AU511" s="350">
        <f t="shared" si="202"/>
        <v>7465870.8166703815</v>
      </c>
      <c r="AV511" s="350">
        <f t="shared" si="203"/>
        <v>7390243.4836066607</v>
      </c>
      <c r="AW511" s="350">
        <f t="shared" si="204"/>
        <v>7293488.8020828068</v>
      </c>
      <c r="AX511" s="350">
        <f t="shared" si="205"/>
        <v>7163120.755317457</v>
      </c>
      <c r="AY511" s="350">
        <f t="shared" si="206"/>
        <v>36847693.54644604</v>
      </c>
      <c r="AZ511" s="365"/>
      <c r="BA511" s="377">
        <f t="shared" si="207"/>
        <v>0</v>
      </c>
      <c r="BB511" s="377">
        <f t="shared" si="208"/>
        <v>0</v>
      </c>
      <c r="BC511" s="377">
        <f t="shared" si="209"/>
        <v>0</v>
      </c>
      <c r="BD511" s="377">
        <f t="shared" si="210"/>
        <v>0</v>
      </c>
      <c r="BE511" s="377">
        <f t="shared" si="211"/>
        <v>0</v>
      </c>
      <c r="BF511" s="377">
        <f t="shared" si="212"/>
        <v>0</v>
      </c>
      <c r="BG511" s="328"/>
    </row>
    <row r="512" spans="2:59">
      <c r="B512" s="332">
        <v>497</v>
      </c>
      <c r="C512" s="350">
        <v>3254170.346142889</v>
      </c>
      <c r="D512" s="350">
        <v>3242443.3518779003</v>
      </c>
      <c r="E512" s="350">
        <v>3229761.1825140035</v>
      </c>
      <c r="F512" s="350">
        <v>3214546.2055437239</v>
      </c>
      <c r="G512" s="350">
        <v>3195400.8103740141</v>
      </c>
      <c r="H512" s="348">
        <v>16136321.896452531</v>
      </c>
      <c r="I512" s="369"/>
      <c r="J512" s="350">
        <v>9613705.1476971731</v>
      </c>
      <c r="K512" s="350">
        <v>9393434.1572084408</v>
      </c>
      <c r="L512" s="350">
        <v>9167780.6744806059</v>
      </c>
      <c r="M512" s="350">
        <v>8922977.8495560177</v>
      </c>
      <c r="N512" s="350">
        <v>8647513.4400509708</v>
      </c>
      <c r="O512" s="348">
        <v>45745411.268993214</v>
      </c>
      <c r="P512" s="369"/>
      <c r="Q512" s="350">
        <f t="shared" si="213"/>
        <v>6359534.8015542841</v>
      </c>
      <c r="R512" s="350">
        <f t="shared" si="214"/>
        <v>6150990.805330541</v>
      </c>
      <c r="S512" s="350">
        <f t="shared" si="215"/>
        <v>5938019.4919666024</v>
      </c>
      <c r="T512" s="350">
        <f t="shared" si="216"/>
        <v>5708431.6440122938</v>
      </c>
      <c r="U512" s="350">
        <f t="shared" si="217"/>
        <v>5452112.6296769567</v>
      </c>
      <c r="V512" s="350">
        <f t="shared" si="218"/>
        <v>29609089.372540683</v>
      </c>
      <c r="W512" s="365"/>
      <c r="X512" s="377">
        <f t="shared" si="196"/>
        <v>0</v>
      </c>
      <c r="Y512" s="377">
        <f t="shared" si="197"/>
        <v>0</v>
      </c>
      <c r="Z512" s="377">
        <f t="shared" si="198"/>
        <v>0</v>
      </c>
      <c r="AA512" s="377">
        <f t="shared" si="199"/>
        <v>0</v>
      </c>
      <c r="AB512" s="377">
        <f t="shared" si="200"/>
        <v>0</v>
      </c>
      <c r="AC512" s="377">
        <f t="shared" si="201"/>
        <v>0</v>
      </c>
      <c r="AD512" s="376"/>
      <c r="AE512" s="332">
        <v>497</v>
      </c>
      <c r="AF512" s="350">
        <v>600556.78159745154</v>
      </c>
      <c r="AG512" s="350">
        <v>598392.56608797715</v>
      </c>
      <c r="AH512" s="350">
        <v>596052.07311843033</v>
      </c>
      <c r="AI512" s="350">
        <v>593244.1507820409</v>
      </c>
      <c r="AJ512" s="350">
        <v>589710.87019666529</v>
      </c>
      <c r="AK512" s="348">
        <v>2977956.4417825653</v>
      </c>
      <c r="AL512" s="369"/>
      <c r="AM512" s="350">
        <v>18480327.419338148</v>
      </c>
      <c r="AN512" s="350">
        <v>18319269.358716488</v>
      </c>
      <c r="AO512" s="350">
        <v>18142507.049725518</v>
      </c>
      <c r="AP512" s="350">
        <v>17915103.095175523</v>
      </c>
      <c r="AQ512" s="350">
        <v>17607157.129106749</v>
      </c>
      <c r="AR512" s="348">
        <v>90464364.052062422</v>
      </c>
      <c r="AS512" s="369"/>
      <c r="AT512" s="350">
        <f t="shared" si="219"/>
        <v>17879770.637740698</v>
      </c>
      <c r="AU512" s="350">
        <f t="shared" si="202"/>
        <v>17720876.792628512</v>
      </c>
      <c r="AV512" s="350">
        <f t="shared" si="203"/>
        <v>17546454.976607088</v>
      </c>
      <c r="AW512" s="350">
        <f t="shared" si="204"/>
        <v>17321858.944393482</v>
      </c>
      <c r="AX512" s="350">
        <f t="shared" si="205"/>
        <v>17017446.258910082</v>
      </c>
      <c r="AY512" s="350">
        <f t="shared" si="206"/>
        <v>87486407.610279858</v>
      </c>
      <c r="AZ512" s="365"/>
      <c r="BA512" s="377">
        <f t="shared" si="207"/>
        <v>0</v>
      </c>
      <c r="BB512" s="377">
        <f t="shared" si="208"/>
        <v>0</v>
      </c>
      <c r="BC512" s="377">
        <f t="shared" si="209"/>
        <v>0</v>
      </c>
      <c r="BD512" s="377">
        <f t="shared" si="210"/>
        <v>0</v>
      </c>
      <c r="BE512" s="377">
        <f t="shared" si="211"/>
        <v>0</v>
      </c>
      <c r="BF512" s="377">
        <f t="shared" si="212"/>
        <v>0</v>
      </c>
      <c r="BG512" s="328"/>
    </row>
    <row r="513" spans="2:59">
      <c r="B513" s="332">
        <v>498</v>
      </c>
      <c r="C513" s="350">
        <v>5869920.5229630927</v>
      </c>
      <c r="D513" s="350">
        <v>5848767.1975416634</v>
      </c>
      <c r="E513" s="350">
        <v>5825890.9131722618</v>
      </c>
      <c r="F513" s="350">
        <v>5798445.9130418571</v>
      </c>
      <c r="G513" s="350">
        <v>5763911.1665249411</v>
      </c>
      <c r="H513" s="348">
        <v>29106935.71324382</v>
      </c>
      <c r="I513" s="369"/>
      <c r="J513" s="350">
        <v>20724491.727363586</v>
      </c>
      <c r="K513" s="350">
        <v>20302780.081695385</v>
      </c>
      <c r="L513" s="350">
        <v>19868380.317504931</v>
      </c>
      <c r="M513" s="350">
        <v>19389898.941537175</v>
      </c>
      <c r="N513" s="350">
        <v>18840945.140119243</v>
      </c>
      <c r="O513" s="348">
        <v>99126496.208220318</v>
      </c>
      <c r="P513" s="369"/>
      <c r="Q513" s="350">
        <f t="shared" si="213"/>
        <v>14854571.204400495</v>
      </c>
      <c r="R513" s="350">
        <f t="shared" si="214"/>
        <v>14454012.884153722</v>
      </c>
      <c r="S513" s="350">
        <f t="shared" si="215"/>
        <v>14042489.404332669</v>
      </c>
      <c r="T513" s="350">
        <f t="shared" si="216"/>
        <v>13591453.028495319</v>
      </c>
      <c r="U513" s="350">
        <f t="shared" si="217"/>
        <v>13077033.973594302</v>
      </c>
      <c r="V513" s="350">
        <f t="shared" si="218"/>
        <v>70019560.494976491</v>
      </c>
      <c r="W513" s="365"/>
      <c r="X513" s="377">
        <f t="shared" si="196"/>
        <v>0</v>
      </c>
      <c r="Y513" s="377">
        <f t="shared" si="197"/>
        <v>0</v>
      </c>
      <c r="Z513" s="377">
        <f t="shared" si="198"/>
        <v>0</v>
      </c>
      <c r="AA513" s="377">
        <f t="shared" si="199"/>
        <v>0</v>
      </c>
      <c r="AB513" s="377">
        <f t="shared" si="200"/>
        <v>0</v>
      </c>
      <c r="AC513" s="377">
        <f t="shared" si="201"/>
        <v>0</v>
      </c>
      <c r="AD513" s="376"/>
      <c r="AE513" s="332">
        <v>498</v>
      </c>
      <c r="AF513" s="350">
        <v>382576.7640772122</v>
      </c>
      <c r="AG513" s="350">
        <v>381198.07917721319</v>
      </c>
      <c r="AH513" s="350">
        <v>379707.0990499836</v>
      </c>
      <c r="AI513" s="350">
        <v>377918.3492195704</v>
      </c>
      <c r="AJ513" s="350">
        <v>375667.51949896634</v>
      </c>
      <c r="AK513" s="348">
        <v>1897067.8110229457</v>
      </c>
      <c r="AL513" s="369"/>
      <c r="AM513" s="350">
        <v>11720456.466354249</v>
      </c>
      <c r="AN513" s="350">
        <v>11618232.723075662</v>
      </c>
      <c r="AO513" s="350">
        <v>11506050.754536014</v>
      </c>
      <c r="AP513" s="350">
        <v>11361755.364775211</v>
      </c>
      <c r="AQ513" s="350">
        <v>11166385.695637014</v>
      </c>
      <c r="AR513" s="348">
        <v>57372881.004378155</v>
      </c>
      <c r="AS513" s="369"/>
      <c r="AT513" s="350">
        <f t="shared" si="219"/>
        <v>11337879.702277036</v>
      </c>
      <c r="AU513" s="350">
        <f t="shared" si="202"/>
        <v>11237034.643898448</v>
      </c>
      <c r="AV513" s="350">
        <f t="shared" si="203"/>
        <v>11126343.655486031</v>
      </c>
      <c r="AW513" s="350">
        <f t="shared" si="204"/>
        <v>10983837.015555641</v>
      </c>
      <c r="AX513" s="350">
        <f t="shared" si="205"/>
        <v>10790718.176138047</v>
      </c>
      <c r="AY513" s="350">
        <f t="shared" si="206"/>
        <v>55475813.19335521</v>
      </c>
      <c r="AZ513" s="365"/>
      <c r="BA513" s="377">
        <f t="shared" si="207"/>
        <v>0</v>
      </c>
      <c r="BB513" s="377">
        <f t="shared" si="208"/>
        <v>0</v>
      </c>
      <c r="BC513" s="377">
        <f t="shared" si="209"/>
        <v>0</v>
      </c>
      <c r="BD513" s="377">
        <f t="shared" si="210"/>
        <v>0</v>
      </c>
      <c r="BE513" s="377">
        <f t="shared" si="211"/>
        <v>0</v>
      </c>
      <c r="BF513" s="377">
        <f t="shared" si="212"/>
        <v>0</v>
      </c>
      <c r="BG513" s="328"/>
    </row>
    <row r="514" spans="2:59">
      <c r="B514" s="332">
        <v>499</v>
      </c>
      <c r="C514" s="350">
        <v>3819783.4917236129</v>
      </c>
      <c r="D514" s="350">
        <v>3806018.2076922953</v>
      </c>
      <c r="E514" s="350">
        <v>3791131.7278763661</v>
      </c>
      <c r="F514" s="350">
        <v>3773272.2086514682</v>
      </c>
      <c r="G514" s="350">
        <v>3750799.1182373604</v>
      </c>
      <c r="H514" s="348">
        <v>18941004.754181102</v>
      </c>
      <c r="I514" s="369"/>
      <c r="J514" s="350">
        <v>14318965.505429316</v>
      </c>
      <c r="K514" s="350">
        <v>14038539.625733484</v>
      </c>
      <c r="L514" s="350">
        <v>13749123.812288716</v>
      </c>
      <c r="M514" s="350">
        <v>13428674.248682991</v>
      </c>
      <c r="N514" s="350">
        <v>13058632.892352082</v>
      </c>
      <c r="O514" s="348">
        <v>68593936.084486589</v>
      </c>
      <c r="P514" s="369"/>
      <c r="Q514" s="350">
        <f t="shared" si="213"/>
        <v>10499182.013705704</v>
      </c>
      <c r="R514" s="350">
        <f t="shared" si="214"/>
        <v>10232521.418041188</v>
      </c>
      <c r="S514" s="350">
        <f t="shared" si="215"/>
        <v>9957992.0844123513</v>
      </c>
      <c r="T514" s="350">
        <f t="shared" si="216"/>
        <v>9655402.0400315225</v>
      </c>
      <c r="U514" s="350">
        <f t="shared" si="217"/>
        <v>9307833.7741147205</v>
      </c>
      <c r="V514" s="350">
        <f t="shared" si="218"/>
        <v>49652931.330305487</v>
      </c>
      <c r="W514" s="365"/>
      <c r="X514" s="377">
        <f t="shared" si="196"/>
        <v>0</v>
      </c>
      <c r="Y514" s="377">
        <f t="shared" si="197"/>
        <v>0</v>
      </c>
      <c r="Z514" s="377">
        <f t="shared" si="198"/>
        <v>0</v>
      </c>
      <c r="AA514" s="377">
        <f t="shared" si="199"/>
        <v>0</v>
      </c>
      <c r="AB514" s="377">
        <f t="shared" si="200"/>
        <v>0</v>
      </c>
      <c r="AC514" s="377">
        <f t="shared" si="201"/>
        <v>0</v>
      </c>
      <c r="AD514" s="376"/>
      <c r="AE514" s="332">
        <v>499</v>
      </c>
      <c r="AF514" s="350">
        <v>293599.40817543876</v>
      </c>
      <c r="AG514" s="350">
        <v>292541.369348443</v>
      </c>
      <c r="AH514" s="350">
        <v>291397.15222900599</v>
      </c>
      <c r="AI514" s="350">
        <v>290024.41885652853</v>
      </c>
      <c r="AJ514" s="350">
        <v>288297.07329892</v>
      </c>
      <c r="AK514" s="348">
        <v>1455859.4219083362</v>
      </c>
      <c r="AL514" s="369"/>
      <c r="AM514" s="350">
        <v>9421360.9314323775</v>
      </c>
      <c r="AN514" s="350">
        <v>9339835.8270850759</v>
      </c>
      <c r="AO514" s="350">
        <v>9250292.7139188834</v>
      </c>
      <c r="AP514" s="350">
        <v>9134901.5052541401</v>
      </c>
      <c r="AQ514" s="350">
        <v>8978401.579851307</v>
      </c>
      <c r="AR514" s="348">
        <v>46124792.55754178</v>
      </c>
      <c r="AS514" s="369"/>
      <c r="AT514" s="350">
        <f t="shared" si="219"/>
        <v>9127761.5232569389</v>
      </c>
      <c r="AU514" s="350">
        <f t="shared" si="202"/>
        <v>9047294.4577366337</v>
      </c>
      <c r="AV514" s="350">
        <f t="shared" si="203"/>
        <v>8958895.5616898779</v>
      </c>
      <c r="AW514" s="350">
        <f t="shared" si="204"/>
        <v>8844877.0863976125</v>
      </c>
      <c r="AX514" s="350">
        <f t="shared" si="205"/>
        <v>8690104.506552387</v>
      </c>
      <c r="AY514" s="350">
        <f t="shared" si="206"/>
        <v>44668933.135633446</v>
      </c>
      <c r="AZ514" s="365"/>
      <c r="BA514" s="377">
        <f t="shared" si="207"/>
        <v>0</v>
      </c>
      <c r="BB514" s="377">
        <f t="shared" si="208"/>
        <v>0</v>
      </c>
      <c r="BC514" s="377">
        <f t="shared" si="209"/>
        <v>0</v>
      </c>
      <c r="BD514" s="377">
        <f t="shared" si="210"/>
        <v>0</v>
      </c>
      <c r="BE514" s="377">
        <f t="shared" si="211"/>
        <v>0</v>
      </c>
      <c r="BF514" s="377">
        <f t="shared" si="212"/>
        <v>0</v>
      </c>
      <c r="BG514" s="328"/>
    </row>
    <row r="515" spans="2:59">
      <c r="B515" s="332">
        <v>500</v>
      </c>
      <c r="C515" s="350">
        <v>7649725.2190299761</v>
      </c>
      <c r="D515" s="350">
        <v>7622158.0439192317</v>
      </c>
      <c r="E515" s="350">
        <v>7592345.4955595564</v>
      </c>
      <c r="F515" s="350">
        <v>7556578.9619561564</v>
      </c>
      <c r="G515" s="350">
        <v>7511573.0167598296</v>
      </c>
      <c r="H515" s="348">
        <v>37932380.73722475</v>
      </c>
      <c r="I515" s="369"/>
      <c r="J515" s="350">
        <v>22826113.896844242</v>
      </c>
      <c r="K515" s="350">
        <v>22306678.711176336</v>
      </c>
      <c r="L515" s="350">
        <v>21774390.99479067</v>
      </c>
      <c r="M515" s="350">
        <v>21196448.688709095</v>
      </c>
      <c r="N515" s="350">
        <v>20545412.459341951</v>
      </c>
      <c r="O515" s="348">
        <v>108649044.7508623</v>
      </c>
      <c r="P515" s="369"/>
      <c r="Q515" s="350">
        <f t="shared" si="213"/>
        <v>15176388.677814266</v>
      </c>
      <c r="R515" s="350">
        <f t="shared" si="214"/>
        <v>14684520.667257104</v>
      </c>
      <c r="S515" s="350">
        <f t="shared" si="215"/>
        <v>14182045.499231113</v>
      </c>
      <c r="T515" s="350">
        <f t="shared" si="216"/>
        <v>13639869.726752939</v>
      </c>
      <c r="U515" s="350">
        <f t="shared" si="217"/>
        <v>13033839.442582121</v>
      </c>
      <c r="V515" s="350">
        <f t="shared" si="218"/>
        <v>70716664.013637543</v>
      </c>
      <c r="W515" s="365"/>
      <c r="X515" s="377">
        <f t="shared" si="196"/>
        <v>0</v>
      </c>
      <c r="Y515" s="377">
        <f t="shared" si="197"/>
        <v>0</v>
      </c>
      <c r="Z515" s="377">
        <f t="shared" si="198"/>
        <v>0</v>
      </c>
      <c r="AA515" s="377">
        <f t="shared" si="199"/>
        <v>0</v>
      </c>
      <c r="AB515" s="377">
        <f t="shared" si="200"/>
        <v>0</v>
      </c>
      <c r="AC515" s="377">
        <f t="shared" si="201"/>
        <v>0</v>
      </c>
      <c r="AD515" s="376"/>
      <c r="AE515" s="332">
        <v>500</v>
      </c>
      <c r="AF515" s="350">
        <v>622383.4126749516</v>
      </c>
      <c r="AG515" s="350">
        <v>620140.54093355208</v>
      </c>
      <c r="AH515" s="350">
        <v>617714.98510541918</v>
      </c>
      <c r="AI515" s="350">
        <v>614805.01166111033</v>
      </c>
      <c r="AJ515" s="350">
        <v>611143.31755316118</v>
      </c>
      <c r="AK515" s="348">
        <v>3086187.2679281943</v>
      </c>
      <c r="AL515" s="369"/>
      <c r="AM515" s="350">
        <v>19815570.470685858</v>
      </c>
      <c r="AN515" s="350">
        <v>19643876.152729034</v>
      </c>
      <c r="AO515" s="350">
        <v>19455322.490094356</v>
      </c>
      <c r="AP515" s="350">
        <v>19212415.470528599</v>
      </c>
      <c r="AQ515" s="350">
        <v>18883064.730215624</v>
      </c>
      <c r="AR515" s="348">
        <v>97010249.314253464</v>
      </c>
      <c r="AS515" s="369"/>
      <c r="AT515" s="350">
        <f t="shared" si="219"/>
        <v>19193187.058010906</v>
      </c>
      <c r="AU515" s="350">
        <f t="shared" si="202"/>
        <v>19023735.611795481</v>
      </c>
      <c r="AV515" s="350">
        <f t="shared" si="203"/>
        <v>18837607.504988939</v>
      </c>
      <c r="AW515" s="350">
        <f t="shared" si="204"/>
        <v>18597610.45886749</v>
      </c>
      <c r="AX515" s="350">
        <f t="shared" si="205"/>
        <v>18271921.412662461</v>
      </c>
      <c r="AY515" s="350">
        <f t="shared" si="206"/>
        <v>93924062.046325266</v>
      </c>
      <c r="AZ515" s="365"/>
      <c r="BA515" s="377">
        <f t="shared" si="207"/>
        <v>0</v>
      </c>
      <c r="BB515" s="377">
        <f t="shared" si="208"/>
        <v>0</v>
      </c>
      <c r="BC515" s="377">
        <f t="shared" si="209"/>
        <v>0</v>
      </c>
      <c r="BD515" s="377">
        <f t="shared" si="210"/>
        <v>0</v>
      </c>
      <c r="BE515" s="377">
        <f t="shared" si="211"/>
        <v>0</v>
      </c>
      <c r="BF515" s="377">
        <f t="shared" si="212"/>
        <v>0</v>
      </c>
      <c r="BG515" s="328"/>
    </row>
    <row r="516" spans="2:59">
      <c r="B516" s="332">
        <v>501</v>
      </c>
      <c r="C516" s="350">
        <v>5182562.7539465297</v>
      </c>
      <c r="D516" s="350">
        <v>5163886.4471682087</v>
      </c>
      <c r="E516" s="350">
        <v>5143688.9370217361</v>
      </c>
      <c r="F516" s="350">
        <v>5119457.7000055825</v>
      </c>
      <c r="G516" s="350">
        <v>5088966.9139182074</v>
      </c>
      <c r="H516" s="348">
        <v>25698562.752060264</v>
      </c>
      <c r="I516" s="369"/>
      <c r="J516" s="350">
        <v>15689900.060846692</v>
      </c>
      <c r="K516" s="350">
        <v>15336365.417130327</v>
      </c>
      <c r="L516" s="350">
        <v>14973924.753048353</v>
      </c>
      <c r="M516" s="350">
        <v>14579917.758597087</v>
      </c>
      <c r="N516" s="350">
        <v>14135379.67882112</v>
      </c>
      <c r="O516" s="348">
        <v>74715487.668443576</v>
      </c>
      <c r="P516" s="369"/>
      <c r="Q516" s="350">
        <f t="shared" si="213"/>
        <v>10507337.306900162</v>
      </c>
      <c r="R516" s="350">
        <f t="shared" si="214"/>
        <v>10172478.969962118</v>
      </c>
      <c r="S516" s="350">
        <f t="shared" si="215"/>
        <v>9830235.8160266168</v>
      </c>
      <c r="T516" s="350">
        <f t="shared" si="216"/>
        <v>9460460.0585915036</v>
      </c>
      <c r="U516" s="350">
        <f t="shared" si="217"/>
        <v>9046412.7649029121</v>
      </c>
      <c r="V516" s="350">
        <f t="shared" si="218"/>
        <v>49016924.916383311</v>
      </c>
      <c r="W516" s="365"/>
      <c r="X516" s="377">
        <f t="shared" si="196"/>
        <v>0</v>
      </c>
      <c r="Y516" s="377">
        <f t="shared" si="197"/>
        <v>0</v>
      </c>
      <c r="Z516" s="377">
        <f t="shared" si="198"/>
        <v>0</v>
      </c>
      <c r="AA516" s="377">
        <f t="shared" si="199"/>
        <v>0</v>
      </c>
      <c r="AB516" s="377">
        <f t="shared" si="200"/>
        <v>0</v>
      </c>
      <c r="AC516" s="377">
        <f t="shared" si="201"/>
        <v>0</v>
      </c>
      <c r="AD516" s="376"/>
      <c r="AE516" s="332">
        <v>501</v>
      </c>
      <c r="AF516" s="350">
        <v>279029.33390177612</v>
      </c>
      <c r="AG516" s="350">
        <v>278023.80098543433</v>
      </c>
      <c r="AH516" s="350">
        <v>276936.36643418786</v>
      </c>
      <c r="AI516" s="350">
        <v>275631.75590745866</v>
      </c>
      <c r="AJ516" s="350">
        <v>273990.13107124745</v>
      </c>
      <c r="AK516" s="348">
        <v>1383611.3883001043</v>
      </c>
      <c r="AL516" s="369"/>
      <c r="AM516" s="350">
        <v>6884523.1435669307</v>
      </c>
      <c r="AN516" s="350">
        <v>6821957.9490647931</v>
      </c>
      <c r="AO516" s="350">
        <v>6753594.8054899899</v>
      </c>
      <c r="AP516" s="350">
        <v>6666501.2630815506</v>
      </c>
      <c r="AQ516" s="350">
        <v>6549614.4548304612</v>
      </c>
      <c r="AR516" s="348">
        <v>33676191.616033725</v>
      </c>
      <c r="AS516" s="369"/>
      <c r="AT516" s="350">
        <f t="shared" si="219"/>
        <v>6605493.8096651547</v>
      </c>
      <c r="AU516" s="350">
        <f t="shared" si="202"/>
        <v>6543934.148079359</v>
      </c>
      <c r="AV516" s="350">
        <f t="shared" si="203"/>
        <v>6476658.4390558023</v>
      </c>
      <c r="AW516" s="350">
        <f t="shared" si="204"/>
        <v>6390869.5071740923</v>
      </c>
      <c r="AX516" s="350">
        <f t="shared" si="205"/>
        <v>6275624.323759214</v>
      </c>
      <c r="AY516" s="350">
        <f t="shared" si="206"/>
        <v>32292580.22773362</v>
      </c>
      <c r="AZ516" s="365"/>
      <c r="BA516" s="377">
        <f t="shared" si="207"/>
        <v>0</v>
      </c>
      <c r="BB516" s="377">
        <f t="shared" si="208"/>
        <v>0</v>
      </c>
      <c r="BC516" s="377">
        <f t="shared" si="209"/>
        <v>0</v>
      </c>
      <c r="BD516" s="377">
        <f t="shared" si="210"/>
        <v>0</v>
      </c>
      <c r="BE516" s="377">
        <f t="shared" si="211"/>
        <v>0</v>
      </c>
      <c r="BF516" s="377">
        <f t="shared" si="212"/>
        <v>0</v>
      </c>
      <c r="BG516" s="328"/>
    </row>
    <row r="517" spans="2:59">
      <c r="B517" s="332">
        <v>502</v>
      </c>
      <c r="C517" s="350">
        <v>7660100.7983626015</v>
      </c>
      <c r="D517" s="350">
        <v>7632496.2329660449</v>
      </c>
      <c r="E517" s="350">
        <v>7602643.2488453742</v>
      </c>
      <c r="F517" s="350">
        <v>7566828.203890753</v>
      </c>
      <c r="G517" s="350">
        <v>7521761.215618833</v>
      </c>
      <c r="H517" s="348">
        <v>37983829.699683607</v>
      </c>
      <c r="I517" s="369"/>
      <c r="J517" s="350">
        <v>25647507.542994119</v>
      </c>
      <c r="K517" s="350">
        <v>25107256.159100533</v>
      </c>
      <c r="L517" s="350">
        <v>24551677.639418609</v>
      </c>
      <c r="M517" s="350">
        <v>23942514.188387975</v>
      </c>
      <c r="N517" s="350">
        <v>23247649.84866789</v>
      </c>
      <c r="O517" s="348">
        <v>122496605.37856913</v>
      </c>
      <c r="P517" s="369"/>
      <c r="Q517" s="350">
        <f t="shared" si="213"/>
        <v>17987406.744631518</v>
      </c>
      <c r="R517" s="350">
        <f t="shared" si="214"/>
        <v>17474759.926134489</v>
      </c>
      <c r="S517" s="350">
        <f t="shared" si="215"/>
        <v>16949034.390573233</v>
      </c>
      <c r="T517" s="350">
        <f t="shared" si="216"/>
        <v>16375685.984497223</v>
      </c>
      <c r="U517" s="350">
        <f t="shared" si="217"/>
        <v>15725888.633049056</v>
      </c>
      <c r="V517" s="350">
        <f t="shared" si="218"/>
        <v>84512775.67888552</v>
      </c>
      <c r="W517" s="365"/>
      <c r="X517" s="377">
        <f t="shared" si="196"/>
        <v>0</v>
      </c>
      <c r="Y517" s="377">
        <f t="shared" si="197"/>
        <v>0</v>
      </c>
      <c r="Z517" s="377">
        <f t="shared" si="198"/>
        <v>0</v>
      </c>
      <c r="AA517" s="377">
        <f t="shared" si="199"/>
        <v>0</v>
      </c>
      <c r="AB517" s="377">
        <f t="shared" si="200"/>
        <v>0</v>
      </c>
      <c r="AC517" s="377">
        <f t="shared" si="201"/>
        <v>0</v>
      </c>
      <c r="AD517" s="376"/>
      <c r="AE517" s="332">
        <v>502</v>
      </c>
      <c r="AF517" s="350">
        <v>504151.77377225697</v>
      </c>
      <c r="AG517" s="350">
        <v>502334.97122941568</v>
      </c>
      <c r="AH517" s="350">
        <v>500370.18835083436</v>
      </c>
      <c r="AI517" s="350">
        <v>498013.01069522626</v>
      </c>
      <c r="AJ517" s="350">
        <v>495046.91368502524</v>
      </c>
      <c r="AK517" s="348">
        <v>2499916.8577327584</v>
      </c>
      <c r="AL517" s="369"/>
      <c r="AM517" s="350">
        <v>13515195.937874882</v>
      </c>
      <c r="AN517" s="350">
        <v>13394396.222020486</v>
      </c>
      <c r="AO517" s="350">
        <v>13262173.068865864</v>
      </c>
      <c r="AP517" s="350">
        <v>13093073.07267273</v>
      </c>
      <c r="AQ517" s="350">
        <v>12865318.479477666</v>
      </c>
      <c r="AR517" s="348">
        <v>66130156.780911632</v>
      </c>
      <c r="AS517" s="369"/>
      <c r="AT517" s="350">
        <f t="shared" si="219"/>
        <v>13011044.164102625</v>
      </c>
      <c r="AU517" s="350">
        <f t="shared" si="202"/>
        <v>12892061.250791071</v>
      </c>
      <c r="AV517" s="350">
        <f t="shared" si="203"/>
        <v>12761802.88051503</v>
      </c>
      <c r="AW517" s="350">
        <f t="shared" si="204"/>
        <v>12595060.061977504</v>
      </c>
      <c r="AX517" s="350">
        <f t="shared" si="205"/>
        <v>12370271.565792641</v>
      </c>
      <c r="AY517" s="350">
        <f t="shared" si="206"/>
        <v>63630239.923178874</v>
      </c>
      <c r="AZ517" s="365"/>
      <c r="BA517" s="377">
        <f t="shared" si="207"/>
        <v>0</v>
      </c>
      <c r="BB517" s="377">
        <f t="shared" si="208"/>
        <v>0</v>
      </c>
      <c r="BC517" s="377">
        <f t="shared" si="209"/>
        <v>0</v>
      </c>
      <c r="BD517" s="377">
        <f t="shared" si="210"/>
        <v>0</v>
      </c>
      <c r="BE517" s="377">
        <f t="shared" si="211"/>
        <v>0</v>
      </c>
      <c r="BF517" s="377">
        <f t="shared" si="212"/>
        <v>0</v>
      </c>
      <c r="BG517" s="328"/>
    </row>
    <row r="518" spans="2:59">
      <c r="B518" s="332">
        <v>503</v>
      </c>
      <c r="C518" s="350">
        <v>5324754.7969367765</v>
      </c>
      <c r="D518" s="350">
        <v>5305566.075289133</v>
      </c>
      <c r="E518" s="350">
        <v>5284814.4135834035</v>
      </c>
      <c r="F518" s="350">
        <v>5259918.3531470457</v>
      </c>
      <c r="G518" s="350">
        <v>5228591.0027242284</v>
      </c>
      <c r="H518" s="348">
        <v>26403644.641680591</v>
      </c>
      <c r="I518" s="369"/>
      <c r="J518" s="350">
        <v>15406174.75049248</v>
      </c>
      <c r="K518" s="350">
        <v>15048087.83093782</v>
      </c>
      <c r="L518" s="350">
        <v>14681479.445925798</v>
      </c>
      <c r="M518" s="350">
        <v>14284452.555331016</v>
      </c>
      <c r="N518" s="350">
        <v>13838709.517694902</v>
      </c>
      <c r="O518" s="348">
        <v>73258904.100382015</v>
      </c>
      <c r="P518" s="369"/>
      <c r="Q518" s="350">
        <f t="shared" si="213"/>
        <v>10081419.953555703</v>
      </c>
      <c r="R518" s="350">
        <f t="shared" si="214"/>
        <v>9742521.7556486875</v>
      </c>
      <c r="S518" s="350">
        <f t="shared" si="215"/>
        <v>9396665.0323423948</v>
      </c>
      <c r="T518" s="350">
        <f t="shared" si="216"/>
        <v>9024534.2021839693</v>
      </c>
      <c r="U518" s="350">
        <f t="shared" si="217"/>
        <v>8610118.5149706732</v>
      </c>
      <c r="V518" s="350">
        <f t="shared" si="218"/>
        <v>46855259.458701424</v>
      </c>
      <c r="W518" s="365"/>
      <c r="X518" s="377">
        <f t="shared" si="196"/>
        <v>0</v>
      </c>
      <c r="Y518" s="377">
        <f t="shared" si="197"/>
        <v>0</v>
      </c>
      <c r="Z518" s="377">
        <f t="shared" si="198"/>
        <v>0</v>
      </c>
      <c r="AA518" s="377">
        <f t="shared" si="199"/>
        <v>0</v>
      </c>
      <c r="AB518" s="377">
        <f t="shared" si="200"/>
        <v>0</v>
      </c>
      <c r="AC518" s="377">
        <f t="shared" si="201"/>
        <v>0</v>
      </c>
      <c r="AD518" s="376"/>
      <c r="AE518" s="332">
        <v>503</v>
      </c>
      <c r="AF518" s="350">
        <v>573666.33407612087</v>
      </c>
      <c r="AG518" s="350">
        <v>571599.02318144008</v>
      </c>
      <c r="AH518" s="350">
        <v>569363.32780189638</v>
      </c>
      <c r="AI518" s="350">
        <v>566681.13260829262</v>
      </c>
      <c r="AJ518" s="350">
        <v>563306.05770649354</v>
      </c>
      <c r="AK518" s="348">
        <v>2844615.8753742431</v>
      </c>
      <c r="AL518" s="369"/>
      <c r="AM518" s="350">
        <v>17469194.391082283</v>
      </c>
      <c r="AN518" s="350">
        <v>17316671.551489227</v>
      </c>
      <c r="AO518" s="350">
        <v>17149309.360685632</v>
      </c>
      <c r="AP518" s="350">
        <v>16934090.930299543</v>
      </c>
      <c r="AQ518" s="350">
        <v>16642760.064954424</v>
      </c>
      <c r="AR518" s="348">
        <v>85512026.298511118</v>
      </c>
      <c r="AS518" s="369"/>
      <c r="AT518" s="350">
        <f t="shared" si="219"/>
        <v>16895528.057006162</v>
      </c>
      <c r="AU518" s="350">
        <f t="shared" si="202"/>
        <v>16745072.528307786</v>
      </c>
      <c r="AV518" s="350">
        <f t="shared" si="203"/>
        <v>16579946.032883735</v>
      </c>
      <c r="AW518" s="350">
        <f t="shared" si="204"/>
        <v>16367409.79769125</v>
      </c>
      <c r="AX518" s="350">
        <f t="shared" si="205"/>
        <v>16079454.00724793</v>
      </c>
      <c r="AY518" s="350">
        <f t="shared" si="206"/>
        <v>82667410.423136875</v>
      </c>
      <c r="AZ518" s="365"/>
      <c r="BA518" s="377">
        <f t="shared" si="207"/>
        <v>0</v>
      </c>
      <c r="BB518" s="377">
        <f t="shared" si="208"/>
        <v>0</v>
      </c>
      <c r="BC518" s="377">
        <f t="shared" si="209"/>
        <v>0</v>
      </c>
      <c r="BD518" s="377">
        <f t="shared" si="210"/>
        <v>0</v>
      </c>
      <c r="BE518" s="377">
        <f t="shared" si="211"/>
        <v>0</v>
      </c>
      <c r="BF518" s="377">
        <f t="shared" si="212"/>
        <v>0</v>
      </c>
      <c r="BG518" s="328"/>
    </row>
    <row r="519" spans="2:59">
      <c r="B519" s="332">
        <v>504</v>
      </c>
      <c r="C519" s="350">
        <v>4638060.8207300026</v>
      </c>
      <c r="D519" s="350">
        <v>4621346.7256274391</v>
      </c>
      <c r="E519" s="350">
        <v>4603271.2512078928</v>
      </c>
      <c r="F519" s="350">
        <v>4581585.8503013905</v>
      </c>
      <c r="G519" s="350">
        <v>4554298.5549883861</v>
      </c>
      <c r="H519" s="348">
        <v>22998563.20285511</v>
      </c>
      <c r="I519" s="369"/>
      <c r="J519" s="350">
        <v>15940183.867460901</v>
      </c>
      <c r="K519" s="350">
        <v>15610108.222360671</v>
      </c>
      <c r="L519" s="350">
        <v>15270390.295173731</v>
      </c>
      <c r="M519" s="350">
        <v>14897068.519637154</v>
      </c>
      <c r="N519" s="350">
        <v>14470013.806434782</v>
      </c>
      <c r="O519" s="348">
        <v>76187764.71106723</v>
      </c>
      <c r="P519" s="369"/>
      <c r="Q519" s="350">
        <f t="shared" si="213"/>
        <v>11302123.046730898</v>
      </c>
      <c r="R519" s="350">
        <f t="shared" si="214"/>
        <v>10988761.496733231</v>
      </c>
      <c r="S519" s="350">
        <f t="shared" si="215"/>
        <v>10667119.043965839</v>
      </c>
      <c r="T519" s="350">
        <f t="shared" si="216"/>
        <v>10315482.669335764</v>
      </c>
      <c r="U519" s="350">
        <f t="shared" si="217"/>
        <v>9915715.2514463961</v>
      </c>
      <c r="V519" s="350">
        <f t="shared" si="218"/>
        <v>53189201.508212119</v>
      </c>
      <c r="W519" s="365"/>
      <c r="X519" s="377">
        <f t="shared" si="196"/>
        <v>0</v>
      </c>
      <c r="Y519" s="377">
        <f t="shared" si="197"/>
        <v>0</v>
      </c>
      <c r="Z519" s="377">
        <f t="shared" si="198"/>
        <v>0</v>
      </c>
      <c r="AA519" s="377">
        <f t="shared" si="199"/>
        <v>0</v>
      </c>
      <c r="AB519" s="377">
        <f t="shared" si="200"/>
        <v>0</v>
      </c>
      <c r="AC519" s="377">
        <f t="shared" si="201"/>
        <v>0</v>
      </c>
      <c r="AD519" s="376"/>
      <c r="AE519" s="332">
        <v>504</v>
      </c>
      <c r="AF519" s="350">
        <v>660745.58471434144</v>
      </c>
      <c r="AG519" s="350">
        <v>658364.46791394206</v>
      </c>
      <c r="AH519" s="350">
        <v>655789.40683217463</v>
      </c>
      <c r="AI519" s="350">
        <v>652700.06983217457</v>
      </c>
      <c r="AJ519" s="350">
        <v>648812.67796868738</v>
      </c>
      <c r="AK519" s="348">
        <v>3276412.2072613202</v>
      </c>
      <c r="AL519" s="369"/>
      <c r="AM519" s="350">
        <v>19981870.11129168</v>
      </c>
      <c r="AN519" s="350">
        <v>19807197.34783446</v>
      </c>
      <c r="AO519" s="350">
        <v>19615555.1460937</v>
      </c>
      <c r="AP519" s="350">
        <v>19369184.486712515</v>
      </c>
      <c r="AQ519" s="350">
        <v>19035771.22834402</v>
      </c>
      <c r="AR519" s="348">
        <v>97809578.32027638</v>
      </c>
      <c r="AS519" s="369"/>
      <c r="AT519" s="350">
        <f t="shared" si="219"/>
        <v>19321124.526577339</v>
      </c>
      <c r="AU519" s="350">
        <f t="shared" si="202"/>
        <v>19148832.87992052</v>
      </c>
      <c r="AV519" s="350">
        <f t="shared" si="203"/>
        <v>18959765.739261527</v>
      </c>
      <c r="AW519" s="350">
        <f t="shared" si="204"/>
        <v>18716484.416880339</v>
      </c>
      <c r="AX519" s="350">
        <f t="shared" si="205"/>
        <v>18386958.550375331</v>
      </c>
      <c r="AY519" s="350">
        <f t="shared" si="206"/>
        <v>94533166.113015056</v>
      </c>
      <c r="AZ519" s="365"/>
      <c r="BA519" s="377">
        <f t="shared" si="207"/>
        <v>0</v>
      </c>
      <c r="BB519" s="377">
        <f t="shared" si="208"/>
        <v>0</v>
      </c>
      <c r="BC519" s="377">
        <f t="shared" si="209"/>
        <v>0</v>
      </c>
      <c r="BD519" s="377">
        <f t="shared" si="210"/>
        <v>0</v>
      </c>
      <c r="BE519" s="377">
        <f t="shared" si="211"/>
        <v>0</v>
      </c>
      <c r="BF519" s="377">
        <f t="shared" si="212"/>
        <v>0</v>
      </c>
      <c r="BG519" s="328"/>
    </row>
    <row r="520" spans="2:59">
      <c r="B520" s="332">
        <v>505</v>
      </c>
      <c r="C520" s="350">
        <v>5272892.5653091054</v>
      </c>
      <c r="D520" s="350">
        <v>5253890.7386387279</v>
      </c>
      <c r="E520" s="350">
        <v>5233341.1946881041</v>
      </c>
      <c r="F520" s="350">
        <v>5208687.6177654862</v>
      </c>
      <c r="G520" s="350">
        <v>5177665.3905578908</v>
      </c>
      <c r="H520" s="348">
        <v>26146477.506959312</v>
      </c>
      <c r="I520" s="369"/>
      <c r="J520" s="350">
        <v>15630389.688965937</v>
      </c>
      <c r="K520" s="350">
        <v>15273092.987454817</v>
      </c>
      <c r="L520" s="350">
        <v>14907028.248449104</v>
      </c>
      <c r="M520" s="350">
        <v>14509785.918900097</v>
      </c>
      <c r="N520" s="350">
        <v>14062624.310250849</v>
      </c>
      <c r="O520" s="348">
        <v>74382921.154020801</v>
      </c>
      <c r="P520" s="369"/>
      <c r="Q520" s="350">
        <f t="shared" si="213"/>
        <v>10357497.123656832</v>
      </c>
      <c r="R520" s="350">
        <f t="shared" si="214"/>
        <v>10019202.248816088</v>
      </c>
      <c r="S520" s="350">
        <f t="shared" si="215"/>
        <v>9673687.0537609998</v>
      </c>
      <c r="T520" s="350">
        <f t="shared" si="216"/>
        <v>9301098.3011346105</v>
      </c>
      <c r="U520" s="350">
        <f t="shared" si="217"/>
        <v>8884958.9196929578</v>
      </c>
      <c r="V520" s="350">
        <f t="shared" si="218"/>
        <v>48236443.64706149</v>
      </c>
      <c r="W520" s="365"/>
      <c r="X520" s="377">
        <f t="shared" si="196"/>
        <v>0</v>
      </c>
      <c r="Y520" s="377">
        <f t="shared" si="197"/>
        <v>0</v>
      </c>
      <c r="Z520" s="377">
        <f t="shared" si="198"/>
        <v>0</v>
      </c>
      <c r="AA520" s="377">
        <f t="shared" si="199"/>
        <v>0</v>
      </c>
      <c r="AB520" s="377">
        <f t="shared" si="200"/>
        <v>0</v>
      </c>
      <c r="AC520" s="377">
        <f t="shared" si="201"/>
        <v>0</v>
      </c>
      <c r="AD520" s="376"/>
      <c r="AE520" s="332">
        <v>505</v>
      </c>
      <c r="AF520" s="350">
        <v>563638.57872028602</v>
      </c>
      <c r="AG520" s="350">
        <v>561607.40466450434</v>
      </c>
      <c r="AH520" s="350">
        <v>559410.78950456681</v>
      </c>
      <c r="AI520" s="350">
        <v>556775.47940011742</v>
      </c>
      <c r="AJ520" s="350">
        <v>553459.40120670525</v>
      </c>
      <c r="AK520" s="348">
        <v>2794891.6534961797</v>
      </c>
      <c r="AL520" s="369"/>
      <c r="AM520" s="350">
        <v>18571779.291226495</v>
      </c>
      <c r="AN520" s="350">
        <v>18411774.972412825</v>
      </c>
      <c r="AO520" s="350">
        <v>18235950.898583312</v>
      </c>
      <c r="AP520" s="350">
        <v>18009137.008220296</v>
      </c>
      <c r="AQ520" s="350">
        <v>17701230.156495288</v>
      </c>
      <c r="AR520" s="348">
        <v>90929872.326938212</v>
      </c>
      <c r="AS520" s="369"/>
      <c r="AT520" s="350">
        <f t="shared" si="219"/>
        <v>18008140.712506209</v>
      </c>
      <c r="AU520" s="350">
        <f t="shared" si="202"/>
        <v>17850167.567748319</v>
      </c>
      <c r="AV520" s="350">
        <f t="shared" si="203"/>
        <v>17676540.109078746</v>
      </c>
      <c r="AW520" s="350">
        <f t="shared" si="204"/>
        <v>17452361.528820179</v>
      </c>
      <c r="AX520" s="350">
        <f t="shared" si="205"/>
        <v>17147770.755288582</v>
      </c>
      <c r="AY520" s="350">
        <f t="shared" si="206"/>
        <v>88134980.673442036</v>
      </c>
      <c r="AZ520" s="365"/>
      <c r="BA520" s="377">
        <f t="shared" si="207"/>
        <v>0</v>
      </c>
      <c r="BB520" s="377">
        <f t="shared" si="208"/>
        <v>0</v>
      </c>
      <c r="BC520" s="377">
        <f t="shared" si="209"/>
        <v>0</v>
      </c>
      <c r="BD520" s="377">
        <f t="shared" si="210"/>
        <v>0</v>
      </c>
      <c r="BE520" s="377">
        <f t="shared" si="211"/>
        <v>0</v>
      </c>
      <c r="BF520" s="377">
        <f t="shared" si="212"/>
        <v>0</v>
      </c>
      <c r="BG520" s="328"/>
    </row>
    <row r="521" spans="2:59">
      <c r="B521" s="332">
        <v>506</v>
      </c>
      <c r="C521" s="350">
        <v>3392659.8585185455</v>
      </c>
      <c r="D521" s="350">
        <v>3380433.7921262118</v>
      </c>
      <c r="E521" s="350">
        <v>3367211.9007243607</v>
      </c>
      <c r="F521" s="350">
        <v>3351349.4116335446</v>
      </c>
      <c r="G521" s="350">
        <v>3331389.2353800992</v>
      </c>
      <c r="H521" s="348">
        <v>16823044.198382761</v>
      </c>
      <c r="I521" s="369"/>
      <c r="J521" s="350">
        <v>13522711.682216134</v>
      </c>
      <c r="K521" s="350">
        <v>13267841.657272577</v>
      </c>
      <c r="L521" s="350">
        <v>13004278.192621121</v>
      </c>
      <c r="M521" s="350">
        <v>12710881.559308533</v>
      </c>
      <c r="N521" s="350">
        <v>12369830.657304656</v>
      </c>
      <c r="O521" s="348">
        <v>64875543.74872303</v>
      </c>
      <c r="P521" s="369"/>
      <c r="Q521" s="350">
        <f t="shared" si="213"/>
        <v>10130051.823697589</v>
      </c>
      <c r="R521" s="350">
        <f t="shared" si="214"/>
        <v>9887407.865146365</v>
      </c>
      <c r="S521" s="350">
        <f t="shared" si="215"/>
        <v>9637066.2918967605</v>
      </c>
      <c r="T521" s="350">
        <f t="shared" si="216"/>
        <v>9359532.147674989</v>
      </c>
      <c r="U521" s="350">
        <f t="shared" si="217"/>
        <v>9038441.4219245575</v>
      </c>
      <c r="V521" s="350">
        <f t="shared" si="218"/>
        <v>48052499.550340265</v>
      </c>
      <c r="W521" s="365"/>
      <c r="X521" s="377">
        <f t="shared" si="196"/>
        <v>0</v>
      </c>
      <c r="Y521" s="377">
        <f t="shared" si="197"/>
        <v>0</v>
      </c>
      <c r="Z521" s="377">
        <f t="shared" si="198"/>
        <v>0</v>
      </c>
      <c r="AA521" s="377">
        <f t="shared" si="199"/>
        <v>0</v>
      </c>
      <c r="AB521" s="377">
        <f t="shared" si="200"/>
        <v>0</v>
      </c>
      <c r="AC521" s="377">
        <f t="shared" si="201"/>
        <v>0</v>
      </c>
      <c r="AD521" s="376"/>
      <c r="AE521" s="332">
        <v>506</v>
      </c>
      <c r="AF521" s="350">
        <v>508963.03520632704</v>
      </c>
      <c r="AG521" s="350">
        <v>507128.89440849487</v>
      </c>
      <c r="AH521" s="350">
        <v>505145.36105717527</v>
      </c>
      <c r="AI521" s="350">
        <v>502765.68819568347</v>
      </c>
      <c r="AJ521" s="350">
        <v>499771.28489182773</v>
      </c>
      <c r="AK521" s="348">
        <v>2523774.2637595087</v>
      </c>
      <c r="AL521" s="369"/>
      <c r="AM521" s="350">
        <v>16122830.65958312</v>
      </c>
      <c r="AN521" s="350">
        <v>15983013.547633966</v>
      </c>
      <c r="AO521" s="350">
        <v>15829481.351325998</v>
      </c>
      <c r="AP521" s="350">
        <v>15631731.114675056</v>
      </c>
      <c r="AQ521" s="350">
        <v>15363656.211947367</v>
      </c>
      <c r="AR521" s="348">
        <v>78930712.885165513</v>
      </c>
      <c r="AS521" s="369"/>
      <c r="AT521" s="350">
        <f t="shared" si="219"/>
        <v>15613867.624376792</v>
      </c>
      <c r="AU521" s="350">
        <f t="shared" si="202"/>
        <v>15475884.653225472</v>
      </c>
      <c r="AV521" s="350">
        <f t="shared" si="203"/>
        <v>15324335.990268823</v>
      </c>
      <c r="AW521" s="350">
        <f t="shared" si="204"/>
        <v>15128965.426479373</v>
      </c>
      <c r="AX521" s="350">
        <f t="shared" si="205"/>
        <v>14863884.92705554</v>
      </c>
      <c r="AY521" s="350">
        <f t="shared" si="206"/>
        <v>76406938.621406004</v>
      </c>
      <c r="AZ521" s="365"/>
      <c r="BA521" s="377">
        <f t="shared" si="207"/>
        <v>0</v>
      </c>
      <c r="BB521" s="377">
        <f t="shared" si="208"/>
        <v>0</v>
      </c>
      <c r="BC521" s="377">
        <f t="shared" si="209"/>
        <v>0</v>
      </c>
      <c r="BD521" s="377">
        <f t="shared" si="210"/>
        <v>0</v>
      </c>
      <c r="BE521" s="377">
        <f t="shared" si="211"/>
        <v>0</v>
      </c>
      <c r="BF521" s="377">
        <f t="shared" si="212"/>
        <v>0</v>
      </c>
      <c r="BG521" s="328"/>
    </row>
    <row r="522" spans="2:59">
      <c r="B522" s="332">
        <v>507</v>
      </c>
      <c r="C522" s="350">
        <v>5185134.6850861842</v>
      </c>
      <c r="D522" s="350">
        <v>5166449.1098865718</v>
      </c>
      <c r="E522" s="350">
        <v>5146241.5763968695</v>
      </c>
      <c r="F522" s="350">
        <v>5121998.3142348584</v>
      </c>
      <c r="G522" s="350">
        <v>5091492.3965984937</v>
      </c>
      <c r="H522" s="348">
        <v>25711316.082202978</v>
      </c>
      <c r="I522" s="369"/>
      <c r="J522" s="350">
        <v>16809995.418880928</v>
      </c>
      <c r="K522" s="350">
        <v>16448268.512644548</v>
      </c>
      <c r="L522" s="350">
        <v>16076651.700181875</v>
      </c>
      <c r="M522" s="350">
        <v>15670316.42168681</v>
      </c>
      <c r="N522" s="350">
        <v>15208439.173116894</v>
      </c>
      <c r="O522" s="348">
        <v>80213671.226511061</v>
      </c>
      <c r="P522" s="369"/>
      <c r="Q522" s="350">
        <f t="shared" si="213"/>
        <v>11624860.733794745</v>
      </c>
      <c r="R522" s="350">
        <f t="shared" si="214"/>
        <v>11281819.402757976</v>
      </c>
      <c r="S522" s="350">
        <f t="shared" si="215"/>
        <v>10930410.123785006</v>
      </c>
      <c r="T522" s="350">
        <f t="shared" si="216"/>
        <v>10548318.107451951</v>
      </c>
      <c r="U522" s="350">
        <f t="shared" si="217"/>
        <v>10116946.776518401</v>
      </c>
      <c r="V522" s="350">
        <f t="shared" si="218"/>
        <v>54502355.144308083</v>
      </c>
      <c r="W522" s="365"/>
      <c r="X522" s="377">
        <f t="shared" si="196"/>
        <v>0</v>
      </c>
      <c r="Y522" s="377">
        <f t="shared" si="197"/>
        <v>0</v>
      </c>
      <c r="Z522" s="377">
        <f t="shared" si="198"/>
        <v>0</v>
      </c>
      <c r="AA522" s="377">
        <f t="shared" si="199"/>
        <v>0</v>
      </c>
      <c r="AB522" s="377">
        <f t="shared" si="200"/>
        <v>0</v>
      </c>
      <c r="AC522" s="377">
        <f t="shared" si="201"/>
        <v>0</v>
      </c>
      <c r="AD522" s="376"/>
      <c r="AE522" s="332">
        <v>507</v>
      </c>
      <c r="AF522" s="350">
        <v>409423.93548359018</v>
      </c>
      <c r="AG522" s="350">
        <v>407948.50192214292</v>
      </c>
      <c r="AH522" s="350">
        <v>406352.89286080701</v>
      </c>
      <c r="AI522" s="350">
        <v>404438.61822646059</v>
      </c>
      <c r="AJ522" s="350">
        <v>402029.83743043931</v>
      </c>
      <c r="AK522" s="348">
        <v>2030193.78592344</v>
      </c>
      <c r="AL522" s="369"/>
      <c r="AM522" s="350">
        <v>13540637.538571477</v>
      </c>
      <c r="AN522" s="350">
        <v>13424049.478786232</v>
      </c>
      <c r="AO522" s="350">
        <v>13295925.832016561</v>
      </c>
      <c r="AP522" s="350">
        <v>13130621.912006909</v>
      </c>
      <c r="AQ522" s="350">
        <v>12906187.498114003</v>
      </c>
      <c r="AR522" s="348">
        <v>66297422.259495176</v>
      </c>
      <c r="AS522" s="369"/>
      <c r="AT522" s="350">
        <f t="shared" si="219"/>
        <v>13131213.603087887</v>
      </c>
      <c r="AU522" s="350">
        <f t="shared" si="202"/>
        <v>13016100.976864088</v>
      </c>
      <c r="AV522" s="350">
        <f t="shared" si="203"/>
        <v>12889572.939155754</v>
      </c>
      <c r="AW522" s="350">
        <f t="shared" si="204"/>
        <v>12726183.293780448</v>
      </c>
      <c r="AX522" s="350">
        <f t="shared" si="205"/>
        <v>12504157.660683563</v>
      </c>
      <c r="AY522" s="350">
        <f t="shared" si="206"/>
        <v>64267228.473571733</v>
      </c>
      <c r="AZ522" s="365"/>
      <c r="BA522" s="377">
        <f t="shared" si="207"/>
        <v>0</v>
      </c>
      <c r="BB522" s="377">
        <f t="shared" si="208"/>
        <v>0</v>
      </c>
      <c r="BC522" s="377">
        <f t="shared" si="209"/>
        <v>0</v>
      </c>
      <c r="BD522" s="377">
        <f t="shared" si="210"/>
        <v>0</v>
      </c>
      <c r="BE522" s="377">
        <f t="shared" si="211"/>
        <v>0</v>
      </c>
      <c r="BF522" s="377">
        <f t="shared" si="212"/>
        <v>0</v>
      </c>
      <c r="BG522" s="328"/>
    </row>
    <row r="523" spans="2:59">
      <c r="B523" s="332">
        <v>508</v>
      </c>
      <c r="C523" s="350">
        <v>5314427.852868164</v>
      </c>
      <c r="D523" s="350">
        <v>5295276.3462403193</v>
      </c>
      <c r="E523" s="350">
        <v>5274564.9307539836</v>
      </c>
      <c r="F523" s="350">
        <v>5249717.1542731244</v>
      </c>
      <c r="G523" s="350">
        <v>5218450.5607880391</v>
      </c>
      <c r="H523" s="348">
        <v>26352436.84492363</v>
      </c>
      <c r="I523" s="369"/>
      <c r="J523" s="350">
        <v>17256647.460612867</v>
      </c>
      <c r="K523" s="350">
        <v>16885702.643799085</v>
      </c>
      <c r="L523" s="350">
        <v>16504597.106579594</v>
      </c>
      <c r="M523" s="350">
        <v>16087829.873468094</v>
      </c>
      <c r="N523" s="350">
        <v>15614012.495693864</v>
      </c>
      <c r="O523" s="348">
        <v>82348789.58015351</v>
      </c>
      <c r="P523" s="369"/>
      <c r="Q523" s="350">
        <f t="shared" si="213"/>
        <v>11942219.607744703</v>
      </c>
      <c r="R523" s="350">
        <f t="shared" si="214"/>
        <v>11590426.297558766</v>
      </c>
      <c r="S523" s="350">
        <f t="shared" si="215"/>
        <v>11230032.175825611</v>
      </c>
      <c r="T523" s="350">
        <f t="shared" si="216"/>
        <v>10838112.719194969</v>
      </c>
      <c r="U523" s="350">
        <f t="shared" si="217"/>
        <v>10395561.934905825</v>
      </c>
      <c r="V523" s="350">
        <f t="shared" si="218"/>
        <v>55996352.73522988</v>
      </c>
      <c r="W523" s="365"/>
      <c r="X523" s="377">
        <f t="shared" si="196"/>
        <v>0</v>
      </c>
      <c r="Y523" s="377">
        <f t="shared" si="197"/>
        <v>0</v>
      </c>
      <c r="Z523" s="377">
        <f t="shared" si="198"/>
        <v>0</v>
      </c>
      <c r="AA523" s="377">
        <f t="shared" si="199"/>
        <v>0</v>
      </c>
      <c r="AB523" s="377">
        <f t="shared" si="200"/>
        <v>0</v>
      </c>
      <c r="AC523" s="377">
        <f t="shared" si="201"/>
        <v>0</v>
      </c>
      <c r="AD523" s="376"/>
      <c r="AE523" s="332">
        <v>508</v>
      </c>
      <c r="AF523" s="350">
        <v>423434.34312260395</v>
      </c>
      <c r="AG523" s="350">
        <v>421908.42051093618</v>
      </c>
      <c r="AH523" s="350">
        <v>420258.21001708903</v>
      </c>
      <c r="AI523" s="350">
        <v>418278.42927614774</v>
      </c>
      <c r="AJ523" s="350">
        <v>415787.22046861955</v>
      </c>
      <c r="AK523" s="348">
        <v>2099666.6233953964</v>
      </c>
      <c r="AL523" s="369"/>
      <c r="AM523" s="350">
        <v>13818822.472877253</v>
      </c>
      <c r="AN523" s="350">
        <v>13699579.401822412</v>
      </c>
      <c r="AO523" s="350">
        <v>13568569.056101119</v>
      </c>
      <c r="AP523" s="350">
        <v>13399628.283299044</v>
      </c>
      <c r="AQ523" s="350">
        <v>13170363.601299085</v>
      </c>
      <c r="AR523" s="348">
        <v>67656962.815398917</v>
      </c>
      <c r="AS523" s="369"/>
      <c r="AT523" s="350">
        <f t="shared" si="219"/>
        <v>13395388.129754649</v>
      </c>
      <c r="AU523" s="350">
        <f t="shared" si="202"/>
        <v>13277670.981311476</v>
      </c>
      <c r="AV523" s="350">
        <f t="shared" si="203"/>
        <v>13148310.84608403</v>
      </c>
      <c r="AW523" s="350">
        <f t="shared" si="204"/>
        <v>12981349.854022896</v>
      </c>
      <c r="AX523" s="350">
        <f t="shared" si="205"/>
        <v>12754576.380830465</v>
      </c>
      <c r="AY523" s="350">
        <f t="shared" si="206"/>
        <v>65557296.192003518</v>
      </c>
      <c r="AZ523" s="365"/>
      <c r="BA523" s="377">
        <f t="shared" si="207"/>
        <v>0</v>
      </c>
      <c r="BB523" s="377">
        <f t="shared" si="208"/>
        <v>0</v>
      </c>
      <c r="BC523" s="377">
        <f t="shared" si="209"/>
        <v>0</v>
      </c>
      <c r="BD523" s="377">
        <f t="shared" si="210"/>
        <v>0</v>
      </c>
      <c r="BE523" s="377">
        <f t="shared" si="211"/>
        <v>0</v>
      </c>
      <c r="BF523" s="377">
        <f t="shared" si="212"/>
        <v>0</v>
      </c>
      <c r="BG523" s="328"/>
    </row>
    <row r="524" spans="2:59">
      <c r="B524" s="332">
        <v>509</v>
      </c>
      <c r="C524" s="350">
        <v>6159891.8273092443</v>
      </c>
      <c r="D524" s="350">
        <v>6137693.5375923486</v>
      </c>
      <c r="E524" s="350">
        <v>6113687.1755683655</v>
      </c>
      <c r="F524" s="350">
        <v>6084886.4053803477</v>
      </c>
      <c r="G524" s="350">
        <v>6048645.6586793391</v>
      </c>
      <c r="H524" s="348">
        <v>30544804.604529645</v>
      </c>
      <c r="I524" s="369"/>
      <c r="J524" s="350">
        <v>20168312.065095805</v>
      </c>
      <c r="K524" s="350">
        <v>19737155.407495234</v>
      </c>
      <c r="L524" s="350">
        <v>19294075.10973344</v>
      </c>
      <c r="M524" s="350">
        <v>18809190.733623244</v>
      </c>
      <c r="N524" s="350">
        <v>18257434.630757309</v>
      </c>
      <c r="O524" s="348">
        <v>96266167.946705043</v>
      </c>
      <c r="P524" s="369"/>
      <c r="Q524" s="350">
        <f t="shared" si="213"/>
        <v>14008420.237786561</v>
      </c>
      <c r="R524" s="350">
        <f t="shared" si="214"/>
        <v>13599461.869902886</v>
      </c>
      <c r="S524" s="350">
        <f t="shared" si="215"/>
        <v>13180387.934165075</v>
      </c>
      <c r="T524" s="350">
        <f t="shared" si="216"/>
        <v>12724304.328242896</v>
      </c>
      <c r="U524" s="350">
        <f t="shared" si="217"/>
        <v>12208788.972077969</v>
      </c>
      <c r="V524" s="350">
        <f t="shared" si="218"/>
        <v>65721363.342175394</v>
      </c>
      <c r="W524" s="365"/>
      <c r="X524" s="377">
        <f t="shared" si="196"/>
        <v>0</v>
      </c>
      <c r="Y524" s="377">
        <f t="shared" si="197"/>
        <v>0</v>
      </c>
      <c r="Z524" s="377">
        <f t="shared" si="198"/>
        <v>0</v>
      </c>
      <c r="AA524" s="377">
        <f t="shared" si="199"/>
        <v>0</v>
      </c>
      <c r="AB524" s="377">
        <f t="shared" si="200"/>
        <v>0</v>
      </c>
      <c r="AC524" s="377">
        <f t="shared" si="201"/>
        <v>0</v>
      </c>
      <c r="AD524" s="376"/>
      <c r="AE524" s="332">
        <v>509</v>
      </c>
      <c r="AF524" s="350">
        <v>622010.57243800897</v>
      </c>
      <c r="AG524" s="350">
        <v>619769.0442941644</v>
      </c>
      <c r="AH524" s="350">
        <v>617344.94150091556</v>
      </c>
      <c r="AI524" s="350">
        <v>614436.7112829946</v>
      </c>
      <c r="AJ524" s="350">
        <v>610777.21072145295</v>
      </c>
      <c r="AK524" s="348">
        <v>3084338.4802375361</v>
      </c>
      <c r="AL524" s="369"/>
      <c r="AM524" s="350">
        <v>19154252.187896669</v>
      </c>
      <c r="AN524" s="350">
        <v>18987341.529598132</v>
      </c>
      <c r="AO524" s="350">
        <v>18804153.510532279</v>
      </c>
      <c r="AP524" s="350">
        <v>18568475.996898822</v>
      </c>
      <c r="AQ524" s="350">
        <v>18249317.627819106</v>
      </c>
      <c r="AR524" s="348">
        <v>93763540.852745011</v>
      </c>
      <c r="AS524" s="369"/>
      <c r="AT524" s="350">
        <f t="shared" si="219"/>
        <v>18532241.61545866</v>
      </c>
      <c r="AU524" s="350">
        <f t="shared" si="202"/>
        <v>18367572.485303968</v>
      </c>
      <c r="AV524" s="350">
        <f t="shared" si="203"/>
        <v>18186808.569031361</v>
      </c>
      <c r="AW524" s="350">
        <f t="shared" si="204"/>
        <v>17954039.285615828</v>
      </c>
      <c r="AX524" s="350">
        <f t="shared" si="205"/>
        <v>17638540.417097654</v>
      </c>
      <c r="AY524" s="350">
        <f t="shared" si="206"/>
        <v>90679202.372507483</v>
      </c>
      <c r="AZ524" s="365"/>
      <c r="BA524" s="377">
        <f t="shared" si="207"/>
        <v>0</v>
      </c>
      <c r="BB524" s="377">
        <f t="shared" si="208"/>
        <v>0</v>
      </c>
      <c r="BC524" s="377">
        <f t="shared" si="209"/>
        <v>0</v>
      </c>
      <c r="BD524" s="377">
        <f t="shared" si="210"/>
        <v>0</v>
      </c>
      <c r="BE524" s="377">
        <f t="shared" si="211"/>
        <v>0</v>
      </c>
      <c r="BF524" s="377">
        <f t="shared" si="212"/>
        <v>0</v>
      </c>
      <c r="BG524" s="328"/>
    </row>
    <row r="525" spans="2:59">
      <c r="B525" s="332">
        <v>510</v>
      </c>
      <c r="C525" s="350">
        <v>2798783.9863673337</v>
      </c>
      <c r="D525" s="350">
        <v>2788698.0596130765</v>
      </c>
      <c r="E525" s="350">
        <v>2777790.6243062112</v>
      </c>
      <c r="F525" s="350">
        <v>2764704.820747145</v>
      </c>
      <c r="G525" s="350">
        <v>2748238.6190078384</v>
      </c>
      <c r="H525" s="348">
        <v>13878216.110041605</v>
      </c>
      <c r="I525" s="369"/>
      <c r="J525" s="350">
        <v>10373420.005539455</v>
      </c>
      <c r="K525" s="350">
        <v>10168801.724402592</v>
      </c>
      <c r="L525" s="350">
        <v>9957700.5289503485</v>
      </c>
      <c r="M525" s="350">
        <v>9724193.9517530203</v>
      </c>
      <c r="N525" s="350">
        <v>9454880.8855078816</v>
      </c>
      <c r="O525" s="348">
        <v>49678997.096153297</v>
      </c>
      <c r="P525" s="369"/>
      <c r="Q525" s="350">
        <f t="shared" si="213"/>
        <v>7574636.0191721208</v>
      </c>
      <c r="R525" s="350">
        <f t="shared" si="214"/>
        <v>7380103.6647895146</v>
      </c>
      <c r="S525" s="350">
        <f t="shared" si="215"/>
        <v>7179909.9046441372</v>
      </c>
      <c r="T525" s="350">
        <f t="shared" si="216"/>
        <v>6959489.1310058758</v>
      </c>
      <c r="U525" s="350">
        <f t="shared" si="217"/>
        <v>6706642.2665000428</v>
      </c>
      <c r="V525" s="350">
        <f t="shared" si="218"/>
        <v>35800780.986111693</v>
      </c>
      <c r="W525" s="365"/>
      <c r="X525" s="377">
        <f t="shared" si="196"/>
        <v>0</v>
      </c>
      <c r="Y525" s="377">
        <f t="shared" si="197"/>
        <v>0</v>
      </c>
      <c r="Z525" s="377">
        <f t="shared" si="198"/>
        <v>0</v>
      </c>
      <c r="AA525" s="377">
        <f t="shared" si="199"/>
        <v>0</v>
      </c>
      <c r="AB525" s="377">
        <f t="shared" si="200"/>
        <v>0</v>
      </c>
      <c r="AC525" s="377">
        <f t="shared" si="201"/>
        <v>0</v>
      </c>
      <c r="AD525" s="376"/>
      <c r="AE525" s="332">
        <v>510</v>
      </c>
      <c r="AF525" s="350">
        <v>560657.25364982977</v>
      </c>
      <c r="AG525" s="350">
        <v>558636.82334077428</v>
      </c>
      <c r="AH525" s="350">
        <v>556451.82701619272</v>
      </c>
      <c r="AI525" s="350">
        <v>553830.4561919478</v>
      </c>
      <c r="AJ525" s="350">
        <v>550531.91815179505</v>
      </c>
      <c r="AK525" s="348">
        <v>2780108.2783505395</v>
      </c>
      <c r="AL525" s="369"/>
      <c r="AM525" s="350">
        <v>16532695.404999396</v>
      </c>
      <c r="AN525" s="350">
        <v>16387525.827438986</v>
      </c>
      <c r="AO525" s="350">
        <v>16228329.226731209</v>
      </c>
      <c r="AP525" s="350">
        <v>16023885.292376686</v>
      </c>
      <c r="AQ525" s="350">
        <v>15747476.986809393</v>
      </c>
      <c r="AR525" s="348">
        <v>80919912.738355666</v>
      </c>
      <c r="AS525" s="369"/>
      <c r="AT525" s="350">
        <f t="shared" si="219"/>
        <v>15972038.151349567</v>
      </c>
      <c r="AU525" s="350">
        <f t="shared" si="202"/>
        <v>15828889.004098212</v>
      </c>
      <c r="AV525" s="350">
        <f t="shared" si="203"/>
        <v>15671877.399715016</v>
      </c>
      <c r="AW525" s="350">
        <f t="shared" si="204"/>
        <v>15470054.836184738</v>
      </c>
      <c r="AX525" s="350">
        <f t="shared" si="205"/>
        <v>15196945.068657598</v>
      </c>
      <c r="AY525" s="350">
        <f t="shared" si="206"/>
        <v>78139804.460005134</v>
      </c>
      <c r="AZ525" s="365"/>
      <c r="BA525" s="377">
        <f t="shared" si="207"/>
        <v>0</v>
      </c>
      <c r="BB525" s="377">
        <f t="shared" si="208"/>
        <v>0</v>
      </c>
      <c r="BC525" s="377">
        <f t="shared" si="209"/>
        <v>0</v>
      </c>
      <c r="BD525" s="377">
        <f t="shared" si="210"/>
        <v>0</v>
      </c>
      <c r="BE525" s="377">
        <f t="shared" si="211"/>
        <v>0</v>
      </c>
      <c r="BF525" s="377">
        <f t="shared" si="212"/>
        <v>0</v>
      </c>
      <c r="BG525" s="328"/>
    </row>
    <row r="526" spans="2:59">
      <c r="B526" s="332">
        <v>511</v>
      </c>
      <c r="C526" s="350">
        <v>3968434.9052916802</v>
      </c>
      <c r="D526" s="350">
        <v>3954133.9288752181</v>
      </c>
      <c r="E526" s="350">
        <v>3938668.1240078853</v>
      </c>
      <c r="F526" s="350">
        <v>3920113.5803701705</v>
      </c>
      <c r="G526" s="350">
        <v>3896765.922938183</v>
      </c>
      <c r="H526" s="348">
        <v>19678116.461483136</v>
      </c>
      <c r="I526" s="369"/>
      <c r="J526" s="350">
        <v>12132384.576429658</v>
      </c>
      <c r="K526" s="350">
        <v>11860821.3019874</v>
      </c>
      <c r="L526" s="350">
        <v>11582334.366281934</v>
      </c>
      <c r="M526" s="350">
        <v>11279342.944446491</v>
      </c>
      <c r="N526" s="350">
        <v>10937128.692641892</v>
      </c>
      <c r="O526" s="348">
        <v>57792011.881787375</v>
      </c>
      <c r="P526" s="369"/>
      <c r="Q526" s="350">
        <f t="shared" si="213"/>
        <v>8163949.6711379774</v>
      </c>
      <c r="R526" s="350">
        <f t="shared" si="214"/>
        <v>7906687.3731121821</v>
      </c>
      <c r="S526" s="350">
        <f t="shared" si="215"/>
        <v>7643666.2422740487</v>
      </c>
      <c r="T526" s="350">
        <f t="shared" si="216"/>
        <v>7359229.3640763201</v>
      </c>
      <c r="U526" s="350">
        <f t="shared" si="217"/>
        <v>7040362.7697037086</v>
      </c>
      <c r="V526" s="350">
        <f t="shared" si="218"/>
        <v>38113895.420304239</v>
      </c>
      <c r="W526" s="365"/>
      <c r="X526" s="377">
        <f t="shared" si="196"/>
        <v>0</v>
      </c>
      <c r="Y526" s="377">
        <f t="shared" si="197"/>
        <v>0</v>
      </c>
      <c r="Z526" s="377">
        <f t="shared" si="198"/>
        <v>0</v>
      </c>
      <c r="AA526" s="377">
        <f t="shared" si="199"/>
        <v>0</v>
      </c>
      <c r="AB526" s="377">
        <f t="shared" si="200"/>
        <v>0</v>
      </c>
      <c r="AC526" s="377">
        <f t="shared" si="201"/>
        <v>0</v>
      </c>
      <c r="AD526" s="376"/>
      <c r="AE526" s="332">
        <v>511</v>
      </c>
      <c r="AF526" s="350">
        <v>427320.48390799941</v>
      </c>
      <c r="AG526" s="350">
        <v>425780.55688173248</v>
      </c>
      <c r="AH526" s="350">
        <v>424115.20130008407</v>
      </c>
      <c r="AI526" s="350">
        <v>422117.25078428065</v>
      </c>
      <c r="AJ526" s="350">
        <v>419603.17848372419</v>
      </c>
      <c r="AK526" s="348">
        <v>2118936.6713578207</v>
      </c>
      <c r="AL526" s="369"/>
      <c r="AM526" s="350">
        <v>13358016.147277914</v>
      </c>
      <c r="AN526" s="350">
        <v>13241913.972283633</v>
      </c>
      <c r="AO526" s="350">
        <v>13114453.976709833</v>
      </c>
      <c r="AP526" s="350">
        <v>12950372.432985449</v>
      </c>
      <c r="AQ526" s="350">
        <v>12728047.340821335</v>
      </c>
      <c r="AR526" s="348">
        <v>65392803.870078161</v>
      </c>
      <c r="AS526" s="369"/>
      <c r="AT526" s="350">
        <f t="shared" si="219"/>
        <v>12930695.663369915</v>
      </c>
      <c r="AU526" s="350">
        <f t="shared" si="202"/>
        <v>12816133.4154019</v>
      </c>
      <c r="AV526" s="350">
        <f t="shared" si="203"/>
        <v>12690338.775409749</v>
      </c>
      <c r="AW526" s="350">
        <f t="shared" si="204"/>
        <v>12528255.182201169</v>
      </c>
      <c r="AX526" s="350">
        <f t="shared" si="205"/>
        <v>12308444.16233761</v>
      </c>
      <c r="AY526" s="350">
        <f t="shared" si="206"/>
        <v>63273867.198720343</v>
      </c>
      <c r="AZ526" s="365"/>
      <c r="BA526" s="377">
        <f t="shared" si="207"/>
        <v>0</v>
      </c>
      <c r="BB526" s="377">
        <f t="shared" si="208"/>
        <v>0</v>
      </c>
      <c r="BC526" s="377">
        <f t="shared" si="209"/>
        <v>0</v>
      </c>
      <c r="BD526" s="377">
        <f t="shared" si="210"/>
        <v>0</v>
      </c>
      <c r="BE526" s="377">
        <f t="shared" si="211"/>
        <v>0</v>
      </c>
      <c r="BF526" s="377">
        <f t="shared" si="212"/>
        <v>0</v>
      </c>
      <c r="BG526" s="328"/>
    </row>
    <row r="527" spans="2:59">
      <c r="B527" s="332">
        <v>512</v>
      </c>
      <c r="C527" s="350">
        <v>5468325.4774917308</v>
      </c>
      <c r="D527" s="350">
        <v>5448619.3728037421</v>
      </c>
      <c r="E527" s="350">
        <v>5427308.1867053686</v>
      </c>
      <c r="F527" s="350">
        <v>5401740.856985013</v>
      </c>
      <c r="G527" s="350">
        <v>5369568.8312312737</v>
      </c>
      <c r="H527" s="348">
        <v>27115562.72521713</v>
      </c>
      <c r="I527" s="369"/>
      <c r="J527" s="350">
        <v>21383598.562502071</v>
      </c>
      <c r="K527" s="350">
        <v>20975769.025837056</v>
      </c>
      <c r="L527" s="350">
        <v>20554290.503691144</v>
      </c>
      <c r="M527" s="350">
        <v>20085889.588711608</v>
      </c>
      <c r="N527" s="350">
        <v>19542527.78993398</v>
      </c>
      <c r="O527" s="348">
        <v>102542075.47067586</v>
      </c>
      <c r="P527" s="369"/>
      <c r="Q527" s="350">
        <f t="shared" si="213"/>
        <v>15915273.08501034</v>
      </c>
      <c r="R527" s="350">
        <f t="shared" si="214"/>
        <v>15527149.653033314</v>
      </c>
      <c r="S527" s="350">
        <f t="shared" si="215"/>
        <v>15126982.316985775</v>
      </c>
      <c r="T527" s="350">
        <f t="shared" si="216"/>
        <v>14684148.731726594</v>
      </c>
      <c r="U527" s="350">
        <f t="shared" si="217"/>
        <v>14172958.958702706</v>
      </c>
      <c r="V527" s="350">
        <f t="shared" si="218"/>
        <v>75426512.745458722</v>
      </c>
      <c r="W527" s="365"/>
      <c r="X527" s="377">
        <f t="shared" si="196"/>
        <v>0</v>
      </c>
      <c r="Y527" s="377">
        <f t="shared" si="197"/>
        <v>0</v>
      </c>
      <c r="Z527" s="377">
        <f t="shared" si="198"/>
        <v>0</v>
      </c>
      <c r="AA527" s="377">
        <f t="shared" si="199"/>
        <v>0</v>
      </c>
      <c r="AB527" s="377">
        <f t="shared" si="200"/>
        <v>0</v>
      </c>
      <c r="AC527" s="377">
        <f t="shared" si="201"/>
        <v>0</v>
      </c>
      <c r="AD527" s="376"/>
      <c r="AE527" s="332">
        <v>512</v>
      </c>
      <c r="AF527" s="350">
        <v>375442.20767641743</v>
      </c>
      <c r="AG527" s="350">
        <v>374089.23344706435</v>
      </c>
      <c r="AH527" s="350">
        <v>372626.05814963364</v>
      </c>
      <c r="AI527" s="350">
        <v>370870.66616462643</v>
      </c>
      <c r="AJ527" s="350">
        <v>368661.8114751745</v>
      </c>
      <c r="AK527" s="348">
        <v>1861689.9769129164</v>
      </c>
      <c r="AL527" s="369"/>
      <c r="AM527" s="350">
        <v>12986942.011282153</v>
      </c>
      <c r="AN527" s="350">
        <v>12875921.263480909</v>
      </c>
      <c r="AO527" s="350">
        <v>12753820.301656511</v>
      </c>
      <c r="AP527" s="350">
        <v>12596017.25369277</v>
      </c>
      <c r="AQ527" s="350">
        <v>12381435.7845094</v>
      </c>
      <c r="AR527" s="348">
        <v>63594136.614621744</v>
      </c>
      <c r="AS527" s="369"/>
      <c r="AT527" s="350">
        <f t="shared" si="219"/>
        <v>12611499.803605735</v>
      </c>
      <c r="AU527" s="350">
        <f t="shared" si="202"/>
        <v>12501832.030033845</v>
      </c>
      <c r="AV527" s="350">
        <f t="shared" si="203"/>
        <v>12381194.243506877</v>
      </c>
      <c r="AW527" s="350">
        <f t="shared" si="204"/>
        <v>12225146.587528143</v>
      </c>
      <c r="AX527" s="350">
        <f t="shared" si="205"/>
        <v>12012773.973034225</v>
      </c>
      <c r="AY527" s="350">
        <f t="shared" si="206"/>
        <v>61732446.637708828</v>
      </c>
      <c r="AZ527" s="365"/>
      <c r="BA527" s="377">
        <f t="shared" si="207"/>
        <v>0</v>
      </c>
      <c r="BB527" s="377">
        <f t="shared" si="208"/>
        <v>0</v>
      </c>
      <c r="BC527" s="377">
        <f t="shared" si="209"/>
        <v>0</v>
      </c>
      <c r="BD527" s="377">
        <f t="shared" si="210"/>
        <v>0</v>
      </c>
      <c r="BE527" s="377">
        <f t="shared" si="211"/>
        <v>0</v>
      </c>
      <c r="BF527" s="377">
        <f t="shared" si="212"/>
        <v>0</v>
      </c>
      <c r="BG527" s="328"/>
    </row>
    <row r="528" spans="2:59">
      <c r="B528" s="332">
        <v>513</v>
      </c>
      <c r="C528" s="350">
        <v>4668894.4215863347</v>
      </c>
      <c r="D528" s="350">
        <v>4652069.2119992943</v>
      </c>
      <c r="E528" s="350">
        <v>4633873.5727123432</v>
      </c>
      <c r="F528" s="350">
        <v>4612044.0083242031</v>
      </c>
      <c r="G528" s="350">
        <v>4584575.3084102999</v>
      </c>
      <c r="H528" s="348">
        <v>23151456.523032472</v>
      </c>
      <c r="I528" s="369"/>
      <c r="J528" s="350">
        <v>17782819.216087494</v>
      </c>
      <c r="K528" s="350">
        <v>17438032.462699242</v>
      </c>
      <c r="L528" s="350">
        <v>17082010.069738016</v>
      </c>
      <c r="M528" s="350">
        <v>16687263.410435608</v>
      </c>
      <c r="N528" s="350">
        <v>16230642.178077355</v>
      </c>
      <c r="O528" s="348">
        <v>85220767.337037712</v>
      </c>
      <c r="P528" s="369"/>
      <c r="Q528" s="350">
        <f t="shared" si="213"/>
        <v>13113924.794501159</v>
      </c>
      <c r="R528" s="350">
        <f t="shared" si="214"/>
        <v>12785963.250699949</v>
      </c>
      <c r="S528" s="350">
        <f t="shared" si="215"/>
        <v>12448136.497025672</v>
      </c>
      <c r="T528" s="350">
        <f t="shared" si="216"/>
        <v>12075219.402111404</v>
      </c>
      <c r="U528" s="350">
        <f t="shared" si="217"/>
        <v>11646066.869667055</v>
      </c>
      <c r="V528" s="350">
        <f t="shared" si="218"/>
        <v>62069310.814005241</v>
      </c>
      <c r="W528" s="365"/>
      <c r="X528" s="377">
        <f t="shared" ref="X528:X591" si="220">IF(Q528&lt;Q$8,1,0)</f>
        <v>0</v>
      </c>
      <c r="Y528" s="377">
        <f t="shared" ref="Y528:Y591" si="221">IF(R528&lt;R$8,1,0)</f>
        <v>0</v>
      </c>
      <c r="Z528" s="377">
        <f t="shared" ref="Z528:Z591" si="222">IF(S528&lt;S$8,1,0)</f>
        <v>0</v>
      </c>
      <c r="AA528" s="377">
        <f t="shared" ref="AA528:AA591" si="223">IF(T528&lt;T$8,1,0)</f>
        <v>0</v>
      </c>
      <c r="AB528" s="377">
        <f t="shared" ref="AB528:AB591" si="224">IF(U528&lt;U$8,1,0)</f>
        <v>0</v>
      </c>
      <c r="AC528" s="377">
        <f t="shared" ref="AC528:AC591" si="225">IF(V528&lt;V$8,1,0)</f>
        <v>0</v>
      </c>
      <c r="AD528" s="376"/>
      <c r="AE528" s="332">
        <v>513</v>
      </c>
      <c r="AF528" s="350">
        <v>560872.0287452701</v>
      </c>
      <c r="AG528" s="350">
        <v>558850.82445512444</v>
      </c>
      <c r="AH528" s="350">
        <v>556664.99110793928</v>
      </c>
      <c r="AI528" s="350">
        <v>554042.61609590345</v>
      </c>
      <c r="AJ528" s="350">
        <v>550742.8144605367</v>
      </c>
      <c r="AK528" s="348">
        <v>2781173.2748647742</v>
      </c>
      <c r="AL528" s="369"/>
      <c r="AM528" s="350">
        <v>15298786.620793521</v>
      </c>
      <c r="AN528" s="350">
        <v>15162500.307575755</v>
      </c>
      <c r="AO528" s="350">
        <v>15013273.717945158</v>
      </c>
      <c r="AP528" s="350">
        <v>14822279.675408589</v>
      </c>
      <c r="AQ528" s="350">
        <v>14564852.948239958</v>
      </c>
      <c r="AR528" s="348">
        <v>74861693.269962981</v>
      </c>
      <c r="AS528" s="369"/>
      <c r="AT528" s="350">
        <f t="shared" si="219"/>
        <v>14737914.592048252</v>
      </c>
      <c r="AU528" s="350">
        <f t="shared" ref="AU528:AU591" si="226">AN528-AG528</f>
        <v>14603649.48312063</v>
      </c>
      <c r="AV528" s="350">
        <f t="shared" ref="AV528:AV591" si="227">AO528-AH528</f>
        <v>14456608.72683722</v>
      </c>
      <c r="AW528" s="350">
        <f t="shared" ref="AW528:AW591" si="228">AP528-AI528</f>
        <v>14268237.059312684</v>
      </c>
      <c r="AX528" s="350">
        <f t="shared" ref="AX528:AX591" si="229">AQ528-AJ528</f>
        <v>14014110.133779421</v>
      </c>
      <c r="AY528" s="350">
        <f t="shared" ref="AY528:AY591" si="230">AR528-AK528</f>
        <v>72080519.995098203</v>
      </c>
      <c r="AZ528" s="365"/>
      <c r="BA528" s="377">
        <f t="shared" ref="BA528:BA591" si="231">IF(AT528&lt;AT$8,1,0)</f>
        <v>0</v>
      </c>
      <c r="BB528" s="377">
        <f t="shared" ref="BB528:BB591" si="232">IF(AU528&lt;AU$8,1,0)</f>
        <v>0</v>
      </c>
      <c r="BC528" s="377">
        <f t="shared" ref="BC528:BC591" si="233">IF(AV528&lt;AV$8,1,0)</f>
        <v>0</v>
      </c>
      <c r="BD528" s="377">
        <f t="shared" ref="BD528:BD591" si="234">IF(AW528&lt;AW$8,1,0)</f>
        <v>0</v>
      </c>
      <c r="BE528" s="377">
        <f t="shared" ref="BE528:BE591" si="235">IF(AX528&lt;AX$8,1,0)</f>
        <v>0</v>
      </c>
      <c r="BF528" s="377">
        <f t="shared" ref="BF528:BF591" si="236">IF(AY528&lt;AY$8,1,0)</f>
        <v>0</v>
      </c>
      <c r="BG528" s="328"/>
    </row>
    <row r="529" spans="2:59">
      <c r="B529" s="332">
        <v>514</v>
      </c>
      <c r="C529" s="350">
        <v>5505871.8970816918</v>
      </c>
      <c r="D529" s="350">
        <v>5486030.4870469123</v>
      </c>
      <c r="E529" s="350">
        <v>5464572.9748495333</v>
      </c>
      <c r="F529" s="350">
        <v>5438830.0956500163</v>
      </c>
      <c r="G529" s="350">
        <v>5406437.1714909077</v>
      </c>
      <c r="H529" s="348">
        <v>27301742.626119062</v>
      </c>
      <c r="I529" s="369"/>
      <c r="J529" s="350">
        <v>19398879.109558102</v>
      </c>
      <c r="K529" s="350">
        <v>19003612.151775453</v>
      </c>
      <c r="L529" s="350">
        <v>18596479.46527382</v>
      </c>
      <c r="M529" s="350">
        <v>18148112.697821748</v>
      </c>
      <c r="N529" s="350">
        <v>17633824.768680729</v>
      </c>
      <c r="O529" s="348">
        <v>92780908.19310984</v>
      </c>
      <c r="P529" s="369"/>
      <c r="Q529" s="350">
        <f t="shared" ref="Q529:Q592" si="237">J529-C529</f>
        <v>13893007.21247641</v>
      </c>
      <c r="R529" s="350">
        <f t="shared" ref="R529:R592" si="238">K529-D529</f>
        <v>13517581.664728541</v>
      </c>
      <c r="S529" s="350">
        <f t="shared" ref="S529:S592" si="239">L529-E529</f>
        <v>13131906.490424287</v>
      </c>
      <c r="T529" s="350">
        <f t="shared" ref="T529:T592" si="240">M529-F529</f>
        <v>12709282.60217173</v>
      </c>
      <c r="U529" s="350">
        <f t="shared" ref="U529:U592" si="241">N529-G529</f>
        <v>12227387.597189821</v>
      </c>
      <c r="V529" s="350">
        <f t="shared" ref="V529:V592" si="242">O529-H529</f>
        <v>65479165.566990778</v>
      </c>
      <c r="W529" s="365"/>
      <c r="X529" s="377">
        <f t="shared" si="220"/>
        <v>0</v>
      </c>
      <c r="Y529" s="377">
        <f t="shared" si="221"/>
        <v>0</v>
      </c>
      <c r="Z529" s="377">
        <f t="shared" si="222"/>
        <v>0</v>
      </c>
      <c r="AA529" s="377">
        <f t="shared" si="223"/>
        <v>0</v>
      </c>
      <c r="AB529" s="377">
        <f t="shared" si="224"/>
        <v>0</v>
      </c>
      <c r="AC529" s="377">
        <f t="shared" si="225"/>
        <v>0</v>
      </c>
      <c r="AD529" s="376"/>
      <c r="AE529" s="332">
        <v>514</v>
      </c>
      <c r="AF529" s="350">
        <v>503002.97347964003</v>
      </c>
      <c r="AG529" s="350">
        <v>501190.31084743951</v>
      </c>
      <c r="AH529" s="350">
        <v>499230.00507925084</v>
      </c>
      <c r="AI529" s="350">
        <v>496878.19867595483</v>
      </c>
      <c r="AJ529" s="350">
        <v>493918.86045009305</v>
      </c>
      <c r="AK529" s="348">
        <v>2494220.3485323782</v>
      </c>
      <c r="AL529" s="369"/>
      <c r="AM529" s="350">
        <v>14698320.487096727</v>
      </c>
      <c r="AN529" s="350">
        <v>14569046.862670876</v>
      </c>
      <c r="AO529" s="350">
        <v>14427306.888382686</v>
      </c>
      <c r="AP529" s="350">
        <v>14245351.106366249</v>
      </c>
      <c r="AQ529" s="350">
        <v>13999433.10780187</v>
      </c>
      <c r="AR529" s="348">
        <v>71939458.4523184</v>
      </c>
      <c r="AS529" s="369"/>
      <c r="AT529" s="350">
        <f t="shared" ref="AT529:AT592" si="243">AM529-AF529</f>
        <v>14195317.513617087</v>
      </c>
      <c r="AU529" s="350">
        <f t="shared" si="226"/>
        <v>14067856.551823437</v>
      </c>
      <c r="AV529" s="350">
        <f t="shared" si="227"/>
        <v>13928076.883303436</v>
      </c>
      <c r="AW529" s="350">
        <f t="shared" si="228"/>
        <v>13748472.907690294</v>
      </c>
      <c r="AX529" s="350">
        <f t="shared" si="229"/>
        <v>13505514.247351777</v>
      </c>
      <c r="AY529" s="350">
        <f t="shared" si="230"/>
        <v>69445238.103786021</v>
      </c>
      <c r="AZ529" s="365"/>
      <c r="BA529" s="377">
        <f t="shared" si="231"/>
        <v>0</v>
      </c>
      <c r="BB529" s="377">
        <f t="shared" si="232"/>
        <v>0</v>
      </c>
      <c r="BC529" s="377">
        <f t="shared" si="233"/>
        <v>0</v>
      </c>
      <c r="BD529" s="377">
        <f t="shared" si="234"/>
        <v>0</v>
      </c>
      <c r="BE529" s="377">
        <f t="shared" si="235"/>
        <v>0</v>
      </c>
      <c r="BF529" s="377">
        <f t="shared" si="236"/>
        <v>0</v>
      </c>
      <c r="BG529" s="328"/>
    </row>
    <row r="530" spans="2:59">
      <c r="B530" s="332">
        <v>515</v>
      </c>
      <c r="C530" s="350">
        <v>8821177.1195316724</v>
      </c>
      <c r="D530" s="350">
        <v>8789388.4045942947</v>
      </c>
      <c r="E530" s="350">
        <v>8755010.4678795096</v>
      </c>
      <c r="F530" s="350">
        <v>8713766.7736508064</v>
      </c>
      <c r="G530" s="350">
        <v>8661868.7769722957</v>
      </c>
      <c r="H530" s="348">
        <v>43741211.542628571</v>
      </c>
      <c r="I530" s="369"/>
      <c r="J530" s="350">
        <v>26818992.307630539</v>
      </c>
      <c r="K530" s="350">
        <v>26216427.940702304</v>
      </c>
      <c r="L530" s="350">
        <v>25598604.884521779</v>
      </c>
      <c r="M530" s="350">
        <v>24926733.386169188</v>
      </c>
      <c r="N530" s="350">
        <v>24168345.219838575</v>
      </c>
      <c r="O530" s="348">
        <v>127729103.73886238</v>
      </c>
      <c r="P530" s="369"/>
      <c r="Q530" s="350">
        <f t="shared" si="237"/>
        <v>17997815.188098866</v>
      </c>
      <c r="R530" s="350">
        <f t="shared" si="238"/>
        <v>17427039.53610801</v>
      </c>
      <c r="S530" s="350">
        <f t="shared" si="239"/>
        <v>16843594.416642271</v>
      </c>
      <c r="T530" s="350">
        <f t="shared" si="240"/>
        <v>16212966.612518381</v>
      </c>
      <c r="U530" s="350">
        <f t="shared" si="241"/>
        <v>15506476.442866279</v>
      </c>
      <c r="V530" s="350">
        <f t="shared" si="242"/>
        <v>83987892.196233809</v>
      </c>
      <c r="W530" s="365"/>
      <c r="X530" s="377">
        <f t="shared" si="220"/>
        <v>0</v>
      </c>
      <c r="Y530" s="377">
        <f t="shared" si="221"/>
        <v>0</v>
      </c>
      <c r="Z530" s="377">
        <f t="shared" si="222"/>
        <v>0</v>
      </c>
      <c r="AA530" s="377">
        <f t="shared" si="223"/>
        <v>0</v>
      </c>
      <c r="AB530" s="377">
        <f t="shared" si="224"/>
        <v>0</v>
      </c>
      <c r="AC530" s="377">
        <f t="shared" si="225"/>
        <v>0</v>
      </c>
      <c r="AD530" s="376"/>
      <c r="AE530" s="332">
        <v>515</v>
      </c>
      <c r="AF530" s="350">
        <v>333812.78383988247</v>
      </c>
      <c r="AG530" s="350">
        <v>332609.82880518044</v>
      </c>
      <c r="AH530" s="350">
        <v>331308.89191184629</v>
      </c>
      <c r="AI530" s="350">
        <v>329748.13962224085</v>
      </c>
      <c r="AJ530" s="350">
        <v>327784.20504613908</v>
      </c>
      <c r="AK530" s="348">
        <v>1655263.8492252892</v>
      </c>
      <c r="AL530" s="369"/>
      <c r="AM530" s="350">
        <v>10335473.967487752</v>
      </c>
      <c r="AN530" s="350">
        <v>10245494.765646797</v>
      </c>
      <c r="AO530" s="350">
        <v>10146730.713079289</v>
      </c>
      <c r="AP530" s="350">
        <v>10019639.320322733</v>
      </c>
      <c r="AQ530" s="350">
        <v>9847495.4093610886</v>
      </c>
      <c r="AR530" s="348">
        <v>50594834.175897658</v>
      </c>
      <c r="AS530" s="369"/>
      <c r="AT530" s="350">
        <f t="shared" si="243"/>
        <v>10001661.183647869</v>
      </c>
      <c r="AU530" s="350">
        <f t="shared" si="226"/>
        <v>9912884.9368416164</v>
      </c>
      <c r="AV530" s="350">
        <f t="shared" si="227"/>
        <v>9815421.8211674429</v>
      </c>
      <c r="AW530" s="350">
        <f t="shared" si="228"/>
        <v>9689891.1807004921</v>
      </c>
      <c r="AX530" s="350">
        <f t="shared" si="229"/>
        <v>9519711.204314949</v>
      </c>
      <c r="AY530" s="350">
        <f t="shared" si="230"/>
        <v>48939570.326672368</v>
      </c>
      <c r="AZ530" s="365"/>
      <c r="BA530" s="377">
        <f t="shared" si="231"/>
        <v>0</v>
      </c>
      <c r="BB530" s="377">
        <f t="shared" si="232"/>
        <v>0</v>
      </c>
      <c r="BC530" s="377">
        <f t="shared" si="233"/>
        <v>0</v>
      </c>
      <c r="BD530" s="377">
        <f t="shared" si="234"/>
        <v>0</v>
      </c>
      <c r="BE530" s="377">
        <f t="shared" si="235"/>
        <v>0</v>
      </c>
      <c r="BF530" s="377">
        <f t="shared" si="236"/>
        <v>0</v>
      </c>
      <c r="BG530" s="328"/>
    </row>
    <row r="531" spans="2:59">
      <c r="B531" s="332">
        <v>516</v>
      </c>
      <c r="C531" s="350">
        <v>7191425.2683527023</v>
      </c>
      <c r="D531" s="350">
        <v>7165509.66040703</v>
      </c>
      <c r="E531" s="350">
        <v>7137483.2009657901</v>
      </c>
      <c r="F531" s="350">
        <v>7103859.463360548</v>
      </c>
      <c r="G531" s="350">
        <v>7061549.8532446437</v>
      </c>
      <c r="H531" s="348">
        <v>35659827.446330711</v>
      </c>
      <c r="I531" s="369"/>
      <c r="J531" s="350">
        <v>22853560.795484968</v>
      </c>
      <c r="K531" s="350">
        <v>22355191.220410794</v>
      </c>
      <c r="L531" s="350">
        <v>21843510.745475736</v>
      </c>
      <c r="M531" s="350">
        <v>21284977.352071937</v>
      </c>
      <c r="N531" s="350">
        <v>20651476.315073263</v>
      </c>
      <c r="O531" s="348">
        <v>108988716.4285167</v>
      </c>
      <c r="P531" s="369"/>
      <c r="Q531" s="350">
        <f t="shared" si="237"/>
        <v>15662135.527132265</v>
      </c>
      <c r="R531" s="350">
        <f t="shared" si="238"/>
        <v>15189681.560003765</v>
      </c>
      <c r="S531" s="350">
        <f t="shared" si="239"/>
        <v>14706027.544509945</v>
      </c>
      <c r="T531" s="350">
        <f t="shared" si="240"/>
        <v>14181117.888711389</v>
      </c>
      <c r="U531" s="350">
        <f t="shared" si="241"/>
        <v>13589926.461828619</v>
      </c>
      <c r="V531" s="350">
        <f t="shared" si="242"/>
        <v>73328888.98218599</v>
      </c>
      <c r="W531" s="365"/>
      <c r="X531" s="377">
        <f t="shared" si="220"/>
        <v>0</v>
      </c>
      <c r="Y531" s="377">
        <f t="shared" si="221"/>
        <v>0</v>
      </c>
      <c r="Z531" s="377">
        <f t="shared" si="222"/>
        <v>0</v>
      </c>
      <c r="AA531" s="377">
        <f t="shared" si="223"/>
        <v>0</v>
      </c>
      <c r="AB531" s="377">
        <f t="shared" si="224"/>
        <v>0</v>
      </c>
      <c r="AC531" s="377">
        <f t="shared" si="225"/>
        <v>0</v>
      </c>
      <c r="AD531" s="376"/>
      <c r="AE531" s="332">
        <v>516</v>
      </c>
      <c r="AF531" s="350">
        <v>709224.04309809848</v>
      </c>
      <c r="AG531" s="350">
        <v>706668.22536229331</v>
      </c>
      <c r="AH531" s="350">
        <v>703904.23378386267</v>
      </c>
      <c r="AI531" s="350">
        <v>700588.2342095637</v>
      </c>
      <c r="AJ531" s="350">
        <v>696415.62702412053</v>
      </c>
      <c r="AK531" s="348">
        <v>3516800.3634779388</v>
      </c>
      <c r="AL531" s="369"/>
      <c r="AM531" s="350">
        <v>18069780.372652881</v>
      </c>
      <c r="AN531" s="350">
        <v>17906639.512976084</v>
      </c>
      <c r="AO531" s="350">
        <v>17728258.873395555</v>
      </c>
      <c r="AP531" s="350">
        <v>17500660.026163038</v>
      </c>
      <c r="AQ531" s="350">
        <v>17194774.507078893</v>
      </c>
      <c r="AR531" s="348">
        <v>88400113.292266458</v>
      </c>
      <c r="AS531" s="369"/>
      <c r="AT531" s="350">
        <f t="shared" si="243"/>
        <v>17360556.329554781</v>
      </c>
      <c r="AU531" s="350">
        <f t="shared" si="226"/>
        <v>17199971.28761379</v>
      </c>
      <c r="AV531" s="350">
        <f t="shared" si="227"/>
        <v>17024354.639611691</v>
      </c>
      <c r="AW531" s="350">
        <f t="shared" si="228"/>
        <v>16800071.791953474</v>
      </c>
      <c r="AX531" s="350">
        <f t="shared" si="229"/>
        <v>16498358.880054774</v>
      </c>
      <c r="AY531" s="350">
        <f t="shared" si="230"/>
        <v>84883312.928788513</v>
      </c>
      <c r="AZ531" s="365"/>
      <c r="BA531" s="377">
        <f t="shared" si="231"/>
        <v>0</v>
      </c>
      <c r="BB531" s="377">
        <f t="shared" si="232"/>
        <v>0</v>
      </c>
      <c r="BC531" s="377">
        <f t="shared" si="233"/>
        <v>0</v>
      </c>
      <c r="BD531" s="377">
        <f t="shared" si="234"/>
        <v>0</v>
      </c>
      <c r="BE531" s="377">
        <f t="shared" si="235"/>
        <v>0</v>
      </c>
      <c r="BF531" s="377">
        <f t="shared" si="236"/>
        <v>0</v>
      </c>
      <c r="BG531" s="328"/>
    </row>
    <row r="532" spans="2:59">
      <c r="B532" s="332">
        <v>517</v>
      </c>
      <c r="C532" s="350">
        <v>5961348.2096279347</v>
      </c>
      <c r="D532" s="350">
        <v>5939865.4079212658</v>
      </c>
      <c r="E532" s="350">
        <v>5916632.8111024546</v>
      </c>
      <c r="F532" s="350">
        <v>5888760.3379146848</v>
      </c>
      <c r="G532" s="350">
        <v>5853687.6911023129</v>
      </c>
      <c r="H532" s="348">
        <v>29560294.457668647</v>
      </c>
      <c r="I532" s="369"/>
      <c r="J532" s="350">
        <v>19190175.986444414</v>
      </c>
      <c r="K532" s="350">
        <v>18775280.803975284</v>
      </c>
      <c r="L532" s="350">
        <v>18349135.195595585</v>
      </c>
      <c r="M532" s="350">
        <v>17883458.032115512</v>
      </c>
      <c r="N532" s="350">
        <v>17354535.102973081</v>
      </c>
      <c r="O532" s="348">
        <v>91552585.121103883</v>
      </c>
      <c r="P532" s="369"/>
      <c r="Q532" s="350">
        <f t="shared" si="237"/>
        <v>13228827.77681648</v>
      </c>
      <c r="R532" s="350">
        <f t="shared" si="238"/>
        <v>12835415.396054018</v>
      </c>
      <c r="S532" s="350">
        <f t="shared" si="239"/>
        <v>12432502.384493131</v>
      </c>
      <c r="T532" s="350">
        <f t="shared" si="240"/>
        <v>11994697.694200827</v>
      </c>
      <c r="U532" s="350">
        <f t="shared" si="241"/>
        <v>11500847.411870768</v>
      </c>
      <c r="V532" s="350">
        <f t="shared" si="242"/>
        <v>61992290.663435236</v>
      </c>
      <c r="W532" s="365"/>
      <c r="X532" s="377">
        <f t="shared" si="220"/>
        <v>0</v>
      </c>
      <c r="Y532" s="377">
        <f t="shared" si="221"/>
        <v>0</v>
      </c>
      <c r="Z532" s="377">
        <f t="shared" si="222"/>
        <v>0</v>
      </c>
      <c r="AA532" s="377">
        <f t="shared" si="223"/>
        <v>0</v>
      </c>
      <c r="AB532" s="377">
        <f t="shared" si="224"/>
        <v>0</v>
      </c>
      <c r="AC532" s="377">
        <f t="shared" si="225"/>
        <v>0</v>
      </c>
      <c r="AD532" s="376"/>
      <c r="AE532" s="332">
        <v>517</v>
      </c>
      <c r="AF532" s="350">
        <v>375154.91958353668</v>
      </c>
      <c r="AG532" s="350">
        <v>373802.98064903886</v>
      </c>
      <c r="AH532" s="350">
        <v>372340.92497223732</v>
      </c>
      <c r="AI532" s="350">
        <v>370586.87621184712</v>
      </c>
      <c r="AJ532" s="350">
        <v>368379.71173633018</v>
      </c>
      <c r="AK532" s="348">
        <v>1860265.4131529904</v>
      </c>
      <c r="AL532" s="369"/>
      <c r="AM532" s="350">
        <v>13075324.141234091</v>
      </c>
      <c r="AN532" s="350">
        <v>12963679.720406409</v>
      </c>
      <c r="AO532" s="350">
        <v>12840876.98670838</v>
      </c>
      <c r="AP532" s="350">
        <v>12682122.245748889</v>
      </c>
      <c r="AQ532" s="350">
        <v>12466191.82255023</v>
      </c>
      <c r="AR532" s="348">
        <v>64028194.916647993</v>
      </c>
      <c r="AS532" s="369"/>
      <c r="AT532" s="350">
        <f t="shared" si="243"/>
        <v>12700169.221650554</v>
      </c>
      <c r="AU532" s="350">
        <f t="shared" si="226"/>
        <v>12589876.73975737</v>
      </c>
      <c r="AV532" s="350">
        <f t="shared" si="227"/>
        <v>12468536.061736142</v>
      </c>
      <c r="AW532" s="350">
        <f t="shared" si="228"/>
        <v>12311535.369537042</v>
      </c>
      <c r="AX532" s="350">
        <f t="shared" si="229"/>
        <v>12097812.110813899</v>
      </c>
      <c r="AY532" s="350">
        <f t="shared" si="230"/>
        <v>62167929.503495</v>
      </c>
      <c r="AZ532" s="365"/>
      <c r="BA532" s="377">
        <f t="shared" si="231"/>
        <v>0</v>
      </c>
      <c r="BB532" s="377">
        <f t="shared" si="232"/>
        <v>0</v>
      </c>
      <c r="BC532" s="377">
        <f t="shared" si="233"/>
        <v>0</v>
      </c>
      <c r="BD532" s="377">
        <f t="shared" si="234"/>
        <v>0</v>
      </c>
      <c r="BE532" s="377">
        <f t="shared" si="235"/>
        <v>0</v>
      </c>
      <c r="BF532" s="377">
        <f t="shared" si="236"/>
        <v>0</v>
      </c>
      <c r="BG532" s="328"/>
    </row>
    <row r="533" spans="2:59">
      <c r="B533" s="332">
        <v>518</v>
      </c>
      <c r="C533" s="350">
        <v>7389989.3734319024</v>
      </c>
      <c r="D533" s="350">
        <v>7363358.2036459409</v>
      </c>
      <c r="E533" s="350">
        <v>7334557.8991559353</v>
      </c>
      <c r="F533" s="350">
        <v>7300005.7687609652</v>
      </c>
      <c r="G533" s="350">
        <v>7256527.9382220693</v>
      </c>
      <c r="H533" s="348">
        <v>36644439.18321681</v>
      </c>
      <c r="I533" s="369"/>
      <c r="J533" s="350">
        <v>26351320.947249003</v>
      </c>
      <c r="K533" s="350">
        <v>25818529.099960588</v>
      </c>
      <c r="L533" s="350">
        <v>25269534.452201858</v>
      </c>
      <c r="M533" s="350">
        <v>24664309.618851859</v>
      </c>
      <c r="N533" s="350">
        <v>23969197.309582729</v>
      </c>
      <c r="O533" s="348">
        <v>126072891.42784603</v>
      </c>
      <c r="P533" s="369"/>
      <c r="Q533" s="350">
        <f t="shared" si="237"/>
        <v>18961331.5738171</v>
      </c>
      <c r="R533" s="350">
        <f t="shared" si="238"/>
        <v>18455170.896314647</v>
      </c>
      <c r="S533" s="350">
        <f t="shared" si="239"/>
        <v>17934976.553045921</v>
      </c>
      <c r="T533" s="350">
        <f t="shared" si="240"/>
        <v>17364303.850090895</v>
      </c>
      <c r="U533" s="350">
        <f t="shared" si="241"/>
        <v>16712669.37136066</v>
      </c>
      <c r="V533" s="350">
        <f t="shared" si="242"/>
        <v>89428452.244629219</v>
      </c>
      <c r="W533" s="365"/>
      <c r="X533" s="377">
        <f t="shared" si="220"/>
        <v>0</v>
      </c>
      <c r="Y533" s="377">
        <f t="shared" si="221"/>
        <v>0</v>
      </c>
      <c r="Z533" s="377">
        <f t="shared" si="222"/>
        <v>0</v>
      </c>
      <c r="AA533" s="377">
        <f t="shared" si="223"/>
        <v>0</v>
      </c>
      <c r="AB533" s="377">
        <f t="shared" si="224"/>
        <v>0</v>
      </c>
      <c r="AC533" s="377">
        <f t="shared" si="225"/>
        <v>0</v>
      </c>
      <c r="AD533" s="376"/>
      <c r="AE533" s="332">
        <v>518</v>
      </c>
      <c r="AF533" s="350">
        <v>517625.81860067043</v>
      </c>
      <c r="AG533" s="350">
        <v>515760.45988847659</v>
      </c>
      <c r="AH533" s="350">
        <v>513743.16589328053</v>
      </c>
      <c r="AI533" s="350">
        <v>511322.98991246067</v>
      </c>
      <c r="AJ533" s="350">
        <v>508277.62049628975</v>
      </c>
      <c r="AK533" s="348">
        <v>2566730.0547911781</v>
      </c>
      <c r="AL533" s="369"/>
      <c r="AM533" s="350">
        <v>12650607.836640816</v>
      </c>
      <c r="AN533" s="350">
        <v>12535414.375425603</v>
      </c>
      <c r="AO533" s="350">
        <v>12409571.572902769</v>
      </c>
      <c r="AP533" s="350">
        <v>12249322.834002538</v>
      </c>
      <c r="AQ533" s="350">
        <v>12034346.393648222</v>
      </c>
      <c r="AR533" s="348">
        <v>61879263.01261995</v>
      </c>
      <c r="AS533" s="369"/>
      <c r="AT533" s="350">
        <f t="shared" si="243"/>
        <v>12132982.018040147</v>
      </c>
      <c r="AU533" s="350">
        <f t="shared" si="226"/>
        <v>12019653.915537126</v>
      </c>
      <c r="AV533" s="350">
        <f t="shared" si="227"/>
        <v>11895828.407009488</v>
      </c>
      <c r="AW533" s="350">
        <f t="shared" si="228"/>
        <v>11737999.844090076</v>
      </c>
      <c r="AX533" s="350">
        <f t="shared" si="229"/>
        <v>11526068.773151932</v>
      </c>
      <c r="AY533" s="350">
        <f t="shared" si="230"/>
        <v>59312532.957828775</v>
      </c>
      <c r="AZ533" s="365"/>
      <c r="BA533" s="377">
        <f t="shared" si="231"/>
        <v>0</v>
      </c>
      <c r="BB533" s="377">
        <f t="shared" si="232"/>
        <v>0</v>
      </c>
      <c r="BC533" s="377">
        <f t="shared" si="233"/>
        <v>0</v>
      </c>
      <c r="BD533" s="377">
        <f t="shared" si="234"/>
        <v>0</v>
      </c>
      <c r="BE533" s="377">
        <f t="shared" si="235"/>
        <v>0</v>
      </c>
      <c r="BF533" s="377">
        <f t="shared" si="236"/>
        <v>0</v>
      </c>
      <c r="BG533" s="328"/>
    </row>
    <row r="534" spans="2:59">
      <c r="B534" s="332">
        <v>519</v>
      </c>
      <c r="C534" s="350">
        <v>6540023.1231593043</v>
      </c>
      <c r="D534" s="350">
        <v>6516454.9612316135</v>
      </c>
      <c r="E534" s="350">
        <v>6490967.1495717159</v>
      </c>
      <c r="F534" s="350">
        <v>6460389.0634177756</v>
      </c>
      <c r="G534" s="350">
        <v>6421911.8745206622</v>
      </c>
      <c r="H534" s="348">
        <v>32429746.171901073</v>
      </c>
      <c r="I534" s="369"/>
      <c r="J534" s="350">
        <v>19642300.808662884</v>
      </c>
      <c r="K534" s="350">
        <v>19197298.612803444</v>
      </c>
      <c r="L534" s="350">
        <v>18741196.1086694</v>
      </c>
      <c r="M534" s="350">
        <v>18245702.509364165</v>
      </c>
      <c r="N534" s="350">
        <v>17687147.063840672</v>
      </c>
      <c r="O534" s="348">
        <v>93513645.103340566</v>
      </c>
      <c r="P534" s="369"/>
      <c r="Q534" s="350">
        <f t="shared" si="237"/>
        <v>13102277.68550358</v>
      </c>
      <c r="R534" s="350">
        <f t="shared" si="238"/>
        <v>12680843.651571831</v>
      </c>
      <c r="S534" s="350">
        <f t="shared" si="239"/>
        <v>12250228.959097683</v>
      </c>
      <c r="T534" s="350">
        <f t="shared" si="240"/>
        <v>11785313.44594639</v>
      </c>
      <c r="U534" s="350">
        <f t="shared" si="241"/>
        <v>11265235.189320009</v>
      </c>
      <c r="V534" s="350">
        <f t="shared" si="242"/>
        <v>61083898.931439489</v>
      </c>
      <c r="W534" s="365"/>
      <c r="X534" s="377">
        <f t="shared" si="220"/>
        <v>0</v>
      </c>
      <c r="Y534" s="377">
        <f t="shared" si="221"/>
        <v>0</v>
      </c>
      <c r="Z534" s="377">
        <f t="shared" si="222"/>
        <v>0</v>
      </c>
      <c r="AA534" s="377">
        <f t="shared" si="223"/>
        <v>0</v>
      </c>
      <c r="AB534" s="377">
        <f t="shared" si="224"/>
        <v>0</v>
      </c>
      <c r="AC534" s="377">
        <f t="shared" si="225"/>
        <v>0</v>
      </c>
      <c r="AD534" s="376"/>
      <c r="AE534" s="332">
        <v>519</v>
      </c>
      <c r="AF534" s="350">
        <v>778944.5988163444</v>
      </c>
      <c r="AG534" s="350">
        <v>776137.53038678586</v>
      </c>
      <c r="AH534" s="350">
        <v>773101.82350100752</v>
      </c>
      <c r="AI534" s="350">
        <v>769459.84325060004</v>
      </c>
      <c r="AJ534" s="350">
        <v>764877.04623220628</v>
      </c>
      <c r="AK534" s="348">
        <v>3862520.8421869441</v>
      </c>
      <c r="AL534" s="369"/>
      <c r="AM534" s="350">
        <v>19965859.055328198</v>
      </c>
      <c r="AN534" s="350">
        <v>19785817.690295167</v>
      </c>
      <c r="AO534" s="350">
        <v>19588932.96934928</v>
      </c>
      <c r="AP534" s="350">
        <v>19337654.035925325</v>
      </c>
      <c r="AQ534" s="350">
        <v>18999855.788180728</v>
      </c>
      <c r="AR534" s="348">
        <v>97678119.539078698</v>
      </c>
      <c r="AS534" s="369"/>
      <c r="AT534" s="350">
        <f t="shared" si="243"/>
        <v>19186914.456511855</v>
      </c>
      <c r="AU534" s="350">
        <f t="shared" si="226"/>
        <v>19009680.15990838</v>
      </c>
      <c r="AV534" s="350">
        <f t="shared" si="227"/>
        <v>18815831.145848274</v>
      </c>
      <c r="AW534" s="350">
        <f t="shared" si="228"/>
        <v>18568194.192674726</v>
      </c>
      <c r="AX534" s="350">
        <f t="shared" si="229"/>
        <v>18234978.741948523</v>
      </c>
      <c r="AY534" s="350">
        <f t="shared" si="230"/>
        <v>93815598.696891755</v>
      </c>
      <c r="AZ534" s="365"/>
      <c r="BA534" s="377">
        <f t="shared" si="231"/>
        <v>0</v>
      </c>
      <c r="BB534" s="377">
        <f t="shared" si="232"/>
        <v>0</v>
      </c>
      <c r="BC534" s="377">
        <f t="shared" si="233"/>
        <v>0</v>
      </c>
      <c r="BD534" s="377">
        <f t="shared" si="234"/>
        <v>0</v>
      </c>
      <c r="BE534" s="377">
        <f t="shared" si="235"/>
        <v>0</v>
      </c>
      <c r="BF534" s="377">
        <f t="shared" si="236"/>
        <v>0</v>
      </c>
      <c r="BG534" s="328"/>
    </row>
    <row r="535" spans="2:59">
      <c r="B535" s="332">
        <v>520</v>
      </c>
      <c r="C535" s="350">
        <v>6675317.8899776042</v>
      </c>
      <c r="D535" s="350">
        <v>6651262.1687688027</v>
      </c>
      <c r="E535" s="350">
        <v>6625247.085649725</v>
      </c>
      <c r="F535" s="350">
        <v>6594036.4245097255</v>
      </c>
      <c r="G535" s="350">
        <v>6554763.2503077276</v>
      </c>
      <c r="H535" s="348">
        <v>33100626.819213588</v>
      </c>
      <c r="I535" s="369"/>
      <c r="J535" s="350">
        <v>19358426.27172013</v>
      </c>
      <c r="K535" s="350">
        <v>18909192.883773025</v>
      </c>
      <c r="L535" s="350">
        <v>18449237.339281548</v>
      </c>
      <c r="M535" s="350">
        <v>17951022.075466037</v>
      </c>
      <c r="N535" s="350">
        <v>17391534.225213878</v>
      </c>
      <c r="O535" s="348">
        <v>92059412.795454621</v>
      </c>
      <c r="P535" s="369"/>
      <c r="Q535" s="350">
        <f t="shared" si="237"/>
        <v>12683108.381742526</v>
      </c>
      <c r="R535" s="350">
        <f t="shared" si="238"/>
        <v>12257930.715004222</v>
      </c>
      <c r="S535" s="350">
        <f t="shared" si="239"/>
        <v>11823990.253631823</v>
      </c>
      <c r="T535" s="350">
        <f t="shared" si="240"/>
        <v>11356985.65095631</v>
      </c>
      <c r="U535" s="350">
        <f t="shared" si="241"/>
        <v>10836770.97490615</v>
      </c>
      <c r="V535" s="350">
        <f t="shared" si="242"/>
        <v>58958785.976241037</v>
      </c>
      <c r="W535" s="365"/>
      <c r="X535" s="377">
        <f t="shared" si="220"/>
        <v>0</v>
      </c>
      <c r="Y535" s="377">
        <f t="shared" si="221"/>
        <v>0</v>
      </c>
      <c r="Z535" s="377">
        <f t="shared" si="222"/>
        <v>0</v>
      </c>
      <c r="AA535" s="377">
        <f t="shared" si="223"/>
        <v>0</v>
      </c>
      <c r="AB535" s="377">
        <f t="shared" si="224"/>
        <v>0</v>
      </c>
      <c r="AC535" s="377">
        <f t="shared" si="225"/>
        <v>0</v>
      </c>
      <c r="AD535" s="376"/>
      <c r="AE535" s="332">
        <v>520</v>
      </c>
      <c r="AF535" s="350">
        <v>436808.73161594116</v>
      </c>
      <c r="AG535" s="350">
        <v>435234.61196463625</v>
      </c>
      <c r="AH535" s="350">
        <v>433532.27873535443</v>
      </c>
      <c r="AI535" s="350">
        <v>431489.9656155663</v>
      </c>
      <c r="AJ535" s="350">
        <v>428920.07071431167</v>
      </c>
      <c r="AK535" s="348">
        <v>2165985.6586458096</v>
      </c>
      <c r="AL535" s="369"/>
      <c r="AM535" s="350">
        <v>11607503.937359896</v>
      </c>
      <c r="AN535" s="350">
        <v>11503578.120388804</v>
      </c>
      <c r="AO535" s="350">
        <v>11389844.92095961</v>
      </c>
      <c r="AP535" s="350">
        <v>11244449.445407655</v>
      </c>
      <c r="AQ535" s="350">
        <v>11048693.15282931</v>
      </c>
      <c r="AR535" s="348">
        <v>56794069.576945283</v>
      </c>
      <c r="AS535" s="369"/>
      <c r="AT535" s="350">
        <f t="shared" si="243"/>
        <v>11170695.205743954</v>
      </c>
      <c r="AU535" s="350">
        <f t="shared" si="226"/>
        <v>11068343.508424168</v>
      </c>
      <c r="AV535" s="350">
        <f t="shared" si="227"/>
        <v>10956312.642224256</v>
      </c>
      <c r="AW535" s="350">
        <f t="shared" si="228"/>
        <v>10812959.479792088</v>
      </c>
      <c r="AX535" s="350">
        <f t="shared" si="229"/>
        <v>10619773.082114998</v>
      </c>
      <c r="AY535" s="350">
        <f t="shared" si="230"/>
        <v>54628083.918299474</v>
      </c>
      <c r="AZ535" s="365"/>
      <c r="BA535" s="377">
        <f t="shared" si="231"/>
        <v>0</v>
      </c>
      <c r="BB535" s="377">
        <f t="shared" si="232"/>
        <v>0</v>
      </c>
      <c r="BC535" s="377">
        <f t="shared" si="233"/>
        <v>0</v>
      </c>
      <c r="BD535" s="377">
        <f t="shared" si="234"/>
        <v>0</v>
      </c>
      <c r="BE535" s="377">
        <f t="shared" si="235"/>
        <v>0</v>
      </c>
      <c r="BF535" s="377">
        <f t="shared" si="236"/>
        <v>0</v>
      </c>
      <c r="BG535" s="328"/>
    </row>
    <row r="536" spans="2:59">
      <c r="B536" s="332">
        <v>521</v>
      </c>
      <c r="C536" s="350">
        <v>6412027.2779471604</v>
      </c>
      <c r="D536" s="350">
        <v>6388920.3723100377</v>
      </c>
      <c r="E536" s="350">
        <v>6363931.3867146038</v>
      </c>
      <c r="F536" s="350">
        <v>6333951.7492065672</v>
      </c>
      <c r="G536" s="350">
        <v>6296227.6035665702</v>
      </c>
      <c r="H536" s="348">
        <v>31795058.389744937</v>
      </c>
      <c r="I536" s="369"/>
      <c r="J536" s="350">
        <v>21415388.758672379</v>
      </c>
      <c r="K536" s="350">
        <v>20963545.809434611</v>
      </c>
      <c r="L536" s="350">
        <v>20498919.958408691</v>
      </c>
      <c r="M536" s="350">
        <v>19989590.229284674</v>
      </c>
      <c r="N536" s="350">
        <v>19408762.033577777</v>
      </c>
      <c r="O536" s="348">
        <v>102276206.78937814</v>
      </c>
      <c r="P536" s="369"/>
      <c r="Q536" s="350">
        <f t="shared" si="237"/>
        <v>15003361.480725218</v>
      </c>
      <c r="R536" s="350">
        <f t="shared" si="238"/>
        <v>14574625.437124573</v>
      </c>
      <c r="S536" s="350">
        <f t="shared" si="239"/>
        <v>14134988.571694087</v>
      </c>
      <c r="T536" s="350">
        <f t="shared" si="240"/>
        <v>13655638.480078107</v>
      </c>
      <c r="U536" s="350">
        <f t="shared" si="241"/>
        <v>13112534.430011207</v>
      </c>
      <c r="V536" s="350">
        <f t="shared" si="242"/>
        <v>70481148.399633199</v>
      </c>
      <c r="W536" s="365"/>
      <c r="X536" s="377">
        <f t="shared" si="220"/>
        <v>0</v>
      </c>
      <c r="Y536" s="377">
        <f t="shared" si="221"/>
        <v>0</v>
      </c>
      <c r="Z536" s="377">
        <f t="shared" si="222"/>
        <v>0</v>
      </c>
      <c r="AA536" s="377">
        <f t="shared" si="223"/>
        <v>0</v>
      </c>
      <c r="AB536" s="377">
        <f t="shared" si="224"/>
        <v>0</v>
      </c>
      <c r="AC536" s="377">
        <f t="shared" si="225"/>
        <v>0</v>
      </c>
      <c r="AD536" s="376"/>
      <c r="AE536" s="332">
        <v>521</v>
      </c>
      <c r="AF536" s="350">
        <v>598607.65246293903</v>
      </c>
      <c r="AG536" s="350">
        <v>596450.46099454153</v>
      </c>
      <c r="AH536" s="350">
        <v>594117.56418105471</v>
      </c>
      <c r="AI536" s="350">
        <v>591318.75505993667</v>
      </c>
      <c r="AJ536" s="350">
        <v>587796.94186672161</v>
      </c>
      <c r="AK536" s="348">
        <v>2968291.3745651934</v>
      </c>
      <c r="AL536" s="369"/>
      <c r="AM536" s="350">
        <v>18812187.734376378</v>
      </c>
      <c r="AN536" s="350">
        <v>18648828.268253308</v>
      </c>
      <c r="AO536" s="350">
        <v>18469470.480836678</v>
      </c>
      <c r="AP536" s="350">
        <v>18238530.50638967</v>
      </c>
      <c r="AQ536" s="350">
        <v>17925553.545902979</v>
      </c>
      <c r="AR536" s="348">
        <v>92094570.535759017</v>
      </c>
      <c r="AS536" s="369"/>
      <c r="AT536" s="350">
        <f t="shared" si="243"/>
        <v>18213580.081913438</v>
      </c>
      <c r="AU536" s="350">
        <f t="shared" si="226"/>
        <v>18052377.807258766</v>
      </c>
      <c r="AV536" s="350">
        <f t="shared" si="227"/>
        <v>17875352.916655622</v>
      </c>
      <c r="AW536" s="350">
        <f t="shared" si="228"/>
        <v>17647211.751329735</v>
      </c>
      <c r="AX536" s="350">
        <f t="shared" si="229"/>
        <v>17337756.604036257</v>
      </c>
      <c r="AY536" s="350">
        <f t="shared" si="230"/>
        <v>89126279.161193818</v>
      </c>
      <c r="AZ536" s="365"/>
      <c r="BA536" s="377">
        <f t="shared" si="231"/>
        <v>0</v>
      </c>
      <c r="BB536" s="377">
        <f t="shared" si="232"/>
        <v>0</v>
      </c>
      <c r="BC536" s="377">
        <f t="shared" si="233"/>
        <v>0</v>
      </c>
      <c r="BD536" s="377">
        <f t="shared" si="234"/>
        <v>0</v>
      </c>
      <c r="BE536" s="377">
        <f t="shared" si="235"/>
        <v>0</v>
      </c>
      <c r="BF536" s="377">
        <f t="shared" si="236"/>
        <v>0</v>
      </c>
      <c r="BG536" s="328"/>
    </row>
    <row r="537" spans="2:59">
      <c r="B537" s="332">
        <v>522</v>
      </c>
      <c r="C537" s="350">
        <v>5267127.6301205289</v>
      </c>
      <c r="D537" s="350">
        <v>5248146.5784418406</v>
      </c>
      <c r="E537" s="350">
        <v>5227619.5016262019</v>
      </c>
      <c r="F537" s="350">
        <v>5202992.8788414439</v>
      </c>
      <c r="G537" s="350">
        <v>5172004.5687157996</v>
      </c>
      <c r="H537" s="348">
        <v>26117891.157745816</v>
      </c>
      <c r="I537" s="369"/>
      <c r="J537" s="350">
        <v>18113483.909527149</v>
      </c>
      <c r="K537" s="350">
        <v>17738558.117166229</v>
      </c>
      <c r="L537" s="350">
        <v>17352672.286854155</v>
      </c>
      <c r="M537" s="350">
        <v>16928592.978098754</v>
      </c>
      <c r="N537" s="350">
        <v>16443442.160082288</v>
      </c>
      <c r="O537" s="348">
        <v>86576749.451728582</v>
      </c>
      <c r="P537" s="369"/>
      <c r="Q537" s="350">
        <f t="shared" si="237"/>
        <v>12846356.27940662</v>
      </c>
      <c r="R537" s="350">
        <f t="shared" si="238"/>
        <v>12490411.538724389</v>
      </c>
      <c r="S537" s="350">
        <f t="shared" si="239"/>
        <v>12125052.785227954</v>
      </c>
      <c r="T537" s="350">
        <f t="shared" si="240"/>
        <v>11725600.099257309</v>
      </c>
      <c r="U537" s="350">
        <f t="shared" si="241"/>
        <v>11271437.591366488</v>
      </c>
      <c r="V537" s="350">
        <f t="shared" si="242"/>
        <v>60458858.293982767</v>
      </c>
      <c r="W537" s="365"/>
      <c r="X537" s="377">
        <f t="shared" si="220"/>
        <v>0</v>
      </c>
      <c r="Y537" s="377">
        <f t="shared" si="221"/>
        <v>0</v>
      </c>
      <c r="Z537" s="377">
        <f t="shared" si="222"/>
        <v>0</v>
      </c>
      <c r="AA537" s="377">
        <f t="shared" si="223"/>
        <v>0</v>
      </c>
      <c r="AB537" s="377">
        <f t="shared" si="224"/>
        <v>0</v>
      </c>
      <c r="AC537" s="377">
        <f t="shared" si="225"/>
        <v>0</v>
      </c>
      <c r="AD537" s="376"/>
      <c r="AE537" s="332">
        <v>522</v>
      </c>
      <c r="AF537" s="350">
        <v>404603.51800371433</v>
      </c>
      <c r="AG537" s="350">
        <v>403145.45569273294</v>
      </c>
      <c r="AH537" s="350">
        <v>401568.6327871239</v>
      </c>
      <c r="AI537" s="350">
        <v>399676.89616804471</v>
      </c>
      <c r="AJ537" s="350">
        <v>397296.47553382156</v>
      </c>
      <c r="AK537" s="348">
        <v>2006290.9781854376</v>
      </c>
      <c r="AL537" s="369"/>
      <c r="AM537" s="350">
        <v>12017545.497643303</v>
      </c>
      <c r="AN537" s="350">
        <v>11912158.565443169</v>
      </c>
      <c r="AO537" s="350">
        <v>11796572.668722576</v>
      </c>
      <c r="AP537" s="350">
        <v>11648089.498289656</v>
      </c>
      <c r="AQ537" s="350">
        <v>11447284.519750889</v>
      </c>
      <c r="AR537" s="348">
        <v>58821650.749849603</v>
      </c>
      <c r="AS537" s="369"/>
      <c r="AT537" s="350">
        <f t="shared" si="243"/>
        <v>11612941.979639588</v>
      </c>
      <c r="AU537" s="350">
        <f t="shared" si="226"/>
        <v>11509013.109750437</v>
      </c>
      <c r="AV537" s="350">
        <f t="shared" si="227"/>
        <v>11395004.035935452</v>
      </c>
      <c r="AW537" s="350">
        <f t="shared" si="228"/>
        <v>11248412.602121612</v>
      </c>
      <c r="AX537" s="350">
        <f t="shared" si="229"/>
        <v>11049988.044217069</v>
      </c>
      <c r="AY537" s="350">
        <f t="shared" si="230"/>
        <v>56815359.771664165</v>
      </c>
      <c r="AZ537" s="365"/>
      <c r="BA537" s="377">
        <f t="shared" si="231"/>
        <v>0</v>
      </c>
      <c r="BB537" s="377">
        <f t="shared" si="232"/>
        <v>0</v>
      </c>
      <c r="BC537" s="377">
        <f t="shared" si="233"/>
        <v>0</v>
      </c>
      <c r="BD537" s="377">
        <f t="shared" si="234"/>
        <v>0</v>
      </c>
      <c r="BE537" s="377">
        <f t="shared" si="235"/>
        <v>0</v>
      </c>
      <c r="BF537" s="377">
        <f t="shared" si="236"/>
        <v>0</v>
      </c>
      <c r="BG537" s="328"/>
    </row>
    <row r="538" spans="2:59">
      <c r="B538" s="332">
        <v>523</v>
      </c>
      <c r="C538" s="350">
        <v>5428881.3191166157</v>
      </c>
      <c r="D538" s="350">
        <v>5409317.3586220313</v>
      </c>
      <c r="E538" s="350">
        <v>5388159.8944999892</v>
      </c>
      <c r="F538" s="350">
        <v>5362776.987196858</v>
      </c>
      <c r="G538" s="350">
        <v>5330837.0248936769</v>
      </c>
      <c r="H538" s="348">
        <v>26919972.584329173</v>
      </c>
      <c r="I538" s="369"/>
      <c r="J538" s="350">
        <v>17284900.930238858</v>
      </c>
      <c r="K538" s="350">
        <v>16908442.260954067</v>
      </c>
      <c r="L538" s="350">
        <v>16521906.427025929</v>
      </c>
      <c r="M538" s="350">
        <v>16099909.164935585</v>
      </c>
      <c r="N538" s="350">
        <v>15621172.323892232</v>
      </c>
      <c r="O538" s="348">
        <v>82436331.107046679</v>
      </c>
      <c r="P538" s="369"/>
      <c r="Q538" s="350">
        <f t="shared" si="237"/>
        <v>11856019.611122243</v>
      </c>
      <c r="R538" s="350">
        <f t="shared" si="238"/>
        <v>11499124.902332036</v>
      </c>
      <c r="S538" s="350">
        <f t="shared" si="239"/>
        <v>11133746.53252594</v>
      </c>
      <c r="T538" s="350">
        <f t="shared" si="240"/>
        <v>10737132.177738726</v>
      </c>
      <c r="U538" s="350">
        <f t="shared" si="241"/>
        <v>10290335.298998555</v>
      </c>
      <c r="V538" s="350">
        <f t="shared" si="242"/>
        <v>55516358.522717506</v>
      </c>
      <c r="W538" s="365"/>
      <c r="X538" s="377">
        <f t="shared" si="220"/>
        <v>0</v>
      </c>
      <c r="Y538" s="377">
        <f t="shared" si="221"/>
        <v>0</v>
      </c>
      <c r="Z538" s="377">
        <f t="shared" si="222"/>
        <v>0</v>
      </c>
      <c r="AA538" s="377">
        <f t="shared" si="223"/>
        <v>0</v>
      </c>
      <c r="AB538" s="377">
        <f t="shared" si="224"/>
        <v>0</v>
      </c>
      <c r="AC538" s="377">
        <f t="shared" si="225"/>
        <v>0</v>
      </c>
      <c r="AD538" s="376"/>
      <c r="AE538" s="332">
        <v>523</v>
      </c>
      <c r="AF538" s="350">
        <v>207661.94429322978</v>
      </c>
      <c r="AG538" s="350">
        <v>206913.59673586555</v>
      </c>
      <c r="AH538" s="350">
        <v>206104.2955414507</v>
      </c>
      <c r="AI538" s="350">
        <v>205133.36551507088</v>
      </c>
      <c r="AJ538" s="350">
        <v>203911.61939784119</v>
      </c>
      <c r="AK538" s="348">
        <v>1029724.821483458</v>
      </c>
      <c r="AL538" s="369"/>
      <c r="AM538" s="350">
        <v>6202681.1375166839</v>
      </c>
      <c r="AN538" s="350">
        <v>6148341.4103136174</v>
      </c>
      <c r="AO538" s="350">
        <v>6088736.5292294575</v>
      </c>
      <c r="AP538" s="350">
        <v>6012149.3418723559</v>
      </c>
      <c r="AQ538" s="350">
        <v>5908552.5522880573</v>
      </c>
      <c r="AR538" s="348">
        <v>30360460.971220173</v>
      </c>
      <c r="AS538" s="369"/>
      <c r="AT538" s="350">
        <f t="shared" si="243"/>
        <v>5995019.1932234541</v>
      </c>
      <c r="AU538" s="350">
        <f t="shared" si="226"/>
        <v>5941427.8135777516</v>
      </c>
      <c r="AV538" s="350">
        <f t="shared" si="227"/>
        <v>5882632.2336880071</v>
      </c>
      <c r="AW538" s="350">
        <f t="shared" si="228"/>
        <v>5807015.9763572849</v>
      </c>
      <c r="AX538" s="350">
        <f t="shared" si="229"/>
        <v>5704640.9328902159</v>
      </c>
      <c r="AY538" s="350">
        <f t="shared" si="230"/>
        <v>29330736.149736714</v>
      </c>
      <c r="AZ538" s="365"/>
      <c r="BA538" s="377">
        <f t="shared" si="231"/>
        <v>0</v>
      </c>
      <c r="BB538" s="377">
        <f t="shared" si="232"/>
        <v>0</v>
      </c>
      <c r="BC538" s="377">
        <f t="shared" si="233"/>
        <v>0</v>
      </c>
      <c r="BD538" s="377">
        <f t="shared" si="234"/>
        <v>0</v>
      </c>
      <c r="BE538" s="377">
        <f t="shared" si="235"/>
        <v>0</v>
      </c>
      <c r="BF538" s="377">
        <f t="shared" si="236"/>
        <v>0</v>
      </c>
      <c r="BG538" s="328"/>
    </row>
    <row r="539" spans="2:59">
      <c r="B539" s="332">
        <v>524</v>
      </c>
      <c r="C539" s="350">
        <v>7678193.8803416826</v>
      </c>
      <c r="D539" s="350">
        <v>7650524.1132359225</v>
      </c>
      <c r="E539" s="350">
        <v>7620600.6166633638</v>
      </c>
      <c r="F539" s="350">
        <v>7584700.9769283989</v>
      </c>
      <c r="G539" s="350">
        <v>7539527.540877942</v>
      </c>
      <c r="H539" s="348">
        <v>38073547.12804731</v>
      </c>
      <c r="I539" s="369"/>
      <c r="J539" s="350">
        <v>22654007.692755144</v>
      </c>
      <c r="K539" s="350">
        <v>22134492.097987741</v>
      </c>
      <c r="L539" s="350">
        <v>21602302.495725174</v>
      </c>
      <c r="M539" s="350">
        <v>21025013.236144006</v>
      </c>
      <c r="N539" s="350">
        <v>20375510.250665504</v>
      </c>
      <c r="O539" s="348">
        <v>107791325.77327757</v>
      </c>
      <c r="P539" s="369"/>
      <c r="Q539" s="350">
        <f t="shared" si="237"/>
        <v>14975813.812413462</v>
      </c>
      <c r="R539" s="350">
        <f t="shared" si="238"/>
        <v>14483967.984751819</v>
      </c>
      <c r="S539" s="350">
        <f t="shared" si="239"/>
        <v>13981701.879061811</v>
      </c>
      <c r="T539" s="350">
        <f t="shared" si="240"/>
        <v>13440312.259215608</v>
      </c>
      <c r="U539" s="350">
        <f t="shared" si="241"/>
        <v>12835982.709787562</v>
      </c>
      <c r="V539" s="350">
        <f t="shared" si="242"/>
        <v>69717778.645230263</v>
      </c>
      <c r="W539" s="365"/>
      <c r="X539" s="377">
        <f t="shared" si="220"/>
        <v>0</v>
      </c>
      <c r="Y539" s="377">
        <f t="shared" si="221"/>
        <v>0</v>
      </c>
      <c r="Z539" s="377">
        <f t="shared" si="222"/>
        <v>0</v>
      </c>
      <c r="AA539" s="377">
        <f t="shared" si="223"/>
        <v>0</v>
      </c>
      <c r="AB539" s="377">
        <f t="shared" si="224"/>
        <v>0</v>
      </c>
      <c r="AC539" s="377">
        <f t="shared" si="225"/>
        <v>0</v>
      </c>
      <c r="AD539" s="376"/>
      <c r="AE539" s="332">
        <v>524</v>
      </c>
      <c r="AF539" s="350">
        <v>488184.12901371159</v>
      </c>
      <c r="AG539" s="350">
        <v>486424.86878076522</v>
      </c>
      <c r="AH539" s="350">
        <v>484522.3150892363</v>
      </c>
      <c r="AI539" s="350">
        <v>482239.79466463596</v>
      </c>
      <c r="AJ539" s="350">
        <v>479367.64076014661</v>
      </c>
      <c r="AK539" s="348">
        <v>2420738.7483084956</v>
      </c>
      <c r="AL539" s="369"/>
      <c r="AM539" s="350">
        <v>13796816.74595728</v>
      </c>
      <c r="AN539" s="350">
        <v>13674728.126501845</v>
      </c>
      <c r="AO539" s="350">
        <v>13540952.954881342</v>
      </c>
      <c r="AP539" s="350">
        <v>13369467.776042297</v>
      </c>
      <c r="AQ539" s="350">
        <v>13138004.668656444</v>
      </c>
      <c r="AR539" s="348">
        <v>67519970.272039205</v>
      </c>
      <c r="AS539" s="369"/>
      <c r="AT539" s="350">
        <f t="shared" si="243"/>
        <v>13308632.616943568</v>
      </c>
      <c r="AU539" s="350">
        <f t="shared" si="226"/>
        <v>13188303.25772108</v>
      </c>
      <c r="AV539" s="350">
        <f t="shared" si="227"/>
        <v>13056430.639792105</v>
      </c>
      <c r="AW539" s="350">
        <f t="shared" si="228"/>
        <v>12887227.981377661</v>
      </c>
      <c r="AX539" s="350">
        <f t="shared" si="229"/>
        <v>12658637.027896298</v>
      </c>
      <c r="AY539" s="350">
        <f t="shared" si="230"/>
        <v>65099231.52373071</v>
      </c>
      <c r="AZ539" s="365"/>
      <c r="BA539" s="377">
        <f t="shared" si="231"/>
        <v>0</v>
      </c>
      <c r="BB539" s="377">
        <f t="shared" si="232"/>
        <v>0</v>
      </c>
      <c r="BC539" s="377">
        <f t="shared" si="233"/>
        <v>0</v>
      </c>
      <c r="BD539" s="377">
        <f t="shared" si="234"/>
        <v>0</v>
      </c>
      <c r="BE539" s="377">
        <f t="shared" si="235"/>
        <v>0</v>
      </c>
      <c r="BF539" s="377">
        <f t="shared" si="236"/>
        <v>0</v>
      </c>
      <c r="BG539" s="328"/>
    </row>
    <row r="540" spans="2:59">
      <c r="B540" s="332">
        <v>525</v>
      </c>
      <c r="C540" s="350">
        <v>3863084.6224767882</v>
      </c>
      <c r="D540" s="350">
        <v>3849163.294951126</v>
      </c>
      <c r="E540" s="350">
        <v>3834108.0617463281</v>
      </c>
      <c r="F540" s="350">
        <v>3816046.0867071636</v>
      </c>
      <c r="G540" s="350">
        <v>3793318.2409571679</v>
      </c>
      <c r="H540" s="348">
        <v>19155720.306838572</v>
      </c>
      <c r="I540" s="369"/>
      <c r="J540" s="350">
        <v>15549087.19472412</v>
      </c>
      <c r="K540" s="350">
        <v>15257786.367838228</v>
      </c>
      <c r="L540" s="350">
        <v>14956453.422891241</v>
      </c>
      <c r="M540" s="350">
        <v>14620723.959353341</v>
      </c>
      <c r="N540" s="350">
        <v>14230054.2212578</v>
      </c>
      <c r="O540" s="348">
        <v>74614105.166064739</v>
      </c>
      <c r="P540" s="369"/>
      <c r="Q540" s="350">
        <f t="shared" si="237"/>
        <v>11686002.572247332</v>
      </c>
      <c r="R540" s="350">
        <f t="shared" si="238"/>
        <v>11408623.072887102</v>
      </c>
      <c r="S540" s="350">
        <f t="shared" si="239"/>
        <v>11122345.361144911</v>
      </c>
      <c r="T540" s="350">
        <f t="shared" si="240"/>
        <v>10804677.872646177</v>
      </c>
      <c r="U540" s="350">
        <f t="shared" si="241"/>
        <v>10436735.980300631</v>
      </c>
      <c r="V540" s="350">
        <f t="shared" si="242"/>
        <v>55458384.859226167</v>
      </c>
      <c r="W540" s="365"/>
      <c r="X540" s="377">
        <f t="shared" si="220"/>
        <v>0</v>
      </c>
      <c r="Y540" s="377">
        <f t="shared" si="221"/>
        <v>0</v>
      </c>
      <c r="Z540" s="377">
        <f t="shared" si="222"/>
        <v>0</v>
      </c>
      <c r="AA540" s="377">
        <f t="shared" si="223"/>
        <v>0</v>
      </c>
      <c r="AB540" s="377">
        <f t="shared" si="224"/>
        <v>0</v>
      </c>
      <c r="AC540" s="377">
        <f t="shared" si="225"/>
        <v>0</v>
      </c>
      <c r="AD540" s="376"/>
      <c r="AE540" s="332">
        <v>525</v>
      </c>
      <c r="AF540" s="350">
        <v>441845.67001328763</v>
      </c>
      <c r="AG540" s="350">
        <v>440253.39883903955</v>
      </c>
      <c r="AH540" s="350">
        <v>438531.4356276007</v>
      </c>
      <c r="AI540" s="350">
        <v>436465.57214210805</v>
      </c>
      <c r="AJ540" s="350">
        <v>433866.04321257427</v>
      </c>
      <c r="AK540" s="348">
        <v>2190962.1198346103</v>
      </c>
      <c r="AL540" s="369"/>
      <c r="AM540" s="350">
        <v>11901620.334835224</v>
      </c>
      <c r="AN540" s="350">
        <v>11795341.018683411</v>
      </c>
      <c r="AO540" s="350">
        <v>11679000.102021543</v>
      </c>
      <c r="AP540" s="350">
        <v>11530179.884331997</v>
      </c>
      <c r="AQ540" s="350">
        <v>11329699.744804526</v>
      </c>
      <c r="AR540" s="348">
        <v>58235841.084676705</v>
      </c>
      <c r="AS540" s="369"/>
      <c r="AT540" s="350">
        <f t="shared" si="243"/>
        <v>11459774.664821936</v>
      </c>
      <c r="AU540" s="350">
        <f t="shared" si="226"/>
        <v>11355087.619844371</v>
      </c>
      <c r="AV540" s="350">
        <f t="shared" si="227"/>
        <v>11240468.666393943</v>
      </c>
      <c r="AW540" s="350">
        <f t="shared" si="228"/>
        <v>11093714.31218989</v>
      </c>
      <c r="AX540" s="350">
        <f t="shared" si="229"/>
        <v>10895833.701591952</v>
      </c>
      <c r="AY540" s="350">
        <f t="shared" si="230"/>
        <v>56044878.964842096</v>
      </c>
      <c r="AZ540" s="365"/>
      <c r="BA540" s="377">
        <f t="shared" si="231"/>
        <v>0</v>
      </c>
      <c r="BB540" s="377">
        <f t="shared" si="232"/>
        <v>0</v>
      </c>
      <c r="BC540" s="377">
        <f t="shared" si="233"/>
        <v>0</v>
      </c>
      <c r="BD540" s="377">
        <f t="shared" si="234"/>
        <v>0</v>
      </c>
      <c r="BE540" s="377">
        <f t="shared" si="235"/>
        <v>0</v>
      </c>
      <c r="BF540" s="377">
        <f t="shared" si="236"/>
        <v>0</v>
      </c>
      <c r="BG540" s="328"/>
    </row>
    <row r="541" spans="2:59">
      <c r="B541" s="332">
        <v>526</v>
      </c>
      <c r="C541" s="350">
        <v>4652202.7140796417</v>
      </c>
      <c r="D541" s="350">
        <v>4635437.6560942028</v>
      </c>
      <c r="E541" s="350">
        <v>4617307.0678153597</v>
      </c>
      <c r="F541" s="350">
        <v>4595555.5460366393</v>
      </c>
      <c r="G541" s="350">
        <v>4568185.0491368007</v>
      </c>
      <c r="H541" s="348">
        <v>23068688.033162646</v>
      </c>
      <c r="I541" s="369"/>
      <c r="J541" s="350">
        <v>15581060.425596308</v>
      </c>
      <c r="K541" s="350">
        <v>15252916.981893331</v>
      </c>
      <c r="L541" s="350">
        <v>14915460.887730811</v>
      </c>
      <c r="M541" s="350">
        <v>14545448.184514005</v>
      </c>
      <c r="N541" s="350">
        <v>14123366.298250886</v>
      </c>
      <c r="O541" s="348">
        <v>74418252.777985334</v>
      </c>
      <c r="P541" s="369"/>
      <c r="Q541" s="350">
        <f t="shared" si="237"/>
        <v>10928857.711516667</v>
      </c>
      <c r="R541" s="350">
        <f t="shared" si="238"/>
        <v>10617479.325799128</v>
      </c>
      <c r="S541" s="350">
        <f t="shared" si="239"/>
        <v>10298153.819915451</v>
      </c>
      <c r="T541" s="350">
        <f t="shared" si="240"/>
        <v>9949892.6384773664</v>
      </c>
      <c r="U541" s="350">
        <f t="shared" si="241"/>
        <v>9555181.249114085</v>
      </c>
      <c r="V541" s="350">
        <f t="shared" si="242"/>
        <v>51349564.744822688</v>
      </c>
      <c r="W541" s="365"/>
      <c r="X541" s="377">
        <f t="shared" si="220"/>
        <v>0</v>
      </c>
      <c r="Y541" s="377">
        <f t="shared" si="221"/>
        <v>0</v>
      </c>
      <c r="Z541" s="377">
        <f t="shared" si="222"/>
        <v>0</v>
      </c>
      <c r="AA541" s="377">
        <f t="shared" si="223"/>
        <v>0</v>
      </c>
      <c r="AB541" s="377">
        <f t="shared" si="224"/>
        <v>0</v>
      </c>
      <c r="AC541" s="377">
        <f t="shared" si="225"/>
        <v>0</v>
      </c>
      <c r="AD541" s="376"/>
      <c r="AE541" s="332">
        <v>526</v>
      </c>
      <c r="AF541" s="350">
        <v>561110.65699556668</v>
      </c>
      <c r="AG541" s="350">
        <v>559088.59276515199</v>
      </c>
      <c r="AH541" s="350">
        <v>556901.82943472592</v>
      </c>
      <c r="AI541" s="350">
        <v>554278.33870871493</v>
      </c>
      <c r="AJ541" s="350">
        <v>550977.13314188016</v>
      </c>
      <c r="AK541" s="348">
        <v>2782356.5510460399</v>
      </c>
      <c r="AL541" s="369"/>
      <c r="AM541" s="350">
        <v>17819545.557933081</v>
      </c>
      <c r="AN541" s="350">
        <v>17665080.147322554</v>
      </c>
      <c r="AO541" s="350">
        <v>17495454.98128292</v>
      </c>
      <c r="AP541" s="350">
        <v>17276954.95193271</v>
      </c>
      <c r="AQ541" s="350">
        <v>16980724.113102697</v>
      </c>
      <c r="AR541" s="348">
        <v>87237759.75157395</v>
      </c>
      <c r="AS541" s="369"/>
      <c r="AT541" s="350">
        <f t="shared" si="243"/>
        <v>17258434.900937513</v>
      </c>
      <c r="AU541" s="350">
        <f t="shared" si="226"/>
        <v>17105991.554557402</v>
      </c>
      <c r="AV541" s="350">
        <f t="shared" si="227"/>
        <v>16938553.151848193</v>
      </c>
      <c r="AW541" s="350">
        <f t="shared" si="228"/>
        <v>16722676.613223994</v>
      </c>
      <c r="AX541" s="350">
        <f t="shared" si="229"/>
        <v>16429746.979960816</v>
      </c>
      <c r="AY541" s="350">
        <f t="shared" si="230"/>
        <v>84455403.200527906</v>
      </c>
      <c r="AZ541" s="365"/>
      <c r="BA541" s="377">
        <f t="shared" si="231"/>
        <v>0</v>
      </c>
      <c r="BB541" s="377">
        <f t="shared" si="232"/>
        <v>0</v>
      </c>
      <c r="BC541" s="377">
        <f t="shared" si="233"/>
        <v>0</v>
      </c>
      <c r="BD541" s="377">
        <f t="shared" si="234"/>
        <v>0</v>
      </c>
      <c r="BE541" s="377">
        <f t="shared" si="235"/>
        <v>0</v>
      </c>
      <c r="BF541" s="377">
        <f t="shared" si="236"/>
        <v>0</v>
      </c>
      <c r="BG541" s="328"/>
    </row>
    <row r="542" spans="2:59">
      <c r="B542" s="332">
        <v>527</v>
      </c>
      <c r="C542" s="350">
        <v>4871038.438583836</v>
      </c>
      <c r="D542" s="350">
        <v>4853484.7662932873</v>
      </c>
      <c r="E542" s="350">
        <v>4834501.3303064797</v>
      </c>
      <c r="F542" s="350">
        <v>4811726.6351365577</v>
      </c>
      <c r="G542" s="350">
        <v>4783068.6529556122</v>
      </c>
      <c r="H542" s="348">
        <v>24153819.823275775</v>
      </c>
      <c r="I542" s="369"/>
      <c r="J542" s="350">
        <v>19511223.727152631</v>
      </c>
      <c r="K542" s="350">
        <v>19144600.996055938</v>
      </c>
      <c r="L542" s="350">
        <v>18765412.158215486</v>
      </c>
      <c r="M542" s="350">
        <v>18343119.742408451</v>
      </c>
      <c r="N542" s="350">
        <v>17851977.546657391</v>
      </c>
      <c r="O542" s="348">
        <v>93616334.170489907</v>
      </c>
      <c r="P542" s="369"/>
      <c r="Q542" s="350">
        <f t="shared" si="237"/>
        <v>14640185.288568795</v>
      </c>
      <c r="R542" s="350">
        <f t="shared" si="238"/>
        <v>14291116.229762651</v>
      </c>
      <c r="S542" s="350">
        <f t="shared" si="239"/>
        <v>13930910.827909006</v>
      </c>
      <c r="T542" s="350">
        <f t="shared" si="240"/>
        <v>13531393.107271893</v>
      </c>
      <c r="U542" s="350">
        <f t="shared" si="241"/>
        <v>13068908.893701779</v>
      </c>
      <c r="V542" s="350">
        <f t="shared" si="242"/>
        <v>69462514.347214133</v>
      </c>
      <c r="W542" s="365"/>
      <c r="X542" s="377">
        <f t="shared" si="220"/>
        <v>0</v>
      </c>
      <c r="Y542" s="377">
        <f t="shared" si="221"/>
        <v>0</v>
      </c>
      <c r="Z542" s="377">
        <f t="shared" si="222"/>
        <v>0</v>
      </c>
      <c r="AA542" s="377">
        <f t="shared" si="223"/>
        <v>0</v>
      </c>
      <c r="AB542" s="377">
        <f t="shared" si="224"/>
        <v>0</v>
      </c>
      <c r="AC542" s="377">
        <f t="shared" si="225"/>
        <v>0</v>
      </c>
      <c r="AD542" s="376"/>
      <c r="AE542" s="332">
        <v>527</v>
      </c>
      <c r="AF542" s="350">
        <v>693986.47707882989</v>
      </c>
      <c r="AG542" s="350">
        <v>691485.57068149582</v>
      </c>
      <c r="AH542" s="350">
        <v>688780.9630235103</v>
      </c>
      <c r="AI542" s="350">
        <v>685536.20717384934</v>
      </c>
      <c r="AJ542" s="350">
        <v>681453.24779163499</v>
      </c>
      <c r="AK542" s="348">
        <v>3441242.4657493201</v>
      </c>
      <c r="AL542" s="369"/>
      <c r="AM542" s="350">
        <v>21057546.75068311</v>
      </c>
      <c r="AN542" s="350">
        <v>20873578.939671122</v>
      </c>
      <c r="AO542" s="350">
        <v>20671725.974545255</v>
      </c>
      <c r="AP542" s="350">
        <v>20412192.679059904</v>
      </c>
      <c r="AQ542" s="350">
        <v>20060922.15660404</v>
      </c>
      <c r="AR542" s="348">
        <v>103075966.50056343</v>
      </c>
      <c r="AS542" s="369"/>
      <c r="AT542" s="350">
        <f t="shared" si="243"/>
        <v>20363560.273604281</v>
      </c>
      <c r="AU542" s="350">
        <f t="shared" si="226"/>
        <v>20182093.368989624</v>
      </c>
      <c r="AV542" s="350">
        <f t="shared" si="227"/>
        <v>19982945.011521745</v>
      </c>
      <c r="AW542" s="350">
        <f t="shared" si="228"/>
        <v>19726656.471886054</v>
      </c>
      <c r="AX542" s="350">
        <f t="shared" si="229"/>
        <v>19379468.908812404</v>
      </c>
      <c r="AY542" s="350">
        <f t="shared" si="230"/>
        <v>99634724.034814104</v>
      </c>
      <c r="AZ542" s="365"/>
      <c r="BA542" s="377">
        <f t="shared" si="231"/>
        <v>0</v>
      </c>
      <c r="BB542" s="377">
        <f t="shared" si="232"/>
        <v>0</v>
      </c>
      <c r="BC542" s="377">
        <f t="shared" si="233"/>
        <v>0</v>
      </c>
      <c r="BD542" s="377">
        <f t="shared" si="234"/>
        <v>0</v>
      </c>
      <c r="BE542" s="377">
        <f t="shared" si="235"/>
        <v>0</v>
      </c>
      <c r="BF542" s="377">
        <f t="shared" si="236"/>
        <v>0</v>
      </c>
      <c r="BG542" s="328"/>
    </row>
    <row r="543" spans="2:59">
      <c r="B543" s="332">
        <v>528</v>
      </c>
      <c r="C543" s="350">
        <v>6698725.8570017368</v>
      </c>
      <c r="D543" s="350">
        <v>6674585.7809295338</v>
      </c>
      <c r="E543" s="350">
        <v>6648479.4721613079</v>
      </c>
      <c r="F543" s="350">
        <v>6617159.3663268657</v>
      </c>
      <c r="G543" s="350">
        <v>6577748.4750630269</v>
      </c>
      <c r="H543" s="348">
        <v>33216698.951482471</v>
      </c>
      <c r="I543" s="369"/>
      <c r="J543" s="350">
        <v>21098516.250280153</v>
      </c>
      <c r="K543" s="350">
        <v>20635655.357871458</v>
      </c>
      <c r="L543" s="350">
        <v>20160562.214668371</v>
      </c>
      <c r="M543" s="350">
        <v>19642359.927864432</v>
      </c>
      <c r="N543" s="350">
        <v>19055174.702347942</v>
      </c>
      <c r="O543" s="348">
        <v>100592268.45303234</v>
      </c>
      <c r="P543" s="369"/>
      <c r="Q543" s="350">
        <f t="shared" si="237"/>
        <v>14399790.393278416</v>
      </c>
      <c r="R543" s="350">
        <f t="shared" si="238"/>
        <v>13961069.576941924</v>
      </c>
      <c r="S543" s="350">
        <f t="shared" si="239"/>
        <v>13512082.742507063</v>
      </c>
      <c r="T543" s="350">
        <f t="shared" si="240"/>
        <v>13025200.561537568</v>
      </c>
      <c r="U543" s="350">
        <f t="shared" si="241"/>
        <v>12477426.227284916</v>
      </c>
      <c r="V543" s="350">
        <f t="shared" si="242"/>
        <v>67375569.50154987</v>
      </c>
      <c r="W543" s="365"/>
      <c r="X543" s="377">
        <f t="shared" si="220"/>
        <v>0</v>
      </c>
      <c r="Y543" s="377">
        <f t="shared" si="221"/>
        <v>0</v>
      </c>
      <c r="Z543" s="377">
        <f t="shared" si="222"/>
        <v>0</v>
      </c>
      <c r="AA543" s="377">
        <f t="shared" si="223"/>
        <v>0</v>
      </c>
      <c r="AB543" s="377">
        <f t="shared" si="224"/>
        <v>0</v>
      </c>
      <c r="AC543" s="377">
        <f t="shared" si="225"/>
        <v>0</v>
      </c>
      <c r="AD543" s="376"/>
      <c r="AE543" s="332">
        <v>528</v>
      </c>
      <c r="AF543" s="350">
        <v>431993.75628777075</v>
      </c>
      <c r="AG543" s="350">
        <v>430436.98827514873</v>
      </c>
      <c r="AH543" s="350">
        <v>428753.41999241238</v>
      </c>
      <c r="AI543" s="350">
        <v>426733.61944293795</v>
      </c>
      <c r="AJ543" s="350">
        <v>424192.05268544488</v>
      </c>
      <c r="AK543" s="348">
        <v>2142109.8366837148</v>
      </c>
      <c r="AL543" s="369"/>
      <c r="AM543" s="350">
        <v>14203586.659419594</v>
      </c>
      <c r="AN543" s="350">
        <v>14081173.327758638</v>
      </c>
      <c r="AO543" s="350">
        <v>13946662.018886583</v>
      </c>
      <c r="AP543" s="350">
        <v>13773156.266360084</v>
      </c>
      <c r="AQ543" s="350">
        <v>13537634.636409573</v>
      </c>
      <c r="AR543" s="348">
        <v>69542212.908834472</v>
      </c>
      <c r="AS543" s="369"/>
      <c r="AT543" s="350">
        <f t="shared" si="243"/>
        <v>13771592.903131824</v>
      </c>
      <c r="AU543" s="350">
        <f t="shared" si="226"/>
        <v>13650736.33948349</v>
      </c>
      <c r="AV543" s="350">
        <f t="shared" si="227"/>
        <v>13517908.598894171</v>
      </c>
      <c r="AW543" s="350">
        <f t="shared" si="228"/>
        <v>13346422.646917146</v>
      </c>
      <c r="AX543" s="350">
        <f t="shared" si="229"/>
        <v>13113442.583724128</v>
      </c>
      <c r="AY543" s="350">
        <f t="shared" si="230"/>
        <v>67400103.072150752</v>
      </c>
      <c r="AZ543" s="365"/>
      <c r="BA543" s="377">
        <f t="shared" si="231"/>
        <v>0</v>
      </c>
      <c r="BB543" s="377">
        <f t="shared" si="232"/>
        <v>0</v>
      </c>
      <c r="BC543" s="377">
        <f t="shared" si="233"/>
        <v>0</v>
      </c>
      <c r="BD543" s="377">
        <f t="shared" si="234"/>
        <v>0</v>
      </c>
      <c r="BE543" s="377">
        <f t="shared" si="235"/>
        <v>0</v>
      </c>
      <c r="BF543" s="377">
        <f t="shared" si="236"/>
        <v>0</v>
      </c>
      <c r="BG543" s="328"/>
    </row>
    <row r="544" spans="2:59">
      <c r="B544" s="332">
        <v>529</v>
      </c>
      <c r="C544" s="350">
        <v>5080625.7682691561</v>
      </c>
      <c r="D544" s="350">
        <v>5062316.8099450571</v>
      </c>
      <c r="E544" s="350">
        <v>5042516.5691420091</v>
      </c>
      <c r="F544" s="350">
        <v>5018761.9417450596</v>
      </c>
      <c r="G544" s="350">
        <v>4988870.885747266</v>
      </c>
      <c r="H544" s="348">
        <v>25193091.97484855</v>
      </c>
      <c r="I544" s="369"/>
      <c r="J544" s="350">
        <v>18666609.278934665</v>
      </c>
      <c r="K544" s="350">
        <v>18296349.91072109</v>
      </c>
      <c r="L544" s="350">
        <v>17914466.744210806</v>
      </c>
      <c r="M544" s="350">
        <v>17492374.249353968</v>
      </c>
      <c r="N544" s="350">
        <v>17006018.487347551</v>
      </c>
      <c r="O544" s="348">
        <v>89375818.670568079</v>
      </c>
      <c r="P544" s="369"/>
      <c r="Q544" s="350">
        <f t="shared" si="237"/>
        <v>13585983.51066551</v>
      </c>
      <c r="R544" s="350">
        <f t="shared" si="238"/>
        <v>13234033.100776032</v>
      </c>
      <c r="S544" s="350">
        <f t="shared" si="239"/>
        <v>12871950.175068796</v>
      </c>
      <c r="T544" s="350">
        <f t="shared" si="240"/>
        <v>12473612.307608908</v>
      </c>
      <c r="U544" s="350">
        <f t="shared" si="241"/>
        <v>12017147.601600286</v>
      </c>
      <c r="V544" s="350">
        <f t="shared" si="242"/>
        <v>64182726.695719525</v>
      </c>
      <c r="W544" s="365"/>
      <c r="X544" s="377">
        <f t="shared" si="220"/>
        <v>0</v>
      </c>
      <c r="Y544" s="377">
        <f t="shared" si="221"/>
        <v>0</v>
      </c>
      <c r="Z544" s="377">
        <f t="shared" si="222"/>
        <v>0</v>
      </c>
      <c r="AA544" s="377">
        <f t="shared" si="223"/>
        <v>0</v>
      </c>
      <c r="AB544" s="377">
        <f t="shared" si="224"/>
        <v>0</v>
      </c>
      <c r="AC544" s="377">
        <f t="shared" si="225"/>
        <v>0</v>
      </c>
      <c r="AD544" s="376"/>
      <c r="AE544" s="332">
        <v>529</v>
      </c>
      <c r="AF544" s="350">
        <v>322221.90460704162</v>
      </c>
      <c r="AG544" s="350">
        <v>321060.71941221622</v>
      </c>
      <c r="AH544" s="350">
        <v>319804.95455287897</v>
      </c>
      <c r="AI544" s="350">
        <v>318298.39578783873</v>
      </c>
      <c r="AJ544" s="350">
        <v>316402.6543115665</v>
      </c>
      <c r="AK544" s="348">
        <v>1597788.6286715423</v>
      </c>
      <c r="AL544" s="369"/>
      <c r="AM544" s="350">
        <v>9256275.6618571356</v>
      </c>
      <c r="AN544" s="350">
        <v>9174612.4086000863</v>
      </c>
      <c r="AO544" s="350">
        <v>9085103.6330670547</v>
      </c>
      <c r="AP544" s="350">
        <v>8970282.2731567286</v>
      </c>
      <c r="AQ544" s="350">
        <v>8815201.510942813</v>
      </c>
      <c r="AR544" s="348">
        <v>45301475.487623826</v>
      </c>
      <c r="AS544" s="369"/>
      <c r="AT544" s="350">
        <f t="shared" si="243"/>
        <v>8934053.7572500948</v>
      </c>
      <c r="AU544" s="350">
        <f t="shared" si="226"/>
        <v>8853551.6891878694</v>
      </c>
      <c r="AV544" s="350">
        <f t="shared" si="227"/>
        <v>8765298.6785141751</v>
      </c>
      <c r="AW544" s="350">
        <f t="shared" si="228"/>
        <v>8651983.8773688897</v>
      </c>
      <c r="AX544" s="350">
        <f t="shared" si="229"/>
        <v>8498798.8566312473</v>
      </c>
      <c r="AY544" s="350">
        <f t="shared" si="230"/>
        <v>43703686.858952284</v>
      </c>
      <c r="AZ544" s="365"/>
      <c r="BA544" s="377">
        <f t="shared" si="231"/>
        <v>0</v>
      </c>
      <c r="BB544" s="377">
        <f t="shared" si="232"/>
        <v>0</v>
      </c>
      <c r="BC544" s="377">
        <f t="shared" si="233"/>
        <v>0</v>
      </c>
      <c r="BD544" s="377">
        <f t="shared" si="234"/>
        <v>0</v>
      </c>
      <c r="BE544" s="377">
        <f t="shared" si="235"/>
        <v>0</v>
      </c>
      <c r="BF544" s="377">
        <f t="shared" si="236"/>
        <v>0</v>
      </c>
      <c r="BG544" s="328"/>
    </row>
    <row r="545" spans="2:59">
      <c r="B545" s="332">
        <v>530</v>
      </c>
      <c r="C545" s="350">
        <v>4289265.5149162374</v>
      </c>
      <c r="D545" s="350">
        <v>4273808.3670892771</v>
      </c>
      <c r="E545" s="350">
        <v>4257092.2195245475</v>
      </c>
      <c r="F545" s="350">
        <v>4237037.6221657405</v>
      </c>
      <c r="G545" s="350">
        <v>4211802.4087208733</v>
      </c>
      <c r="H545" s="348">
        <v>21269006.132416677</v>
      </c>
      <c r="I545" s="369"/>
      <c r="J545" s="350">
        <v>18598352.674290661</v>
      </c>
      <c r="K545" s="350">
        <v>18265301.458407573</v>
      </c>
      <c r="L545" s="350">
        <v>17919936.80242487</v>
      </c>
      <c r="M545" s="350">
        <v>17532619.735813018</v>
      </c>
      <c r="N545" s="350">
        <v>17078322.381948527</v>
      </c>
      <c r="O545" s="348">
        <v>89394533.052884653</v>
      </c>
      <c r="P545" s="369"/>
      <c r="Q545" s="350">
        <f t="shared" si="237"/>
        <v>14309087.159374423</v>
      </c>
      <c r="R545" s="350">
        <f t="shared" si="238"/>
        <v>13991493.091318296</v>
      </c>
      <c r="S545" s="350">
        <f t="shared" si="239"/>
        <v>13662844.582900323</v>
      </c>
      <c r="T545" s="350">
        <f t="shared" si="240"/>
        <v>13295582.113647278</v>
      </c>
      <c r="U545" s="350">
        <f t="shared" si="241"/>
        <v>12866519.973227654</v>
      </c>
      <c r="V545" s="350">
        <f t="shared" si="242"/>
        <v>68125526.920467973</v>
      </c>
      <c r="W545" s="365"/>
      <c r="X545" s="377">
        <f t="shared" si="220"/>
        <v>0</v>
      </c>
      <c r="Y545" s="377">
        <f t="shared" si="221"/>
        <v>0</v>
      </c>
      <c r="Z545" s="377">
        <f t="shared" si="222"/>
        <v>0</v>
      </c>
      <c r="AA545" s="377">
        <f t="shared" si="223"/>
        <v>0</v>
      </c>
      <c r="AB545" s="377">
        <f t="shared" si="224"/>
        <v>0</v>
      </c>
      <c r="AC545" s="377">
        <f t="shared" si="225"/>
        <v>0</v>
      </c>
      <c r="AD545" s="376"/>
      <c r="AE545" s="332">
        <v>530</v>
      </c>
      <c r="AF545" s="350">
        <v>601861.09501260577</v>
      </c>
      <c r="AG545" s="350">
        <v>599692.17917269014</v>
      </c>
      <c r="AH545" s="350">
        <v>597346.60302621161</v>
      </c>
      <c r="AI545" s="350">
        <v>594532.5823309588</v>
      </c>
      <c r="AJ545" s="350">
        <v>590991.62802444957</v>
      </c>
      <c r="AK545" s="348">
        <v>2984424.0875669159</v>
      </c>
      <c r="AL545" s="369"/>
      <c r="AM545" s="350">
        <v>18887289.935671281</v>
      </c>
      <c r="AN545" s="350">
        <v>18723238.232928928</v>
      </c>
      <c r="AO545" s="350">
        <v>18543125.158495829</v>
      </c>
      <c r="AP545" s="350">
        <v>18311226.082539652</v>
      </c>
      <c r="AQ545" s="350">
        <v>17996965.810893688</v>
      </c>
      <c r="AR545" s="348">
        <v>92461845.220529377</v>
      </c>
      <c r="AS545" s="369"/>
      <c r="AT545" s="350">
        <f t="shared" si="243"/>
        <v>18285428.840658676</v>
      </c>
      <c r="AU545" s="350">
        <f t="shared" si="226"/>
        <v>18123546.053756237</v>
      </c>
      <c r="AV545" s="350">
        <f t="shared" si="227"/>
        <v>17945778.555469617</v>
      </c>
      <c r="AW545" s="350">
        <f t="shared" si="228"/>
        <v>17716693.500208694</v>
      </c>
      <c r="AX545" s="350">
        <f t="shared" si="229"/>
        <v>17405974.182869241</v>
      </c>
      <c r="AY545" s="350">
        <f t="shared" si="230"/>
        <v>89477421.132962465</v>
      </c>
      <c r="AZ545" s="365"/>
      <c r="BA545" s="377">
        <f t="shared" si="231"/>
        <v>0</v>
      </c>
      <c r="BB545" s="377">
        <f t="shared" si="232"/>
        <v>0</v>
      </c>
      <c r="BC545" s="377">
        <f t="shared" si="233"/>
        <v>0</v>
      </c>
      <c r="BD545" s="377">
        <f t="shared" si="234"/>
        <v>0</v>
      </c>
      <c r="BE545" s="377">
        <f t="shared" si="235"/>
        <v>0</v>
      </c>
      <c r="BF545" s="377">
        <f t="shared" si="236"/>
        <v>0</v>
      </c>
      <c r="BG545" s="328"/>
    </row>
    <row r="546" spans="2:59">
      <c r="B546" s="332">
        <v>531</v>
      </c>
      <c r="C546" s="350">
        <v>3930120.3279320998</v>
      </c>
      <c r="D546" s="350">
        <v>3915957.4250585595</v>
      </c>
      <c r="E546" s="350">
        <v>3900640.9399586301</v>
      </c>
      <c r="F546" s="350">
        <v>3882265.5373461675</v>
      </c>
      <c r="G546" s="350">
        <v>3859143.297653967</v>
      </c>
      <c r="H546" s="348">
        <v>19488127.527949423</v>
      </c>
      <c r="I546" s="369"/>
      <c r="J546" s="350">
        <v>12627448.443023549</v>
      </c>
      <c r="K546" s="350">
        <v>12354094.718671029</v>
      </c>
      <c r="L546" s="350">
        <v>12073345.094784684</v>
      </c>
      <c r="M546" s="350">
        <v>11766601.300088231</v>
      </c>
      <c r="N546" s="350">
        <v>11418269.243219556</v>
      </c>
      <c r="O546" s="348">
        <v>60239758.799787045</v>
      </c>
      <c r="P546" s="369"/>
      <c r="Q546" s="350">
        <f t="shared" si="237"/>
        <v>8697328.1150914505</v>
      </c>
      <c r="R546" s="350">
        <f t="shared" si="238"/>
        <v>8438137.293612469</v>
      </c>
      <c r="S546" s="350">
        <f t="shared" si="239"/>
        <v>8172704.1548260543</v>
      </c>
      <c r="T546" s="350">
        <f t="shared" si="240"/>
        <v>7884335.762742063</v>
      </c>
      <c r="U546" s="350">
        <f t="shared" si="241"/>
        <v>7559125.9455655888</v>
      </c>
      <c r="V546" s="350">
        <f t="shared" si="242"/>
        <v>40751631.271837622</v>
      </c>
      <c r="W546" s="365"/>
      <c r="X546" s="377">
        <f t="shared" si="220"/>
        <v>0</v>
      </c>
      <c r="Y546" s="377">
        <f t="shared" si="221"/>
        <v>0</v>
      </c>
      <c r="Z546" s="377">
        <f t="shared" si="222"/>
        <v>0</v>
      </c>
      <c r="AA546" s="377">
        <f t="shared" si="223"/>
        <v>0</v>
      </c>
      <c r="AB546" s="377">
        <f t="shared" si="224"/>
        <v>0</v>
      </c>
      <c r="AC546" s="377">
        <f t="shared" si="225"/>
        <v>0</v>
      </c>
      <c r="AD546" s="376"/>
      <c r="AE546" s="332">
        <v>531</v>
      </c>
      <c r="AF546" s="350">
        <v>631138.544620884</v>
      </c>
      <c r="AG546" s="350">
        <v>628864.12217033363</v>
      </c>
      <c r="AH546" s="350">
        <v>626404.4457970754</v>
      </c>
      <c r="AI546" s="350">
        <v>623453.53745484794</v>
      </c>
      <c r="AJ546" s="350">
        <v>619740.33391652547</v>
      </c>
      <c r="AK546" s="348">
        <v>3129600.9839596665</v>
      </c>
      <c r="AL546" s="369"/>
      <c r="AM546" s="350">
        <v>18493609.448152915</v>
      </c>
      <c r="AN546" s="350">
        <v>18331036.777911667</v>
      </c>
      <c r="AO546" s="350">
        <v>18152777.137162246</v>
      </c>
      <c r="AP546" s="350">
        <v>17923913.196917538</v>
      </c>
      <c r="AQ546" s="350">
        <v>17614564.531303894</v>
      </c>
      <c r="AR546" s="348">
        <v>90515901.091448262</v>
      </c>
      <c r="AS546" s="369"/>
      <c r="AT546" s="350">
        <f t="shared" si="243"/>
        <v>17862470.903532032</v>
      </c>
      <c r="AU546" s="350">
        <f t="shared" si="226"/>
        <v>17702172.655741334</v>
      </c>
      <c r="AV546" s="350">
        <f t="shared" si="227"/>
        <v>17526372.691365171</v>
      </c>
      <c r="AW546" s="350">
        <f t="shared" si="228"/>
        <v>17300459.65946269</v>
      </c>
      <c r="AX546" s="350">
        <f t="shared" si="229"/>
        <v>16994824.197387367</v>
      </c>
      <c r="AY546" s="350">
        <f t="shared" si="230"/>
        <v>87386300.107488602</v>
      </c>
      <c r="AZ546" s="365"/>
      <c r="BA546" s="377">
        <f t="shared" si="231"/>
        <v>0</v>
      </c>
      <c r="BB546" s="377">
        <f t="shared" si="232"/>
        <v>0</v>
      </c>
      <c r="BC546" s="377">
        <f t="shared" si="233"/>
        <v>0</v>
      </c>
      <c r="BD546" s="377">
        <f t="shared" si="234"/>
        <v>0</v>
      </c>
      <c r="BE546" s="377">
        <f t="shared" si="235"/>
        <v>0</v>
      </c>
      <c r="BF546" s="377">
        <f t="shared" si="236"/>
        <v>0</v>
      </c>
      <c r="BG546" s="328"/>
    </row>
    <row r="547" spans="2:59">
      <c r="B547" s="332">
        <v>532</v>
      </c>
      <c r="C547" s="350">
        <v>7382896.3815327538</v>
      </c>
      <c r="D547" s="350">
        <v>7356290.772632204</v>
      </c>
      <c r="E547" s="350">
        <v>7327518.110986609</v>
      </c>
      <c r="F547" s="350">
        <v>7292999.1441008933</v>
      </c>
      <c r="G547" s="350">
        <v>7249563.0440549962</v>
      </c>
      <c r="H547" s="348">
        <v>36609267.453307457</v>
      </c>
      <c r="I547" s="369"/>
      <c r="J547" s="350">
        <v>28768586.687056143</v>
      </c>
      <c r="K547" s="350">
        <v>28218701.815648258</v>
      </c>
      <c r="L547" s="350">
        <v>27650478.851688437</v>
      </c>
      <c r="M547" s="350">
        <v>27019192.188058682</v>
      </c>
      <c r="N547" s="350">
        <v>26287155.814441621</v>
      </c>
      <c r="O547" s="348">
        <v>137944115.35689312</v>
      </c>
      <c r="P547" s="369"/>
      <c r="Q547" s="350">
        <f t="shared" si="237"/>
        <v>21385690.305523388</v>
      </c>
      <c r="R547" s="350">
        <f t="shared" si="238"/>
        <v>20862411.043016054</v>
      </c>
      <c r="S547" s="350">
        <f t="shared" si="239"/>
        <v>20322960.740701828</v>
      </c>
      <c r="T547" s="350">
        <f t="shared" si="240"/>
        <v>19726193.043957788</v>
      </c>
      <c r="U547" s="350">
        <f t="shared" si="241"/>
        <v>19037592.770386625</v>
      </c>
      <c r="V547" s="350">
        <f t="shared" si="242"/>
        <v>101334847.90358567</v>
      </c>
      <c r="W547" s="365"/>
      <c r="X547" s="377">
        <f t="shared" si="220"/>
        <v>0</v>
      </c>
      <c r="Y547" s="377">
        <f t="shared" si="221"/>
        <v>0</v>
      </c>
      <c r="Z547" s="377">
        <f t="shared" si="222"/>
        <v>0</v>
      </c>
      <c r="AA547" s="377">
        <f t="shared" si="223"/>
        <v>0</v>
      </c>
      <c r="AB547" s="377">
        <f t="shared" si="224"/>
        <v>0</v>
      </c>
      <c r="AC547" s="377">
        <f t="shared" si="225"/>
        <v>0</v>
      </c>
      <c r="AD547" s="376"/>
      <c r="AE547" s="332">
        <v>532</v>
      </c>
      <c r="AF547" s="350">
        <v>418767.85564095143</v>
      </c>
      <c r="AG547" s="350">
        <v>417258.74956502509</v>
      </c>
      <c r="AH547" s="350">
        <v>415626.7253301263</v>
      </c>
      <c r="AI547" s="350">
        <v>413668.76289984898</v>
      </c>
      <c r="AJ547" s="350">
        <v>411205.00863138516</v>
      </c>
      <c r="AK547" s="348">
        <v>2076527.1020673371</v>
      </c>
      <c r="AL547" s="369"/>
      <c r="AM547" s="350">
        <v>10086530.90665435</v>
      </c>
      <c r="AN547" s="350">
        <v>9994404.3253913037</v>
      </c>
      <c r="AO547" s="350">
        <v>9893792.5929369945</v>
      </c>
      <c r="AP547" s="350">
        <v>9765763.2734352536</v>
      </c>
      <c r="AQ547" s="350">
        <v>9594121.8226776309</v>
      </c>
      <c r="AR547" s="348">
        <v>49334612.921095535</v>
      </c>
      <c r="AS547" s="369"/>
      <c r="AT547" s="350">
        <f t="shared" si="243"/>
        <v>9667763.0510133989</v>
      </c>
      <c r="AU547" s="350">
        <f t="shared" si="226"/>
        <v>9577145.575826278</v>
      </c>
      <c r="AV547" s="350">
        <f t="shared" si="227"/>
        <v>9478165.867606869</v>
      </c>
      <c r="AW547" s="350">
        <f t="shared" si="228"/>
        <v>9352094.5105354041</v>
      </c>
      <c r="AX547" s="350">
        <f t="shared" si="229"/>
        <v>9182916.8140462451</v>
      </c>
      <c r="AY547" s="350">
        <f t="shared" si="230"/>
        <v>47258085.819028199</v>
      </c>
      <c r="AZ547" s="365"/>
      <c r="BA547" s="377">
        <f t="shared" si="231"/>
        <v>0</v>
      </c>
      <c r="BB547" s="377">
        <f t="shared" si="232"/>
        <v>0</v>
      </c>
      <c r="BC547" s="377">
        <f t="shared" si="233"/>
        <v>0</v>
      </c>
      <c r="BD547" s="377">
        <f t="shared" si="234"/>
        <v>0</v>
      </c>
      <c r="BE547" s="377">
        <f t="shared" si="235"/>
        <v>0</v>
      </c>
      <c r="BF547" s="377">
        <f t="shared" si="236"/>
        <v>0</v>
      </c>
      <c r="BG547" s="328"/>
    </row>
    <row r="548" spans="2:59">
      <c r="B548" s="332">
        <v>533</v>
      </c>
      <c r="C548" s="350">
        <v>6929473.8106460292</v>
      </c>
      <c r="D548" s="350">
        <v>6904502.1923860423</v>
      </c>
      <c r="E548" s="350">
        <v>6877496.6115093511</v>
      </c>
      <c r="F548" s="350">
        <v>6845097.6362774298</v>
      </c>
      <c r="G548" s="350">
        <v>6804329.1760214325</v>
      </c>
      <c r="H548" s="348">
        <v>34360899.426840283</v>
      </c>
      <c r="I548" s="369"/>
      <c r="J548" s="350">
        <v>21369156.439368378</v>
      </c>
      <c r="K548" s="350">
        <v>20893639.08924856</v>
      </c>
      <c r="L548" s="350">
        <v>20405869.784720387</v>
      </c>
      <c r="M548" s="350">
        <v>19874792.565548338</v>
      </c>
      <c r="N548" s="350">
        <v>19274400.741994552</v>
      </c>
      <c r="O548" s="348">
        <v>101817858.62088022</v>
      </c>
      <c r="P548" s="369"/>
      <c r="Q548" s="350">
        <f t="shared" si="237"/>
        <v>14439682.628722349</v>
      </c>
      <c r="R548" s="350">
        <f t="shared" si="238"/>
        <v>13989136.896862518</v>
      </c>
      <c r="S548" s="350">
        <f t="shared" si="239"/>
        <v>13528373.173211036</v>
      </c>
      <c r="T548" s="350">
        <f t="shared" si="240"/>
        <v>13029694.929270908</v>
      </c>
      <c r="U548" s="350">
        <f t="shared" si="241"/>
        <v>12470071.56597312</v>
      </c>
      <c r="V548" s="350">
        <f t="shared" si="242"/>
        <v>67456959.194039941</v>
      </c>
      <c r="W548" s="365"/>
      <c r="X548" s="377">
        <f t="shared" si="220"/>
        <v>0</v>
      </c>
      <c r="Y548" s="377">
        <f t="shared" si="221"/>
        <v>0</v>
      </c>
      <c r="Z548" s="377">
        <f t="shared" si="222"/>
        <v>0</v>
      </c>
      <c r="AA548" s="377">
        <f t="shared" si="223"/>
        <v>0</v>
      </c>
      <c r="AB548" s="377">
        <f t="shared" si="224"/>
        <v>0</v>
      </c>
      <c r="AC548" s="377">
        <f t="shared" si="225"/>
        <v>0</v>
      </c>
      <c r="AD548" s="376"/>
      <c r="AE548" s="332">
        <v>533</v>
      </c>
      <c r="AF548" s="350">
        <v>470196.96060892101</v>
      </c>
      <c r="AG548" s="350">
        <v>468502.52040636307</v>
      </c>
      <c r="AH548" s="350">
        <v>466670.0663997989</v>
      </c>
      <c r="AI548" s="350">
        <v>464471.64555325679</v>
      </c>
      <c r="AJ548" s="350">
        <v>461705.31630158616</v>
      </c>
      <c r="AK548" s="348">
        <v>2331546.5092699262</v>
      </c>
      <c r="AL548" s="369"/>
      <c r="AM548" s="350">
        <v>13407034.822996121</v>
      </c>
      <c r="AN548" s="350">
        <v>13288590.041929584</v>
      </c>
      <c r="AO548" s="350">
        <v>13158784.897715371</v>
      </c>
      <c r="AP548" s="350">
        <v>12992324.852879209</v>
      </c>
      <c r="AQ548" s="350">
        <v>12767565.325446522</v>
      </c>
      <c r="AR548" s="348">
        <v>65614299.940966807</v>
      </c>
      <c r="AS548" s="369"/>
      <c r="AT548" s="350">
        <f t="shared" si="243"/>
        <v>12936837.862387199</v>
      </c>
      <c r="AU548" s="350">
        <f t="shared" si="226"/>
        <v>12820087.52152322</v>
      </c>
      <c r="AV548" s="350">
        <f t="shared" si="227"/>
        <v>12692114.831315571</v>
      </c>
      <c r="AW548" s="350">
        <f t="shared" si="228"/>
        <v>12527853.207325952</v>
      </c>
      <c r="AX548" s="350">
        <f t="shared" si="229"/>
        <v>12305860.009144936</v>
      </c>
      <c r="AY548" s="350">
        <f t="shared" si="230"/>
        <v>63282753.431696884</v>
      </c>
      <c r="AZ548" s="365"/>
      <c r="BA548" s="377">
        <f t="shared" si="231"/>
        <v>0</v>
      </c>
      <c r="BB548" s="377">
        <f t="shared" si="232"/>
        <v>0</v>
      </c>
      <c r="BC548" s="377">
        <f t="shared" si="233"/>
        <v>0</v>
      </c>
      <c r="BD548" s="377">
        <f t="shared" si="234"/>
        <v>0</v>
      </c>
      <c r="BE548" s="377">
        <f t="shared" si="235"/>
        <v>0</v>
      </c>
      <c r="BF548" s="377">
        <f t="shared" si="236"/>
        <v>0</v>
      </c>
      <c r="BG548" s="328"/>
    </row>
    <row r="549" spans="2:59">
      <c r="B549" s="332">
        <v>534</v>
      </c>
      <c r="C549" s="350">
        <v>6038796.4972341685</v>
      </c>
      <c r="D549" s="350">
        <v>6017034.5965474257</v>
      </c>
      <c r="E549" s="350">
        <v>5993500.1678649168</v>
      </c>
      <c r="F549" s="350">
        <v>5965265.5827447735</v>
      </c>
      <c r="G549" s="350">
        <v>5929737.2812143872</v>
      </c>
      <c r="H549" s="348">
        <v>29944334.125605669</v>
      </c>
      <c r="I549" s="369"/>
      <c r="J549" s="350">
        <v>21092760.049160045</v>
      </c>
      <c r="K549" s="350">
        <v>20660558.936388027</v>
      </c>
      <c r="L549" s="350">
        <v>20215505.414621495</v>
      </c>
      <c r="M549" s="350">
        <v>19725744.890065096</v>
      </c>
      <c r="N549" s="350">
        <v>19164506.317407507</v>
      </c>
      <c r="O549" s="348">
        <v>100859075.60764216</v>
      </c>
      <c r="P549" s="369"/>
      <c r="Q549" s="350">
        <f t="shared" si="237"/>
        <v>15053963.551925875</v>
      </c>
      <c r="R549" s="350">
        <f t="shared" si="238"/>
        <v>14643524.339840602</v>
      </c>
      <c r="S549" s="350">
        <f t="shared" si="239"/>
        <v>14222005.246756578</v>
      </c>
      <c r="T549" s="350">
        <f t="shared" si="240"/>
        <v>13760479.307320323</v>
      </c>
      <c r="U549" s="350">
        <f t="shared" si="241"/>
        <v>13234769.036193121</v>
      </c>
      <c r="V549" s="350">
        <f t="shared" si="242"/>
        <v>70914741.482036486</v>
      </c>
      <c r="W549" s="365"/>
      <c r="X549" s="377">
        <f t="shared" si="220"/>
        <v>0</v>
      </c>
      <c r="Y549" s="377">
        <f t="shared" si="221"/>
        <v>0</v>
      </c>
      <c r="Z549" s="377">
        <f t="shared" si="222"/>
        <v>0</v>
      </c>
      <c r="AA549" s="377">
        <f t="shared" si="223"/>
        <v>0</v>
      </c>
      <c r="AB549" s="377">
        <f t="shared" si="224"/>
        <v>0</v>
      </c>
      <c r="AC549" s="377">
        <f t="shared" si="225"/>
        <v>0</v>
      </c>
      <c r="AD549" s="376"/>
      <c r="AE549" s="332">
        <v>534</v>
      </c>
      <c r="AF549" s="350">
        <v>417335.30985006795</v>
      </c>
      <c r="AG549" s="350">
        <v>415831.36621325428</v>
      </c>
      <c r="AH549" s="350">
        <v>414204.9249031592</v>
      </c>
      <c r="AI549" s="350">
        <v>412253.66038629733</v>
      </c>
      <c r="AJ549" s="350">
        <v>409798.33427381422</v>
      </c>
      <c r="AK549" s="348">
        <v>2069423.5956265931</v>
      </c>
      <c r="AL549" s="369"/>
      <c r="AM549" s="350">
        <v>12079045.183458112</v>
      </c>
      <c r="AN549" s="350">
        <v>11972624.292401554</v>
      </c>
      <c r="AO549" s="350">
        <v>11855962.344326353</v>
      </c>
      <c r="AP549" s="350">
        <v>11706260.84684498</v>
      </c>
      <c r="AQ549" s="350">
        <v>11504010.510468863</v>
      </c>
      <c r="AR549" s="348">
        <v>59117903.177499861</v>
      </c>
      <c r="AS549" s="369"/>
      <c r="AT549" s="350">
        <f t="shared" si="243"/>
        <v>11661709.873608043</v>
      </c>
      <c r="AU549" s="350">
        <f t="shared" si="226"/>
        <v>11556792.926188299</v>
      </c>
      <c r="AV549" s="350">
        <f t="shared" si="227"/>
        <v>11441757.419423193</v>
      </c>
      <c r="AW549" s="350">
        <f t="shared" si="228"/>
        <v>11294007.186458683</v>
      </c>
      <c r="AX549" s="350">
        <f t="shared" si="229"/>
        <v>11094212.176195048</v>
      </c>
      <c r="AY549" s="350">
        <f t="shared" si="230"/>
        <v>57048479.581873268</v>
      </c>
      <c r="AZ549" s="365"/>
      <c r="BA549" s="377">
        <f t="shared" si="231"/>
        <v>0</v>
      </c>
      <c r="BB549" s="377">
        <f t="shared" si="232"/>
        <v>0</v>
      </c>
      <c r="BC549" s="377">
        <f t="shared" si="233"/>
        <v>0</v>
      </c>
      <c r="BD549" s="377">
        <f t="shared" si="234"/>
        <v>0</v>
      </c>
      <c r="BE549" s="377">
        <f t="shared" si="235"/>
        <v>0</v>
      </c>
      <c r="BF549" s="377">
        <f t="shared" si="236"/>
        <v>0</v>
      </c>
      <c r="BG549" s="328"/>
    </row>
    <row r="550" spans="2:59">
      <c r="B550" s="332">
        <v>535</v>
      </c>
      <c r="C550" s="350">
        <v>6523352.6202873504</v>
      </c>
      <c r="D550" s="350">
        <v>6499844.5335465046</v>
      </c>
      <c r="E550" s="350">
        <v>6474421.6902559055</v>
      </c>
      <c r="F550" s="350">
        <v>6443921.5475684386</v>
      </c>
      <c r="G550" s="350">
        <v>6405542.436931286</v>
      </c>
      <c r="H550" s="348">
        <v>32347082.828589488</v>
      </c>
      <c r="I550" s="369"/>
      <c r="J550" s="350">
        <v>23432148.463746298</v>
      </c>
      <c r="K550" s="350">
        <v>22960604.908236898</v>
      </c>
      <c r="L550" s="350">
        <v>22474608.023819875</v>
      </c>
      <c r="M550" s="350">
        <v>21938492.721348666</v>
      </c>
      <c r="N550" s="350">
        <v>21322264.298929527</v>
      </c>
      <c r="O550" s="348">
        <v>112128118.41608126</v>
      </c>
      <c r="P550" s="369"/>
      <c r="Q550" s="350">
        <f t="shared" si="237"/>
        <v>16908795.843458947</v>
      </c>
      <c r="R550" s="350">
        <f t="shared" si="238"/>
        <v>16460760.374690395</v>
      </c>
      <c r="S550" s="350">
        <f t="shared" si="239"/>
        <v>16000186.333563969</v>
      </c>
      <c r="T550" s="350">
        <f t="shared" si="240"/>
        <v>15494571.173780227</v>
      </c>
      <c r="U550" s="350">
        <f t="shared" si="241"/>
        <v>14916721.861998241</v>
      </c>
      <c r="V550" s="350">
        <f t="shared" si="242"/>
        <v>79781035.587491781</v>
      </c>
      <c r="W550" s="365"/>
      <c r="X550" s="377">
        <f t="shared" si="220"/>
        <v>0</v>
      </c>
      <c r="Y550" s="377">
        <f t="shared" si="221"/>
        <v>0</v>
      </c>
      <c r="Z550" s="377">
        <f t="shared" si="222"/>
        <v>0</v>
      </c>
      <c r="AA550" s="377">
        <f t="shared" si="223"/>
        <v>0</v>
      </c>
      <c r="AB550" s="377">
        <f t="shared" si="224"/>
        <v>0</v>
      </c>
      <c r="AC550" s="377">
        <f t="shared" si="225"/>
        <v>0</v>
      </c>
      <c r="AD550" s="376"/>
      <c r="AE550" s="332">
        <v>535</v>
      </c>
      <c r="AF550" s="350">
        <v>600632.78989980917</v>
      </c>
      <c r="AG550" s="350">
        <v>598468.30048060324</v>
      </c>
      <c r="AH550" s="350">
        <v>596127.51129111066</v>
      </c>
      <c r="AI550" s="350">
        <v>593319.23357548576</v>
      </c>
      <c r="AJ550" s="350">
        <v>589785.50580731686</v>
      </c>
      <c r="AK550" s="348">
        <v>2978333.3410543259</v>
      </c>
      <c r="AL550" s="369"/>
      <c r="AM550" s="350">
        <v>20572481.297906455</v>
      </c>
      <c r="AN550" s="350">
        <v>20396340.797307942</v>
      </c>
      <c r="AO550" s="350">
        <v>20202653.832079545</v>
      </c>
      <c r="AP550" s="350">
        <v>19952425.986546442</v>
      </c>
      <c r="AQ550" s="350">
        <v>19612278.560469422</v>
      </c>
      <c r="AR550" s="348">
        <v>100736180.4743098</v>
      </c>
      <c r="AS550" s="369"/>
      <c r="AT550" s="350">
        <f t="shared" si="243"/>
        <v>19971848.508006647</v>
      </c>
      <c r="AU550" s="350">
        <f t="shared" si="226"/>
        <v>19797872.496827338</v>
      </c>
      <c r="AV550" s="350">
        <f t="shared" si="227"/>
        <v>19606526.320788436</v>
      </c>
      <c r="AW550" s="350">
        <f t="shared" si="228"/>
        <v>19359106.752970956</v>
      </c>
      <c r="AX550" s="350">
        <f t="shared" si="229"/>
        <v>19022493.054662105</v>
      </c>
      <c r="AY550" s="350">
        <f t="shared" si="230"/>
        <v>97757847.133255482</v>
      </c>
      <c r="AZ550" s="365"/>
      <c r="BA550" s="377">
        <f t="shared" si="231"/>
        <v>0</v>
      </c>
      <c r="BB550" s="377">
        <f t="shared" si="232"/>
        <v>0</v>
      </c>
      <c r="BC550" s="377">
        <f t="shared" si="233"/>
        <v>0</v>
      </c>
      <c r="BD550" s="377">
        <f t="shared" si="234"/>
        <v>0</v>
      </c>
      <c r="BE550" s="377">
        <f t="shared" si="235"/>
        <v>0</v>
      </c>
      <c r="BF550" s="377">
        <f t="shared" si="236"/>
        <v>0</v>
      </c>
      <c r="BG550" s="328"/>
    </row>
    <row r="551" spans="2:59">
      <c r="B551" s="332">
        <v>536</v>
      </c>
      <c r="C551" s="350">
        <v>6002303.7495336486</v>
      </c>
      <c r="D551" s="350">
        <v>5980673.357095547</v>
      </c>
      <c r="E551" s="350">
        <v>5957281.1481365515</v>
      </c>
      <c r="F551" s="350">
        <v>5929217.1860191356</v>
      </c>
      <c r="G551" s="350">
        <v>5893903.5837826524</v>
      </c>
      <c r="H551" s="348">
        <v>29763379.024567537</v>
      </c>
      <c r="I551" s="369"/>
      <c r="J551" s="350">
        <v>20121949.687972512</v>
      </c>
      <c r="K551" s="350">
        <v>19698438.68748593</v>
      </c>
      <c r="L551" s="350">
        <v>19262895.570863605</v>
      </c>
      <c r="M551" s="350">
        <v>18785293.670425065</v>
      </c>
      <c r="N551" s="350">
        <v>18240425.87583033</v>
      </c>
      <c r="O551" s="348">
        <v>96109003.492577434</v>
      </c>
      <c r="P551" s="369"/>
      <c r="Q551" s="350">
        <f t="shared" si="237"/>
        <v>14119645.938438863</v>
      </c>
      <c r="R551" s="350">
        <f t="shared" si="238"/>
        <v>13717765.330390383</v>
      </c>
      <c r="S551" s="350">
        <f t="shared" si="239"/>
        <v>13305614.422727052</v>
      </c>
      <c r="T551" s="350">
        <f t="shared" si="240"/>
        <v>12856076.484405929</v>
      </c>
      <c r="U551" s="350">
        <f t="shared" si="241"/>
        <v>12346522.292047678</v>
      </c>
      <c r="V551" s="350">
        <f t="shared" si="242"/>
        <v>66345624.468009897</v>
      </c>
      <c r="W551" s="365"/>
      <c r="X551" s="377">
        <f t="shared" si="220"/>
        <v>0</v>
      </c>
      <c r="Y551" s="377">
        <f t="shared" si="221"/>
        <v>0</v>
      </c>
      <c r="Z551" s="377">
        <f t="shared" si="222"/>
        <v>0</v>
      </c>
      <c r="AA551" s="377">
        <f t="shared" si="223"/>
        <v>0</v>
      </c>
      <c r="AB551" s="377">
        <f t="shared" si="224"/>
        <v>0</v>
      </c>
      <c r="AC551" s="377">
        <f t="shared" si="225"/>
        <v>0</v>
      </c>
      <c r="AD551" s="376"/>
      <c r="AE551" s="332">
        <v>536</v>
      </c>
      <c r="AF551" s="350">
        <v>409686.67585710814</v>
      </c>
      <c r="AG551" s="350">
        <v>408210.29546297382</v>
      </c>
      <c r="AH551" s="350">
        <v>406613.66244850663</v>
      </c>
      <c r="AI551" s="350">
        <v>404698.15936318581</v>
      </c>
      <c r="AJ551" s="350">
        <v>402287.83277584362</v>
      </c>
      <c r="AK551" s="348">
        <v>2031496.6259076179</v>
      </c>
      <c r="AL551" s="369"/>
      <c r="AM551" s="350">
        <v>14519833.735584578</v>
      </c>
      <c r="AN551" s="350">
        <v>14396176.062697375</v>
      </c>
      <c r="AO551" s="350">
        <v>14260120.800799722</v>
      </c>
      <c r="AP551" s="350">
        <v>14084124.787163867</v>
      </c>
      <c r="AQ551" s="350">
        <v>13844610.139500126</v>
      </c>
      <c r="AR551" s="348">
        <v>71104865.52574566</v>
      </c>
      <c r="AS551" s="369"/>
      <c r="AT551" s="350">
        <f t="shared" si="243"/>
        <v>14110147.059727469</v>
      </c>
      <c r="AU551" s="350">
        <f t="shared" si="226"/>
        <v>13987965.767234402</v>
      </c>
      <c r="AV551" s="350">
        <f t="shared" si="227"/>
        <v>13853507.138351215</v>
      </c>
      <c r="AW551" s="350">
        <f t="shared" si="228"/>
        <v>13679426.627800681</v>
      </c>
      <c r="AX551" s="350">
        <f t="shared" si="229"/>
        <v>13442322.306724282</v>
      </c>
      <c r="AY551" s="350">
        <f t="shared" si="230"/>
        <v>69073368.899838045</v>
      </c>
      <c r="AZ551" s="365"/>
      <c r="BA551" s="377">
        <f t="shared" si="231"/>
        <v>0</v>
      </c>
      <c r="BB551" s="377">
        <f t="shared" si="232"/>
        <v>0</v>
      </c>
      <c r="BC551" s="377">
        <f t="shared" si="233"/>
        <v>0</v>
      </c>
      <c r="BD551" s="377">
        <f t="shared" si="234"/>
        <v>0</v>
      </c>
      <c r="BE551" s="377">
        <f t="shared" si="235"/>
        <v>0</v>
      </c>
      <c r="BF551" s="377">
        <f t="shared" si="236"/>
        <v>0</v>
      </c>
      <c r="BG551" s="328"/>
    </row>
    <row r="552" spans="2:59">
      <c r="B552" s="332">
        <v>537</v>
      </c>
      <c r="C552" s="350">
        <v>6040920.6185596995</v>
      </c>
      <c r="D552" s="350">
        <v>6019151.0632157158</v>
      </c>
      <c r="E552" s="350">
        <v>5995608.3563966826</v>
      </c>
      <c r="F552" s="350">
        <v>5967363.8398797112</v>
      </c>
      <c r="G552" s="350">
        <v>5931823.0414183587</v>
      </c>
      <c r="H552" s="348">
        <v>29954866.919470165</v>
      </c>
      <c r="I552" s="369"/>
      <c r="J552" s="350">
        <v>17762997.533985756</v>
      </c>
      <c r="K552" s="350">
        <v>17354696.678573586</v>
      </c>
      <c r="L552" s="350">
        <v>16936477.516096164</v>
      </c>
      <c r="M552" s="350">
        <v>16482945.754983589</v>
      </c>
      <c r="N552" s="350">
        <v>15972869.369570699</v>
      </c>
      <c r="O552" s="348">
        <v>84509986.853209794</v>
      </c>
      <c r="P552" s="369"/>
      <c r="Q552" s="350">
        <f t="shared" si="237"/>
        <v>11722076.915426057</v>
      </c>
      <c r="R552" s="350">
        <f t="shared" si="238"/>
        <v>11335545.61535787</v>
      </c>
      <c r="S552" s="350">
        <f t="shared" si="239"/>
        <v>10940869.159699481</v>
      </c>
      <c r="T552" s="350">
        <f t="shared" si="240"/>
        <v>10515581.915103879</v>
      </c>
      <c r="U552" s="350">
        <f t="shared" si="241"/>
        <v>10041046.32815234</v>
      </c>
      <c r="V552" s="350">
        <f t="shared" si="242"/>
        <v>54555119.933739632</v>
      </c>
      <c r="W552" s="365"/>
      <c r="X552" s="377">
        <f t="shared" si="220"/>
        <v>0</v>
      </c>
      <c r="Y552" s="377">
        <f t="shared" si="221"/>
        <v>0</v>
      </c>
      <c r="Z552" s="377">
        <f t="shared" si="222"/>
        <v>0</v>
      </c>
      <c r="AA552" s="377">
        <f t="shared" si="223"/>
        <v>0</v>
      </c>
      <c r="AB552" s="377">
        <f t="shared" si="224"/>
        <v>0</v>
      </c>
      <c r="AC552" s="377">
        <f t="shared" si="225"/>
        <v>0</v>
      </c>
      <c r="AD552" s="376"/>
      <c r="AE552" s="332">
        <v>537</v>
      </c>
      <c r="AF552" s="350">
        <v>485028.1567673083</v>
      </c>
      <c r="AG552" s="350">
        <v>483280.26965392759</v>
      </c>
      <c r="AH552" s="350">
        <v>481390.01543362456</v>
      </c>
      <c r="AI552" s="350">
        <v>479122.25085765554</v>
      </c>
      <c r="AJ552" s="350">
        <v>476268.66461538884</v>
      </c>
      <c r="AK552" s="348">
        <v>2405089.357327905</v>
      </c>
      <c r="AL552" s="369"/>
      <c r="AM552" s="350">
        <v>14969439.487799285</v>
      </c>
      <c r="AN552" s="350">
        <v>14839045.775504211</v>
      </c>
      <c r="AO552" s="350">
        <v>14695929.944435421</v>
      </c>
      <c r="AP552" s="350">
        <v>14511789.84503163</v>
      </c>
      <c r="AQ552" s="350">
        <v>14262403.603441888</v>
      </c>
      <c r="AR552" s="348">
        <v>73278608.656212449</v>
      </c>
      <c r="AS552" s="369"/>
      <c r="AT552" s="350">
        <f t="shared" si="243"/>
        <v>14484411.331031976</v>
      </c>
      <c r="AU552" s="350">
        <f t="shared" si="226"/>
        <v>14355765.505850283</v>
      </c>
      <c r="AV552" s="350">
        <f t="shared" si="227"/>
        <v>14214539.929001797</v>
      </c>
      <c r="AW552" s="350">
        <f t="shared" si="228"/>
        <v>14032667.594173975</v>
      </c>
      <c r="AX552" s="350">
        <f t="shared" si="229"/>
        <v>13786134.9388265</v>
      </c>
      <c r="AY552" s="350">
        <f t="shared" si="230"/>
        <v>70873519.298884541</v>
      </c>
      <c r="AZ552" s="365"/>
      <c r="BA552" s="377">
        <f t="shared" si="231"/>
        <v>0</v>
      </c>
      <c r="BB552" s="377">
        <f t="shared" si="232"/>
        <v>0</v>
      </c>
      <c r="BC552" s="377">
        <f t="shared" si="233"/>
        <v>0</v>
      </c>
      <c r="BD552" s="377">
        <f t="shared" si="234"/>
        <v>0</v>
      </c>
      <c r="BE552" s="377">
        <f t="shared" si="235"/>
        <v>0</v>
      </c>
      <c r="BF552" s="377">
        <f t="shared" si="236"/>
        <v>0</v>
      </c>
      <c r="BG552" s="328"/>
    </row>
    <row r="553" spans="2:59">
      <c r="B553" s="332">
        <v>538</v>
      </c>
      <c r="C553" s="350">
        <v>3649531.9628931358</v>
      </c>
      <c r="D553" s="350">
        <v>3636380.2111879829</v>
      </c>
      <c r="E553" s="350">
        <v>3622157.2365034441</v>
      </c>
      <c r="F553" s="350">
        <v>3605093.7337173857</v>
      </c>
      <c r="G553" s="350">
        <v>3583622.2911738544</v>
      </c>
      <c r="H553" s="348">
        <v>18096785.435475804</v>
      </c>
      <c r="I553" s="369"/>
      <c r="J553" s="350">
        <v>12974871.741778854</v>
      </c>
      <c r="K553" s="350">
        <v>12712032.278512262</v>
      </c>
      <c r="L553" s="350">
        <v>12441225.151511827</v>
      </c>
      <c r="M553" s="350">
        <v>12142757.917281706</v>
      </c>
      <c r="N553" s="350">
        <v>11800073.29314927</v>
      </c>
      <c r="O553" s="348">
        <v>62070960.382233925</v>
      </c>
      <c r="P553" s="369"/>
      <c r="Q553" s="350">
        <f t="shared" si="237"/>
        <v>9325339.7788857184</v>
      </c>
      <c r="R553" s="350">
        <f t="shared" si="238"/>
        <v>9075652.0673242789</v>
      </c>
      <c r="S553" s="350">
        <f t="shared" si="239"/>
        <v>8819067.9150083829</v>
      </c>
      <c r="T553" s="350">
        <f t="shared" si="240"/>
        <v>8537664.1835643202</v>
      </c>
      <c r="U553" s="350">
        <f t="shared" si="241"/>
        <v>8216451.0019754153</v>
      </c>
      <c r="V553" s="350">
        <f t="shared" si="242"/>
        <v>43974174.946758121</v>
      </c>
      <c r="W553" s="365"/>
      <c r="X553" s="377">
        <f t="shared" si="220"/>
        <v>0</v>
      </c>
      <c r="Y553" s="377">
        <f t="shared" si="221"/>
        <v>0</v>
      </c>
      <c r="Z553" s="377">
        <f t="shared" si="222"/>
        <v>0</v>
      </c>
      <c r="AA553" s="377">
        <f t="shared" si="223"/>
        <v>0</v>
      </c>
      <c r="AB553" s="377">
        <f t="shared" si="224"/>
        <v>0</v>
      </c>
      <c r="AC553" s="377">
        <f t="shared" si="225"/>
        <v>0</v>
      </c>
      <c r="AD553" s="376"/>
      <c r="AE553" s="332">
        <v>538</v>
      </c>
      <c r="AF553" s="350">
        <v>520881.78147753055</v>
      </c>
      <c r="AG553" s="350">
        <v>519004.68931136152</v>
      </c>
      <c r="AH553" s="350">
        <v>516974.70616094151</v>
      </c>
      <c r="AI553" s="350">
        <v>514539.30682211713</v>
      </c>
      <c r="AJ553" s="350">
        <v>511474.78146470618</v>
      </c>
      <c r="AK553" s="348">
        <v>2582875.2652366571</v>
      </c>
      <c r="AL553" s="369"/>
      <c r="AM553" s="350">
        <v>14181475.507217012</v>
      </c>
      <c r="AN553" s="350">
        <v>14055097.461561138</v>
      </c>
      <c r="AO553" s="350">
        <v>13916725.122958565</v>
      </c>
      <c r="AP553" s="350">
        <v>13739638.096433526</v>
      </c>
      <c r="AQ553" s="350">
        <v>13500973.85306506</v>
      </c>
      <c r="AR553" s="348">
        <v>69393910.041235298</v>
      </c>
      <c r="AS553" s="369"/>
      <c r="AT553" s="350">
        <f t="shared" si="243"/>
        <v>13660593.725739481</v>
      </c>
      <c r="AU553" s="350">
        <f t="shared" si="226"/>
        <v>13536092.772249777</v>
      </c>
      <c r="AV553" s="350">
        <f t="shared" si="227"/>
        <v>13399750.416797623</v>
      </c>
      <c r="AW553" s="350">
        <f t="shared" si="228"/>
        <v>13225098.789611408</v>
      </c>
      <c r="AX553" s="350">
        <f t="shared" si="229"/>
        <v>12989499.071600355</v>
      </c>
      <c r="AY553" s="350">
        <f t="shared" si="230"/>
        <v>66811034.775998637</v>
      </c>
      <c r="AZ553" s="365"/>
      <c r="BA553" s="377">
        <f t="shared" si="231"/>
        <v>0</v>
      </c>
      <c r="BB553" s="377">
        <f t="shared" si="232"/>
        <v>0</v>
      </c>
      <c r="BC553" s="377">
        <f t="shared" si="233"/>
        <v>0</v>
      </c>
      <c r="BD553" s="377">
        <f t="shared" si="234"/>
        <v>0</v>
      </c>
      <c r="BE553" s="377">
        <f t="shared" si="235"/>
        <v>0</v>
      </c>
      <c r="BF553" s="377">
        <f t="shared" si="236"/>
        <v>0</v>
      </c>
      <c r="BG553" s="328"/>
    </row>
    <row r="554" spans="2:59">
      <c r="B554" s="332">
        <v>539</v>
      </c>
      <c r="C554" s="350">
        <v>4005872.3930226755</v>
      </c>
      <c r="D554" s="350">
        <v>3991436.5038151732</v>
      </c>
      <c r="E554" s="350">
        <v>3975824.797378636</v>
      </c>
      <c r="F554" s="350">
        <v>3957095.2135761268</v>
      </c>
      <c r="G554" s="350">
        <v>3933527.2986220894</v>
      </c>
      <c r="H554" s="348">
        <v>19863756.206414703</v>
      </c>
      <c r="I554" s="369"/>
      <c r="J554" s="350">
        <v>15339200.186960328</v>
      </c>
      <c r="K554" s="350">
        <v>15042787.265184917</v>
      </c>
      <c r="L554" s="350">
        <v>14736662.324852062</v>
      </c>
      <c r="M554" s="350">
        <v>14397081.939761527</v>
      </c>
      <c r="N554" s="350">
        <v>14004047.521645458</v>
      </c>
      <c r="O554" s="348">
        <v>73519779.238404289</v>
      </c>
      <c r="P554" s="369"/>
      <c r="Q554" s="350">
        <f t="shared" si="237"/>
        <v>11333327.793937653</v>
      </c>
      <c r="R554" s="350">
        <f t="shared" si="238"/>
        <v>11051350.761369742</v>
      </c>
      <c r="S554" s="350">
        <f t="shared" si="239"/>
        <v>10760837.527473427</v>
      </c>
      <c r="T554" s="350">
        <f t="shared" si="240"/>
        <v>10439986.7261854</v>
      </c>
      <c r="U554" s="350">
        <f t="shared" si="241"/>
        <v>10070520.22302337</v>
      </c>
      <c r="V554" s="350">
        <f t="shared" si="242"/>
        <v>53656023.031989589</v>
      </c>
      <c r="W554" s="365"/>
      <c r="X554" s="377">
        <f t="shared" si="220"/>
        <v>0</v>
      </c>
      <c r="Y554" s="377">
        <f t="shared" si="221"/>
        <v>0</v>
      </c>
      <c r="Z554" s="377">
        <f t="shared" si="222"/>
        <v>0</v>
      </c>
      <c r="AA554" s="377">
        <f t="shared" si="223"/>
        <v>0</v>
      </c>
      <c r="AB554" s="377">
        <f t="shared" si="224"/>
        <v>0</v>
      </c>
      <c r="AC554" s="377">
        <f t="shared" si="225"/>
        <v>0</v>
      </c>
      <c r="AD554" s="376"/>
      <c r="AE554" s="332">
        <v>539</v>
      </c>
      <c r="AF554" s="350">
        <v>585384.02654701157</v>
      </c>
      <c r="AG554" s="350">
        <v>583274.48881790345</v>
      </c>
      <c r="AH554" s="350">
        <v>580993.12718716147</v>
      </c>
      <c r="AI554" s="350">
        <v>578256.14554966392</v>
      </c>
      <c r="AJ554" s="350">
        <v>574812.1314624598</v>
      </c>
      <c r="AK554" s="348">
        <v>2902719.9195642006</v>
      </c>
      <c r="AL554" s="369"/>
      <c r="AM554" s="350">
        <v>16439014.876545269</v>
      </c>
      <c r="AN554" s="350">
        <v>16293373.25738018</v>
      </c>
      <c r="AO554" s="350">
        <v>16133810.533859728</v>
      </c>
      <c r="AP554" s="350">
        <v>15929325.113545977</v>
      </c>
      <c r="AQ554" s="350">
        <v>15653389.690673057</v>
      </c>
      <c r="AR554" s="348">
        <v>80448913.472004205</v>
      </c>
      <c r="AS554" s="369"/>
      <c r="AT554" s="350">
        <f t="shared" si="243"/>
        <v>15853630.849998258</v>
      </c>
      <c r="AU554" s="350">
        <f t="shared" si="226"/>
        <v>15710098.768562276</v>
      </c>
      <c r="AV554" s="350">
        <f t="shared" si="227"/>
        <v>15552817.406672567</v>
      </c>
      <c r="AW554" s="350">
        <f t="shared" si="228"/>
        <v>15351068.967996312</v>
      </c>
      <c r="AX554" s="350">
        <f t="shared" si="229"/>
        <v>15078577.559210597</v>
      </c>
      <c r="AY554" s="350">
        <f t="shared" si="230"/>
        <v>77546193.552440003</v>
      </c>
      <c r="AZ554" s="365"/>
      <c r="BA554" s="377">
        <f t="shared" si="231"/>
        <v>0</v>
      </c>
      <c r="BB554" s="377">
        <f t="shared" si="232"/>
        <v>0</v>
      </c>
      <c r="BC554" s="377">
        <f t="shared" si="233"/>
        <v>0</v>
      </c>
      <c r="BD554" s="377">
        <f t="shared" si="234"/>
        <v>0</v>
      </c>
      <c r="BE554" s="377">
        <f t="shared" si="235"/>
        <v>0</v>
      </c>
      <c r="BF554" s="377">
        <f t="shared" si="236"/>
        <v>0</v>
      </c>
      <c r="BG554" s="328"/>
    </row>
    <row r="555" spans="2:59">
      <c r="B555" s="332">
        <v>540</v>
      </c>
      <c r="C555" s="350">
        <v>5127170.2431122055</v>
      </c>
      <c r="D555" s="350">
        <v>5108693.5533138756</v>
      </c>
      <c r="E555" s="350">
        <v>5088711.9191447403</v>
      </c>
      <c r="F555" s="350">
        <v>5064739.6715750564</v>
      </c>
      <c r="G555" s="350">
        <v>5034574.7785407677</v>
      </c>
      <c r="H555" s="348">
        <v>25423890.165686645</v>
      </c>
      <c r="I555" s="369"/>
      <c r="J555" s="350">
        <v>19875430.574622877</v>
      </c>
      <c r="K555" s="350">
        <v>19494299.299673736</v>
      </c>
      <c r="L555" s="350">
        <v>19100523.871399403</v>
      </c>
      <c r="M555" s="350">
        <v>18663244.341587488</v>
      </c>
      <c r="N555" s="350">
        <v>18156460.929044239</v>
      </c>
      <c r="O555" s="348">
        <v>95289959.016327739</v>
      </c>
      <c r="P555" s="369"/>
      <c r="Q555" s="350">
        <f t="shared" si="237"/>
        <v>14748260.33151067</v>
      </c>
      <c r="R555" s="350">
        <f t="shared" si="238"/>
        <v>14385605.746359861</v>
      </c>
      <c r="S555" s="350">
        <f t="shared" si="239"/>
        <v>14011811.952254662</v>
      </c>
      <c r="T555" s="350">
        <f t="shared" si="240"/>
        <v>13598504.670012431</v>
      </c>
      <c r="U555" s="350">
        <f t="shared" si="241"/>
        <v>13121886.150503471</v>
      </c>
      <c r="V555" s="350">
        <f t="shared" si="242"/>
        <v>69866068.850641102</v>
      </c>
      <c r="W555" s="365"/>
      <c r="X555" s="377">
        <f t="shared" si="220"/>
        <v>0</v>
      </c>
      <c r="Y555" s="377">
        <f t="shared" si="221"/>
        <v>0</v>
      </c>
      <c r="Z555" s="377">
        <f t="shared" si="222"/>
        <v>0</v>
      </c>
      <c r="AA555" s="377">
        <f t="shared" si="223"/>
        <v>0</v>
      </c>
      <c r="AB555" s="377">
        <f t="shared" si="224"/>
        <v>0</v>
      </c>
      <c r="AC555" s="377">
        <f t="shared" si="225"/>
        <v>0</v>
      </c>
      <c r="AD555" s="376"/>
      <c r="AE555" s="332">
        <v>540</v>
      </c>
      <c r="AF555" s="350">
        <v>477062.38633016561</v>
      </c>
      <c r="AG555" s="350">
        <v>475343.20531827811</v>
      </c>
      <c r="AH555" s="350">
        <v>473483.99533937982</v>
      </c>
      <c r="AI555" s="350">
        <v>471253.47497648501</v>
      </c>
      <c r="AJ555" s="350">
        <v>468446.75408133544</v>
      </c>
      <c r="AK555" s="348">
        <v>2365589.8160456438</v>
      </c>
      <c r="AL555" s="369"/>
      <c r="AM555" s="350">
        <v>17323864.154076148</v>
      </c>
      <c r="AN555" s="350">
        <v>17176870.829831198</v>
      </c>
      <c r="AO555" s="350">
        <v>17015074.603821553</v>
      </c>
      <c r="AP555" s="350">
        <v>16805595.658922136</v>
      </c>
      <c r="AQ555" s="350">
        <v>16520286.682272425</v>
      </c>
      <c r="AR555" s="348">
        <v>84841691.928923443</v>
      </c>
      <c r="AS555" s="369"/>
      <c r="AT555" s="350">
        <f t="shared" si="243"/>
        <v>16846801.767745983</v>
      </c>
      <c r="AU555" s="350">
        <f t="shared" si="226"/>
        <v>16701527.62451292</v>
      </c>
      <c r="AV555" s="350">
        <f t="shared" si="227"/>
        <v>16541590.608482173</v>
      </c>
      <c r="AW555" s="350">
        <f t="shared" si="228"/>
        <v>16334342.18394565</v>
      </c>
      <c r="AX555" s="350">
        <f t="shared" si="229"/>
        <v>16051839.92819109</v>
      </c>
      <c r="AY555" s="350">
        <f t="shared" si="230"/>
        <v>82476102.112877801</v>
      </c>
      <c r="AZ555" s="365"/>
      <c r="BA555" s="377">
        <f t="shared" si="231"/>
        <v>0</v>
      </c>
      <c r="BB555" s="377">
        <f t="shared" si="232"/>
        <v>0</v>
      </c>
      <c r="BC555" s="377">
        <f t="shared" si="233"/>
        <v>0</v>
      </c>
      <c r="BD555" s="377">
        <f t="shared" si="234"/>
        <v>0</v>
      </c>
      <c r="BE555" s="377">
        <f t="shared" si="235"/>
        <v>0</v>
      </c>
      <c r="BF555" s="377">
        <f t="shared" si="236"/>
        <v>0</v>
      </c>
      <c r="BG555" s="328"/>
    </row>
    <row r="556" spans="2:59">
      <c r="B556" s="332">
        <v>541</v>
      </c>
      <c r="C556" s="350">
        <v>4578844.8349694433</v>
      </c>
      <c r="D556" s="350">
        <v>4562344.135433659</v>
      </c>
      <c r="E556" s="350">
        <v>4544499.4378575422</v>
      </c>
      <c r="F556" s="350">
        <v>4523090.9031761549</v>
      </c>
      <c r="G556" s="350">
        <v>4496151.9957246203</v>
      </c>
      <c r="H556" s="348">
        <v>22704931.307161421</v>
      </c>
      <c r="I556" s="369"/>
      <c r="J556" s="350">
        <v>14424732.994764933</v>
      </c>
      <c r="K556" s="350">
        <v>14108327.158670634</v>
      </c>
      <c r="L556" s="350">
        <v>13783557.399194457</v>
      </c>
      <c r="M556" s="350">
        <v>13429312.200875029</v>
      </c>
      <c r="N556" s="350">
        <v>13027900.710447328</v>
      </c>
      <c r="O556" s="348">
        <v>68773830.463952377</v>
      </c>
      <c r="P556" s="369"/>
      <c r="Q556" s="350">
        <f t="shared" si="237"/>
        <v>9845888.1597954892</v>
      </c>
      <c r="R556" s="350">
        <f t="shared" si="238"/>
        <v>9545983.0232369751</v>
      </c>
      <c r="S556" s="350">
        <f t="shared" si="239"/>
        <v>9239057.9613369144</v>
      </c>
      <c r="T556" s="350">
        <f t="shared" si="240"/>
        <v>8906221.297698874</v>
      </c>
      <c r="U556" s="350">
        <f t="shared" si="241"/>
        <v>8531748.7147227079</v>
      </c>
      <c r="V556" s="350">
        <f t="shared" si="242"/>
        <v>46068899.156790957</v>
      </c>
      <c r="W556" s="365"/>
      <c r="X556" s="377">
        <f t="shared" si="220"/>
        <v>0</v>
      </c>
      <c r="Y556" s="377">
        <f t="shared" si="221"/>
        <v>0</v>
      </c>
      <c r="Z556" s="377">
        <f t="shared" si="222"/>
        <v>0</v>
      </c>
      <c r="AA556" s="377">
        <f t="shared" si="223"/>
        <v>0</v>
      </c>
      <c r="AB556" s="377">
        <f t="shared" si="224"/>
        <v>0</v>
      </c>
      <c r="AC556" s="377">
        <f t="shared" si="225"/>
        <v>0</v>
      </c>
      <c r="AD556" s="376"/>
      <c r="AE556" s="332">
        <v>541</v>
      </c>
      <c r="AF556" s="350">
        <v>613067.65265168424</v>
      </c>
      <c r="AG556" s="350">
        <v>610858.35194460291</v>
      </c>
      <c r="AH556" s="350">
        <v>608469.10154421395</v>
      </c>
      <c r="AI556" s="350">
        <v>605602.68423223309</v>
      </c>
      <c r="AJ556" s="350">
        <v>601995.79792104347</v>
      </c>
      <c r="AK556" s="348">
        <v>3039993.5882937773</v>
      </c>
      <c r="AL556" s="369"/>
      <c r="AM556" s="350">
        <v>16729754.250661423</v>
      </c>
      <c r="AN556" s="350">
        <v>16580732.748820137</v>
      </c>
      <c r="AO556" s="350">
        <v>16417560.354087921</v>
      </c>
      <c r="AP556" s="350">
        <v>16208713.150608514</v>
      </c>
      <c r="AQ556" s="350">
        <v>15927218.486597989</v>
      </c>
      <c r="AR556" s="348">
        <v>81863978.990775973</v>
      </c>
      <c r="AS556" s="369"/>
      <c r="AT556" s="350">
        <f t="shared" si="243"/>
        <v>16116686.598009739</v>
      </c>
      <c r="AU556" s="350">
        <f t="shared" si="226"/>
        <v>15969874.396875534</v>
      </c>
      <c r="AV556" s="350">
        <f t="shared" si="227"/>
        <v>15809091.252543706</v>
      </c>
      <c r="AW556" s="350">
        <f t="shared" si="228"/>
        <v>15603110.46637628</v>
      </c>
      <c r="AX556" s="350">
        <f t="shared" si="229"/>
        <v>15325222.688676946</v>
      </c>
      <c r="AY556" s="350">
        <f t="shared" si="230"/>
        <v>78823985.402482197</v>
      </c>
      <c r="AZ556" s="365"/>
      <c r="BA556" s="377">
        <f t="shared" si="231"/>
        <v>0</v>
      </c>
      <c r="BB556" s="377">
        <f t="shared" si="232"/>
        <v>0</v>
      </c>
      <c r="BC556" s="377">
        <f t="shared" si="233"/>
        <v>0</v>
      </c>
      <c r="BD556" s="377">
        <f t="shared" si="234"/>
        <v>0</v>
      </c>
      <c r="BE556" s="377">
        <f t="shared" si="235"/>
        <v>0</v>
      </c>
      <c r="BF556" s="377">
        <f t="shared" si="236"/>
        <v>0</v>
      </c>
      <c r="BG556" s="328"/>
    </row>
    <row r="557" spans="2:59">
      <c r="B557" s="332">
        <v>542</v>
      </c>
      <c r="C557" s="350">
        <v>5228878.2575399531</v>
      </c>
      <c r="D557" s="350">
        <v>5210035.0444269143</v>
      </c>
      <c r="E557" s="350">
        <v>5189657.0332622817</v>
      </c>
      <c r="F557" s="350">
        <v>5165209.2466357574</v>
      </c>
      <c r="G557" s="350">
        <v>5134445.9706279226</v>
      </c>
      <c r="H557" s="348">
        <v>25928225.552492831</v>
      </c>
      <c r="I557" s="369"/>
      <c r="J557" s="350">
        <v>16225610.494452501</v>
      </c>
      <c r="K557" s="350">
        <v>15866065.92207294</v>
      </c>
      <c r="L557" s="350">
        <v>15497187.478706844</v>
      </c>
      <c r="M557" s="350">
        <v>15095345.398545031</v>
      </c>
      <c r="N557" s="350">
        <v>14640747.891347453</v>
      </c>
      <c r="O557" s="348">
        <v>77324957.18512477</v>
      </c>
      <c r="P557" s="369"/>
      <c r="Q557" s="350">
        <f t="shared" si="237"/>
        <v>10996732.236912549</v>
      </c>
      <c r="R557" s="350">
        <f t="shared" si="238"/>
        <v>10656030.877646025</v>
      </c>
      <c r="S557" s="350">
        <f t="shared" si="239"/>
        <v>10307530.445444562</v>
      </c>
      <c r="T557" s="350">
        <f t="shared" si="240"/>
        <v>9930136.1519092731</v>
      </c>
      <c r="U557" s="350">
        <f t="shared" si="241"/>
        <v>9506301.9207195304</v>
      </c>
      <c r="V557" s="350">
        <f t="shared" si="242"/>
        <v>51396731.632631943</v>
      </c>
      <c r="W557" s="365"/>
      <c r="X557" s="377">
        <f t="shared" si="220"/>
        <v>0</v>
      </c>
      <c r="Y557" s="377">
        <f t="shared" si="221"/>
        <v>0</v>
      </c>
      <c r="Z557" s="377">
        <f t="shared" si="222"/>
        <v>0</v>
      </c>
      <c r="AA557" s="377">
        <f t="shared" si="223"/>
        <v>0</v>
      </c>
      <c r="AB557" s="377">
        <f t="shared" si="224"/>
        <v>0</v>
      </c>
      <c r="AC557" s="377">
        <f t="shared" si="225"/>
        <v>0</v>
      </c>
      <c r="AD557" s="376"/>
      <c r="AE557" s="332">
        <v>542</v>
      </c>
      <c r="AF557" s="350">
        <v>631015.90713133919</v>
      </c>
      <c r="AG557" s="350">
        <v>628741.92662727076</v>
      </c>
      <c r="AH557" s="350">
        <v>626282.72819746577</v>
      </c>
      <c r="AI557" s="350">
        <v>623332.39325072174</v>
      </c>
      <c r="AJ557" s="350">
        <v>619619.9112306207</v>
      </c>
      <c r="AK557" s="348">
        <v>3128992.8664374184</v>
      </c>
      <c r="AL557" s="369"/>
      <c r="AM557" s="350">
        <v>15435388.35801295</v>
      </c>
      <c r="AN557" s="350">
        <v>15294863.088716844</v>
      </c>
      <c r="AO557" s="350">
        <v>15141343.710953334</v>
      </c>
      <c r="AP557" s="350">
        <v>14945843.25462034</v>
      </c>
      <c r="AQ557" s="350">
        <v>14683565.758332308</v>
      </c>
      <c r="AR557" s="348">
        <v>75501004.170635775</v>
      </c>
      <c r="AS557" s="369"/>
      <c r="AT557" s="350">
        <f t="shared" si="243"/>
        <v>14804372.450881612</v>
      </c>
      <c r="AU557" s="350">
        <f t="shared" si="226"/>
        <v>14666121.162089573</v>
      </c>
      <c r="AV557" s="350">
        <f t="shared" si="227"/>
        <v>14515060.982755868</v>
      </c>
      <c r="AW557" s="350">
        <f t="shared" si="228"/>
        <v>14322510.861369617</v>
      </c>
      <c r="AX557" s="350">
        <f t="shared" si="229"/>
        <v>14063945.847101688</v>
      </c>
      <c r="AY557" s="350">
        <f t="shared" si="230"/>
        <v>72372011.304198354</v>
      </c>
      <c r="AZ557" s="365"/>
      <c r="BA557" s="377">
        <f t="shared" si="231"/>
        <v>0</v>
      </c>
      <c r="BB557" s="377">
        <f t="shared" si="232"/>
        <v>0</v>
      </c>
      <c r="BC557" s="377">
        <f t="shared" si="233"/>
        <v>0</v>
      </c>
      <c r="BD557" s="377">
        <f t="shared" si="234"/>
        <v>0</v>
      </c>
      <c r="BE557" s="377">
        <f t="shared" si="235"/>
        <v>0</v>
      </c>
      <c r="BF557" s="377">
        <f t="shared" si="236"/>
        <v>0</v>
      </c>
      <c r="BG557" s="328"/>
    </row>
    <row r="558" spans="2:59">
      <c r="B558" s="332">
        <v>543</v>
      </c>
      <c r="C558" s="350">
        <v>4485479.8999689985</v>
      </c>
      <c r="D558" s="350">
        <v>4469315.6579449102</v>
      </c>
      <c r="E558" s="350">
        <v>4451834.8226723541</v>
      </c>
      <c r="F558" s="350">
        <v>4430862.8187145498</v>
      </c>
      <c r="G558" s="350">
        <v>4404473.2090518344</v>
      </c>
      <c r="H558" s="348">
        <v>22241966.408352643</v>
      </c>
      <c r="I558" s="369"/>
      <c r="J558" s="350">
        <v>14038943.136075906</v>
      </c>
      <c r="K558" s="350">
        <v>13729649.616960712</v>
      </c>
      <c r="L558" s="350">
        <v>13412243.434165658</v>
      </c>
      <c r="M558" s="350">
        <v>13066221.299405379</v>
      </c>
      <c r="N558" s="350">
        <v>12674405.483604267</v>
      </c>
      <c r="O558" s="348">
        <v>66921462.970211923</v>
      </c>
      <c r="P558" s="369"/>
      <c r="Q558" s="350">
        <f t="shared" si="237"/>
        <v>9553463.2361069079</v>
      </c>
      <c r="R558" s="350">
        <f t="shared" si="238"/>
        <v>9260333.9590158015</v>
      </c>
      <c r="S558" s="350">
        <f t="shared" si="239"/>
        <v>8960408.6114933044</v>
      </c>
      <c r="T558" s="350">
        <f t="shared" si="240"/>
        <v>8635358.4806908295</v>
      </c>
      <c r="U558" s="350">
        <f t="shared" si="241"/>
        <v>8269932.2745524328</v>
      </c>
      <c r="V558" s="350">
        <f t="shared" si="242"/>
        <v>44679496.56185928</v>
      </c>
      <c r="W558" s="365"/>
      <c r="X558" s="377">
        <f t="shared" si="220"/>
        <v>0</v>
      </c>
      <c r="Y558" s="377">
        <f t="shared" si="221"/>
        <v>0</v>
      </c>
      <c r="Z558" s="377">
        <f t="shared" si="222"/>
        <v>0</v>
      </c>
      <c r="AA558" s="377">
        <f t="shared" si="223"/>
        <v>0</v>
      </c>
      <c r="AB558" s="377">
        <f t="shared" si="224"/>
        <v>0</v>
      </c>
      <c r="AC558" s="377">
        <f t="shared" si="225"/>
        <v>0</v>
      </c>
      <c r="AD558" s="376"/>
      <c r="AE558" s="332">
        <v>543</v>
      </c>
      <c r="AF558" s="350">
        <v>435589.21312213282</v>
      </c>
      <c r="AG558" s="350">
        <v>434019.48822735919</v>
      </c>
      <c r="AH558" s="350">
        <v>432321.90771180653</v>
      </c>
      <c r="AI558" s="350">
        <v>430285.29648952966</v>
      </c>
      <c r="AJ558" s="350">
        <v>427722.57643193629</v>
      </c>
      <c r="AK558" s="348">
        <v>2159938.4819827643</v>
      </c>
      <c r="AL558" s="369"/>
      <c r="AM558" s="350">
        <v>14602741.800168579</v>
      </c>
      <c r="AN558" s="350">
        <v>14477284.796361383</v>
      </c>
      <c r="AO558" s="350">
        <v>14339381.737627152</v>
      </c>
      <c r="AP558" s="350">
        <v>14161367.498182759</v>
      </c>
      <c r="AQ558" s="350">
        <v>13919561.944983203</v>
      </c>
      <c r="AR558" s="348">
        <v>71500337.777323067</v>
      </c>
      <c r="AS558" s="369"/>
      <c r="AT558" s="350">
        <f t="shared" si="243"/>
        <v>14167152.587046446</v>
      </c>
      <c r="AU558" s="350">
        <f t="shared" si="226"/>
        <v>14043265.308134023</v>
      </c>
      <c r="AV558" s="350">
        <f t="shared" si="227"/>
        <v>13907059.829915347</v>
      </c>
      <c r="AW558" s="350">
        <f t="shared" si="228"/>
        <v>13731082.201693229</v>
      </c>
      <c r="AX558" s="350">
        <f t="shared" si="229"/>
        <v>13491839.368551267</v>
      </c>
      <c r="AY558" s="350">
        <f t="shared" si="230"/>
        <v>69340399.2953403</v>
      </c>
      <c r="AZ558" s="365"/>
      <c r="BA558" s="377">
        <f t="shared" si="231"/>
        <v>0</v>
      </c>
      <c r="BB558" s="377">
        <f t="shared" si="232"/>
        <v>0</v>
      </c>
      <c r="BC558" s="377">
        <f t="shared" si="233"/>
        <v>0</v>
      </c>
      <c r="BD558" s="377">
        <f t="shared" si="234"/>
        <v>0</v>
      </c>
      <c r="BE558" s="377">
        <f t="shared" si="235"/>
        <v>0</v>
      </c>
      <c r="BF558" s="377">
        <f t="shared" si="236"/>
        <v>0</v>
      </c>
      <c r="BG558" s="328"/>
    </row>
    <row r="559" spans="2:59">
      <c r="B559" s="332">
        <v>544</v>
      </c>
      <c r="C559" s="350">
        <v>3999183.291047167</v>
      </c>
      <c r="D559" s="350">
        <v>3984771.5072343322</v>
      </c>
      <c r="E559" s="350">
        <v>3969185.8696003212</v>
      </c>
      <c r="F559" s="350">
        <v>3950487.5609068838</v>
      </c>
      <c r="G559" s="350">
        <v>3926959.0002235295</v>
      </c>
      <c r="H559" s="348">
        <v>19830587.229012232</v>
      </c>
      <c r="I559" s="369"/>
      <c r="J559" s="350">
        <v>13940759.156579642</v>
      </c>
      <c r="K559" s="350">
        <v>13654735.657328021</v>
      </c>
      <c r="L559" s="350">
        <v>13360225.227603188</v>
      </c>
      <c r="M559" s="350">
        <v>13036186.293277346</v>
      </c>
      <c r="N559" s="350">
        <v>12664936.138358789</v>
      </c>
      <c r="O559" s="348">
        <v>66656842.473146982</v>
      </c>
      <c r="P559" s="369"/>
      <c r="Q559" s="350">
        <f t="shared" si="237"/>
        <v>9941575.8655324746</v>
      </c>
      <c r="R559" s="350">
        <f t="shared" si="238"/>
        <v>9669964.1500936896</v>
      </c>
      <c r="S559" s="350">
        <f t="shared" si="239"/>
        <v>9391039.3580028675</v>
      </c>
      <c r="T559" s="350">
        <f t="shared" si="240"/>
        <v>9085698.7323704623</v>
      </c>
      <c r="U559" s="350">
        <f t="shared" si="241"/>
        <v>8737977.1381352581</v>
      </c>
      <c r="V559" s="350">
        <f t="shared" si="242"/>
        <v>46826255.244134754</v>
      </c>
      <c r="W559" s="365"/>
      <c r="X559" s="377">
        <f t="shared" si="220"/>
        <v>0</v>
      </c>
      <c r="Y559" s="377">
        <f t="shared" si="221"/>
        <v>0</v>
      </c>
      <c r="Z559" s="377">
        <f t="shared" si="222"/>
        <v>0</v>
      </c>
      <c r="AA559" s="377">
        <f t="shared" si="223"/>
        <v>0</v>
      </c>
      <c r="AB559" s="377">
        <f t="shared" si="224"/>
        <v>0</v>
      </c>
      <c r="AC559" s="377">
        <f t="shared" si="225"/>
        <v>0</v>
      </c>
      <c r="AD559" s="376"/>
      <c r="AE559" s="332">
        <v>544</v>
      </c>
      <c r="AF559" s="350">
        <v>404054.21662356914</v>
      </c>
      <c r="AG559" s="350">
        <v>402598.13381994283</v>
      </c>
      <c r="AH559" s="350">
        <v>401023.45165449003</v>
      </c>
      <c r="AI559" s="350">
        <v>399134.28331148712</v>
      </c>
      <c r="AJ559" s="350">
        <v>396757.09440482332</v>
      </c>
      <c r="AK559" s="348">
        <v>2003567.1798143126</v>
      </c>
      <c r="AL559" s="369"/>
      <c r="AM559" s="350">
        <v>11979559.579937337</v>
      </c>
      <c r="AN559" s="350">
        <v>11874471.911615113</v>
      </c>
      <c r="AO559" s="350">
        <v>11759218.207621664</v>
      </c>
      <c r="AP559" s="350">
        <v>11611172.998463137</v>
      </c>
      <c r="AQ559" s="350">
        <v>11410974.150758216</v>
      </c>
      <c r="AR559" s="348">
        <v>58635396.848395467</v>
      </c>
      <c r="AS559" s="369"/>
      <c r="AT559" s="350">
        <f t="shared" si="243"/>
        <v>11575505.363313768</v>
      </c>
      <c r="AU559" s="350">
        <f t="shared" si="226"/>
        <v>11471873.77779517</v>
      </c>
      <c r="AV559" s="350">
        <f t="shared" si="227"/>
        <v>11358194.755967174</v>
      </c>
      <c r="AW559" s="350">
        <f t="shared" si="228"/>
        <v>11212038.715151651</v>
      </c>
      <c r="AX559" s="350">
        <f t="shared" si="229"/>
        <v>11014217.056353392</v>
      </c>
      <c r="AY559" s="350">
        <f t="shared" si="230"/>
        <v>56631829.668581158</v>
      </c>
      <c r="AZ559" s="365"/>
      <c r="BA559" s="377">
        <f t="shared" si="231"/>
        <v>0</v>
      </c>
      <c r="BB559" s="377">
        <f t="shared" si="232"/>
        <v>0</v>
      </c>
      <c r="BC559" s="377">
        <f t="shared" si="233"/>
        <v>0</v>
      </c>
      <c r="BD559" s="377">
        <f t="shared" si="234"/>
        <v>0</v>
      </c>
      <c r="BE559" s="377">
        <f t="shared" si="235"/>
        <v>0</v>
      </c>
      <c r="BF559" s="377">
        <f t="shared" si="236"/>
        <v>0</v>
      </c>
      <c r="BG559" s="328"/>
    </row>
    <row r="560" spans="2:59">
      <c r="B560" s="332">
        <v>545</v>
      </c>
      <c r="C560" s="350">
        <v>4154707.1462468044</v>
      </c>
      <c r="D560" s="350">
        <v>4139734.9039563853</v>
      </c>
      <c r="E560" s="350">
        <v>4123543.1579561969</v>
      </c>
      <c r="F560" s="350">
        <v>4104117.692530477</v>
      </c>
      <c r="G560" s="350">
        <v>4079674.1319087679</v>
      </c>
      <c r="H560" s="348">
        <v>20601777.032598633</v>
      </c>
      <c r="I560" s="369"/>
      <c r="J560" s="350">
        <v>15806716.266760273</v>
      </c>
      <c r="K560" s="350">
        <v>15500028.402083915</v>
      </c>
      <c r="L560" s="350">
        <v>15183357.846411481</v>
      </c>
      <c r="M560" s="350">
        <v>14832277.579906872</v>
      </c>
      <c r="N560" s="350">
        <v>14426216.233223818</v>
      </c>
      <c r="O560" s="348">
        <v>75748596.328386366</v>
      </c>
      <c r="P560" s="369"/>
      <c r="Q560" s="350">
        <f t="shared" si="237"/>
        <v>11652009.120513469</v>
      </c>
      <c r="R560" s="350">
        <f t="shared" si="238"/>
        <v>11360293.498127529</v>
      </c>
      <c r="S560" s="350">
        <f t="shared" si="239"/>
        <v>11059814.688455284</v>
      </c>
      <c r="T560" s="350">
        <f t="shared" si="240"/>
        <v>10728159.887376394</v>
      </c>
      <c r="U560" s="350">
        <f t="shared" si="241"/>
        <v>10346542.101315051</v>
      </c>
      <c r="V560" s="350">
        <f t="shared" si="242"/>
        <v>55146819.295787737</v>
      </c>
      <c r="W560" s="365"/>
      <c r="X560" s="377">
        <f t="shared" si="220"/>
        <v>0</v>
      </c>
      <c r="Y560" s="377">
        <f t="shared" si="221"/>
        <v>0</v>
      </c>
      <c r="Z560" s="377">
        <f t="shared" si="222"/>
        <v>0</v>
      </c>
      <c r="AA560" s="377">
        <f t="shared" si="223"/>
        <v>0</v>
      </c>
      <c r="AB560" s="377">
        <f t="shared" si="224"/>
        <v>0</v>
      </c>
      <c r="AC560" s="377">
        <f t="shared" si="225"/>
        <v>0</v>
      </c>
      <c r="AD560" s="376"/>
      <c r="AE560" s="332">
        <v>545</v>
      </c>
      <c r="AF560" s="350">
        <v>287073.39730846509</v>
      </c>
      <c r="AG560" s="350">
        <v>286038.87614768522</v>
      </c>
      <c r="AH560" s="350">
        <v>284920.0922312715</v>
      </c>
      <c r="AI560" s="350">
        <v>283577.87143019837</v>
      </c>
      <c r="AJ560" s="350">
        <v>281888.92062259984</v>
      </c>
      <c r="AK560" s="348">
        <v>1423499.15774022</v>
      </c>
      <c r="AL560" s="369"/>
      <c r="AM560" s="350">
        <v>8393419.3996884562</v>
      </c>
      <c r="AN560" s="350">
        <v>8319605.8264799081</v>
      </c>
      <c r="AO560" s="350">
        <v>8238673.2362495353</v>
      </c>
      <c r="AP560" s="350">
        <v>8134775.1612605238</v>
      </c>
      <c r="AQ560" s="350">
        <v>7994351.0799951395</v>
      </c>
      <c r="AR560" s="348">
        <v>41080824.703673564</v>
      </c>
      <c r="AS560" s="369"/>
      <c r="AT560" s="350">
        <f t="shared" si="243"/>
        <v>8106346.0023799911</v>
      </c>
      <c r="AU560" s="350">
        <f t="shared" si="226"/>
        <v>8033566.9503322225</v>
      </c>
      <c r="AV560" s="350">
        <f t="shared" si="227"/>
        <v>7953753.1440182636</v>
      </c>
      <c r="AW560" s="350">
        <f t="shared" si="228"/>
        <v>7851197.2898303252</v>
      </c>
      <c r="AX560" s="350">
        <f t="shared" si="229"/>
        <v>7712462.1593725393</v>
      </c>
      <c r="AY560" s="350">
        <f t="shared" si="230"/>
        <v>39657325.545933343</v>
      </c>
      <c r="AZ560" s="365"/>
      <c r="BA560" s="377">
        <f t="shared" si="231"/>
        <v>0</v>
      </c>
      <c r="BB560" s="377">
        <f t="shared" si="232"/>
        <v>0</v>
      </c>
      <c r="BC560" s="377">
        <f t="shared" si="233"/>
        <v>0</v>
      </c>
      <c r="BD560" s="377">
        <f t="shared" si="234"/>
        <v>0</v>
      </c>
      <c r="BE560" s="377">
        <f t="shared" si="235"/>
        <v>0</v>
      </c>
      <c r="BF560" s="377">
        <f t="shared" si="236"/>
        <v>0</v>
      </c>
      <c r="BG560" s="328"/>
    </row>
    <row r="561" spans="2:59">
      <c r="B561" s="332">
        <v>546</v>
      </c>
      <c r="C561" s="350">
        <v>5268406.835019608</v>
      </c>
      <c r="D561" s="350">
        <v>5249421.17349358</v>
      </c>
      <c r="E561" s="350">
        <v>5228889.1113540465</v>
      </c>
      <c r="F561" s="350">
        <v>5204256.507606091</v>
      </c>
      <c r="G561" s="350">
        <v>5173260.6714812862</v>
      </c>
      <c r="H561" s="348">
        <v>26124234.29895461</v>
      </c>
      <c r="I561" s="369"/>
      <c r="J561" s="350">
        <v>15683724.004922085</v>
      </c>
      <c r="K561" s="350">
        <v>15326251.024979729</v>
      </c>
      <c r="L561" s="350">
        <v>14959958.793087788</v>
      </c>
      <c r="M561" s="350">
        <v>14562327.60799861</v>
      </c>
      <c r="N561" s="350">
        <v>14114520.942996901</v>
      </c>
      <c r="O561" s="348">
        <v>74646782.373985112</v>
      </c>
      <c r="P561" s="369"/>
      <c r="Q561" s="350">
        <f t="shared" si="237"/>
        <v>10415317.169902477</v>
      </c>
      <c r="R561" s="350">
        <f t="shared" si="238"/>
        <v>10076829.85148615</v>
      </c>
      <c r="S561" s="350">
        <f t="shared" si="239"/>
        <v>9731069.6817337424</v>
      </c>
      <c r="T561" s="350">
        <f t="shared" si="240"/>
        <v>9358071.1003925186</v>
      </c>
      <c r="U561" s="350">
        <f t="shared" si="241"/>
        <v>8941260.2715156153</v>
      </c>
      <c r="V561" s="350">
        <f t="shared" si="242"/>
        <v>48522548.075030506</v>
      </c>
      <c r="W561" s="365"/>
      <c r="X561" s="377">
        <f t="shared" si="220"/>
        <v>0</v>
      </c>
      <c r="Y561" s="377">
        <f t="shared" si="221"/>
        <v>0</v>
      </c>
      <c r="Z561" s="377">
        <f t="shared" si="222"/>
        <v>0</v>
      </c>
      <c r="AA561" s="377">
        <f t="shared" si="223"/>
        <v>0</v>
      </c>
      <c r="AB561" s="377">
        <f t="shared" si="224"/>
        <v>0</v>
      </c>
      <c r="AC561" s="377">
        <f t="shared" si="225"/>
        <v>0</v>
      </c>
      <c r="AD561" s="376"/>
      <c r="AE561" s="332">
        <v>546</v>
      </c>
      <c r="AF561" s="350">
        <v>588268.1877843315</v>
      </c>
      <c r="AG561" s="350">
        <v>586148.25645602867</v>
      </c>
      <c r="AH561" s="350">
        <v>583855.6546573193</v>
      </c>
      <c r="AI561" s="350">
        <v>581105.18803221011</v>
      </c>
      <c r="AJ561" s="350">
        <v>577644.20543974999</v>
      </c>
      <c r="AK561" s="348">
        <v>2917021.4923696397</v>
      </c>
      <c r="AL561" s="369"/>
      <c r="AM561" s="350">
        <v>15285295.525206737</v>
      </c>
      <c r="AN561" s="350">
        <v>15147835.366304891</v>
      </c>
      <c r="AO561" s="350">
        <v>14997472.766376939</v>
      </c>
      <c r="AP561" s="350">
        <v>14805447.762496727</v>
      </c>
      <c r="AQ561" s="350">
        <v>14547155.198929613</v>
      </c>
      <c r="AR561" s="348">
        <v>74783206.619314894</v>
      </c>
      <c r="AS561" s="369"/>
      <c r="AT561" s="350">
        <f t="shared" si="243"/>
        <v>14697027.337422406</v>
      </c>
      <c r="AU561" s="350">
        <f t="shared" si="226"/>
        <v>14561687.109848863</v>
      </c>
      <c r="AV561" s="350">
        <f t="shared" si="227"/>
        <v>14413617.111719619</v>
      </c>
      <c r="AW561" s="350">
        <f t="shared" si="228"/>
        <v>14224342.574464517</v>
      </c>
      <c r="AX561" s="350">
        <f t="shared" si="229"/>
        <v>13969510.993489863</v>
      </c>
      <c r="AY561" s="350">
        <f t="shared" si="230"/>
        <v>71866185.126945257</v>
      </c>
      <c r="AZ561" s="365"/>
      <c r="BA561" s="377">
        <f t="shared" si="231"/>
        <v>0</v>
      </c>
      <c r="BB561" s="377">
        <f t="shared" si="232"/>
        <v>0</v>
      </c>
      <c r="BC561" s="377">
        <f t="shared" si="233"/>
        <v>0</v>
      </c>
      <c r="BD561" s="377">
        <f t="shared" si="234"/>
        <v>0</v>
      </c>
      <c r="BE561" s="377">
        <f t="shared" si="235"/>
        <v>0</v>
      </c>
      <c r="BF561" s="377">
        <f t="shared" si="236"/>
        <v>0</v>
      </c>
      <c r="BG561" s="328"/>
    </row>
    <row r="562" spans="2:59">
      <c r="B562" s="332">
        <v>547</v>
      </c>
      <c r="C562" s="350">
        <v>3596169.4427714236</v>
      </c>
      <c r="D562" s="350">
        <v>3583209.9926057933</v>
      </c>
      <c r="E562" s="350">
        <v>3569194.9826083747</v>
      </c>
      <c r="F562" s="350">
        <v>3552380.9779826347</v>
      </c>
      <c r="G562" s="350">
        <v>3531223.4853637568</v>
      </c>
      <c r="H562" s="348">
        <v>17832178.881331984</v>
      </c>
      <c r="I562" s="369"/>
      <c r="J562" s="350">
        <v>11495228.273212081</v>
      </c>
      <c r="K562" s="350">
        <v>11245528.962719683</v>
      </c>
      <c r="L562" s="350">
        <v>10989114.361927599</v>
      </c>
      <c r="M562" s="350">
        <v>10709081.411009071</v>
      </c>
      <c r="N562" s="350">
        <v>10391259.572897136</v>
      </c>
      <c r="O562" s="348">
        <v>54830212.58176557</v>
      </c>
      <c r="P562" s="369"/>
      <c r="Q562" s="350">
        <f t="shared" si="237"/>
        <v>7899058.8304406572</v>
      </c>
      <c r="R562" s="350">
        <f t="shared" si="238"/>
        <v>7662318.9701138893</v>
      </c>
      <c r="S562" s="350">
        <f t="shared" si="239"/>
        <v>7419919.3793192245</v>
      </c>
      <c r="T562" s="350">
        <f t="shared" si="240"/>
        <v>7156700.4330264367</v>
      </c>
      <c r="U562" s="350">
        <f t="shared" si="241"/>
        <v>6860036.087533379</v>
      </c>
      <c r="V562" s="350">
        <f t="shared" si="242"/>
        <v>36998033.700433582</v>
      </c>
      <c r="W562" s="365"/>
      <c r="X562" s="377">
        <f t="shared" si="220"/>
        <v>0</v>
      </c>
      <c r="Y562" s="377">
        <f t="shared" si="221"/>
        <v>0</v>
      </c>
      <c r="Z562" s="377">
        <f t="shared" si="222"/>
        <v>0</v>
      </c>
      <c r="AA562" s="377">
        <f t="shared" si="223"/>
        <v>0</v>
      </c>
      <c r="AB562" s="377">
        <f t="shared" si="224"/>
        <v>0</v>
      </c>
      <c r="AC562" s="377">
        <f t="shared" si="225"/>
        <v>0</v>
      </c>
      <c r="AD562" s="376"/>
      <c r="AE562" s="332">
        <v>547</v>
      </c>
      <c r="AF562" s="350">
        <v>258004.64670984368</v>
      </c>
      <c r="AG562" s="350">
        <v>257074.88007488762</v>
      </c>
      <c r="AH562" s="350">
        <v>256069.38304240289</v>
      </c>
      <c r="AI562" s="350">
        <v>254863.07410944608</v>
      </c>
      <c r="AJ562" s="350">
        <v>253345.14468613369</v>
      </c>
      <c r="AK562" s="348">
        <v>1279357.128622714</v>
      </c>
      <c r="AL562" s="369"/>
      <c r="AM562" s="350">
        <v>8926245.9140867777</v>
      </c>
      <c r="AN562" s="350">
        <v>8849940.7495180909</v>
      </c>
      <c r="AO562" s="350">
        <v>8766019.8366306908</v>
      </c>
      <c r="AP562" s="350">
        <v>8657559.8857556302</v>
      </c>
      <c r="AQ562" s="350">
        <v>8510074.5480994675</v>
      </c>
      <c r="AR562" s="348">
        <v>43709840.934090659</v>
      </c>
      <c r="AS562" s="369"/>
      <c r="AT562" s="350">
        <f t="shared" si="243"/>
        <v>8668241.2673769332</v>
      </c>
      <c r="AU562" s="350">
        <f t="shared" si="226"/>
        <v>8592865.8694432024</v>
      </c>
      <c r="AV562" s="350">
        <f t="shared" si="227"/>
        <v>8509950.4535882883</v>
      </c>
      <c r="AW562" s="350">
        <f t="shared" si="228"/>
        <v>8402696.811646184</v>
      </c>
      <c r="AX562" s="350">
        <f t="shared" si="229"/>
        <v>8256729.4034133339</v>
      </c>
      <c r="AY562" s="350">
        <f t="shared" si="230"/>
        <v>42430483.805467948</v>
      </c>
      <c r="AZ562" s="365"/>
      <c r="BA562" s="377">
        <f t="shared" si="231"/>
        <v>0</v>
      </c>
      <c r="BB562" s="377">
        <f t="shared" si="232"/>
        <v>0</v>
      </c>
      <c r="BC562" s="377">
        <f t="shared" si="233"/>
        <v>0</v>
      </c>
      <c r="BD562" s="377">
        <f t="shared" si="234"/>
        <v>0</v>
      </c>
      <c r="BE562" s="377">
        <f t="shared" si="235"/>
        <v>0</v>
      </c>
      <c r="BF562" s="377">
        <f t="shared" si="236"/>
        <v>0</v>
      </c>
      <c r="BG562" s="328"/>
    </row>
    <row r="563" spans="2:59">
      <c r="B563" s="332">
        <v>548</v>
      </c>
      <c r="C563" s="350">
        <v>6932775.8654700341</v>
      </c>
      <c r="D563" s="350">
        <v>6907792.3476553671</v>
      </c>
      <c r="E563" s="350">
        <v>6880773.8979936764</v>
      </c>
      <c r="F563" s="350">
        <v>6848359.4838993866</v>
      </c>
      <c r="G563" s="350">
        <v>6807571.5965274889</v>
      </c>
      <c r="H563" s="348">
        <v>34377273.191545948</v>
      </c>
      <c r="I563" s="369"/>
      <c r="J563" s="350">
        <v>24301523.12579472</v>
      </c>
      <c r="K563" s="350">
        <v>23804717.939905111</v>
      </c>
      <c r="L563" s="350">
        <v>23293081.773426067</v>
      </c>
      <c r="M563" s="350">
        <v>22729877.129916705</v>
      </c>
      <c r="N563" s="350">
        <v>22084226.471000642</v>
      </c>
      <c r="O563" s="348">
        <v>116213426.44004324</v>
      </c>
      <c r="P563" s="369"/>
      <c r="Q563" s="350">
        <f t="shared" si="237"/>
        <v>17368747.260324687</v>
      </c>
      <c r="R563" s="350">
        <f t="shared" si="238"/>
        <v>16896925.592249744</v>
      </c>
      <c r="S563" s="350">
        <f t="shared" si="239"/>
        <v>16412307.875432391</v>
      </c>
      <c r="T563" s="350">
        <f t="shared" si="240"/>
        <v>15881517.646017319</v>
      </c>
      <c r="U563" s="350">
        <f t="shared" si="241"/>
        <v>15276654.874473153</v>
      </c>
      <c r="V563" s="350">
        <f t="shared" si="242"/>
        <v>81836153.248497292</v>
      </c>
      <c r="W563" s="365"/>
      <c r="X563" s="377">
        <f t="shared" si="220"/>
        <v>0</v>
      </c>
      <c r="Y563" s="377">
        <f t="shared" si="221"/>
        <v>0</v>
      </c>
      <c r="Z563" s="377">
        <f t="shared" si="222"/>
        <v>0</v>
      </c>
      <c r="AA563" s="377">
        <f t="shared" si="223"/>
        <v>0</v>
      </c>
      <c r="AB563" s="377">
        <f t="shared" si="224"/>
        <v>0</v>
      </c>
      <c r="AC563" s="377">
        <f t="shared" si="225"/>
        <v>0</v>
      </c>
      <c r="AD563" s="376"/>
      <c r="AE563" s="332">
        <v>548</v>
      </c>
      <c r="AF563" s="350">
        <v>555767.21731579502</v>
      </c>
      <c r="AG563" s="350">
        <v>553764.40914139897</v>
      </c>
      <c r="AH563" s="350">
        <v>551598.47029149998</v>
      </c>
      <c r="AI563" s="350">
        <v>548999.96298768942</v>
      </c>
      <c r="AJ563" s="350">
        <v>545730.19470082247</v>
      </c>
      <c r="AK563" s="348">
        <v>2755860.2544372054</v>
      </c>
      <c r="AL563" s="369"/>
      <c r="AM563" s="350">
        <v>17120518.61128296</v>
      </c>
      <c r="AN563" s="350">
        <v>16971339.25789139</v>
      </c>
      <c r="AO563" s="350">
        <v>16807610.628885191</v>
      </c>
      <c r="AP563" s="350">
        <v>16596965.171836749</v>
      </c>
      <c r="AQ563" s="350">
        <v>16311701.808177721</v>
      </c>
      <c r="AR563" s="348">
        <v>83808135.478074014</v>
      </c>
      <c r="AS563" s="369"/>
      <c r="AT563" s="350">
        <f t="shared" si="243"/>
        <v>16564751.393967165</v>
      </c>
      <c r="AU563" s="350">
        <f t="shared" si="226"/>
        <v>16417574.848749992</v>
      </c>
      <c r="AV563" s="350">
        <f t="shared" si="227"/>
        <v>16256012.158593692</v>
      </c>
      <c r="AW563" s="350">
        <f t="shared" si="228"/>
        <v>16047965.208849059</v>
      </c>
      <c r="AX563" s="350">
        <f t="shared" si="229"/>
        <v>15765971.613476899</v>
      </c>
      <c r="AY563" s="350">
        <f t="shared" si="230"/>
        <v>81052275.223636806</v>
      </c>
      <c r="AZ563" s="365"/>
      <c r="BA563" s="377">
        <f t="shared" si="231"/>
        <v>0</v>
      </c>
      <c r="BB563" s="377">
        <f t="shared" si="232"/>
        <v>0</v>
      </c>
      <c r="BC563" s="377">
        <f t="shared" si="233"/>
        <v>0</v>
      </c>
      <c r="BD563" s="377">
        <f t="shared" si="234"/>
        <v>0</v>
      </c>
      <c r="BE563" s="377">
        <f t="shared" si="235"/>
        <v>0</v>
      </c>
      <c r="BF563" s="377">
        <f t="shared" si="236"/>
        <v>0</v>
      </c>
      <c r="BG563" s="328"/>
    </row>
    <row r="564" spans="2:59">
      <c r="B564" s="332">
        <v>549</v>
      </c>
      <c r="C564" s="350">
        <v>7420319.219288243</v>
      </c>
      <c r="D564" s="350">
        <v>7393578.7503905036</v>
      </c>
      <c r="E564" s="350">
        <v>7364660.2442696616</v>
      </c>
      <c r="F564" s="350">
        <v>7329966.3057155814</v>
      </c>
      <c r="G564" s="350">
        <v>7286310.0343384407</v>
      </c>
      <c r="H564" s="348">
        <v>36794834.554002434</v>
      </c>
      <c r="I564" s="369"/>
      <c r="J564" s="350">
        <v>24634625.967707403</v>
      </c>
      <c r="K564" s="350">
        <v>24112799.771950081</v>
      </c>
      <c r="L564" s="350">
        <v>23576311.181041546</v>
      </c>
      <c r="M564" s="350">
        <v>22988507.29479925</v>
      </c>
      <c r="N564" s="350">
        <v>22318626.696176745</v>
      </c>
      <c r="O564" s="348">
        <v>117630870.91167504</v>
      </c>
      <c r="P564" s="369"/>
      <c r="Q564" s="350">
        <f t="shared" si="237"/>
        <v>17214306.748419158</v>
      </c>
      <c r="R564" s="350">
        <f t="shared" si="238"/>
        <v>16719221.021559577</v>
      </c>
      <c r="S564" s="350">
        <f t="shared" si="239"/>
        <v>16211650.936771885</v>
      </c>
      <c r="T564" s="350">
        <f t="shared" si="240"/>
        <v>15658540.989083668</v>
      </c>
      <c r="U564" s="350">
        <f t="shared" si="241"/>
        <v>15032316.661838304</v>
      </c>
      <c r="V564" s="350">
        <f t="shared" si="242"/>
        <v>80836036.357672602</v>
      </c>
      <c r="W564" s="365"/>
      <c r="X564" s="377">
        <f t="shared" si="220"/>
        <v>0</v>
      </c>
      <c r="Y564" s="377">
        <f t="shared" si="221"/>
        <v>0</v>
      </c>
      <c r="Z564" s="377">
        <f t="shared" si="222"/>
        <v>0</v>
      </c>
      <c r="AA564" s="377">
        <f t="shared" si="223"/>
        <v>0</v>
      </c>
      <c r="AB564" s="377">
        <f t="shared" si="224"/>
        <v>0</v>
      </c>
      <c r="AC564" s="377">
        <f t="shared" si="225"/>
        <v>0</v>
      </c>
      <c r="AD564" s="376"/>
      <c r="AE564" s="332">
        <v>549</v>
      </c>
      <c r="AF564" s="350">
        <v>749760.13187250879</v>
      </c>
      <c r="AG564" s="350">
        <v>747058.23497365473</v>
      </c>
      <c r="AH564" s="350">
        <v>744136.26594213932</v>
      </c>
      <c r="AI564" s="350">
        <v>740630.73859530117</v>
      </c>
      <c r="AJ564" s="350">
        <v>736219.64375995961</v>
      </c>
      <c r="AK564" s="348">
        <v>3717805.015143564</v>
      </c>
      <c r="AL564" s="369"/>
      <c r="AM564" s="350">
        <v>16253110.054063862</v>
      </c>
      <c r="AN564" s="350">
        <v>16101181.872431668</v>
      </c>
      <c r="AO564" s="350">
        <v>15935652.021062069</v>
      </c>
      <c r="AP564" s="350">
        <v>15726125.724066719</v>
      </c>
      <c r="AQ564" s="350">
        <v>15446610.635235703</v>
      </c>
      <c r="AR564" s="348">
        <v>79462680.306860015</v>
      </c>
      <c r="AS564" s="369"/>
      <c r="AT564" s="350">
        <f t="shared" si="243"/>
        <v>15503349.922191354</v>
      </c>
      <c r="AU564" s="350">
        <f t="shared" si="226"/>
        <v>15354123.637458013</v>
      </c>
      <c r="AV564" s="350">
        <f t="shared" si="227"/>
        <v>15191515.755119929</v>
      </c>
      <c r="AW564" s="350">
        <f t="shared" si="228"/>
        <v>14985494.985471418</v>
      </c>
      <c r="AX564" s="350">
        <f t="shared" si="229"/>
        <v>14710390.991475742</v>
      </c>
      <c r="AY564" s="350">
        <f t="shared" si="230"/>
        <v>75744875.291716456</v>
      </c>
      <c r="AZ564" s="365"/>
      <c r="BA564" s="377">
        <f t="shared" si="231"/>
        <v>0</v>
      </c>
      <c r="BB564" s="377">
        <f t="shared" si="232"/>
        <v>0</v>
      </c>
      <c r="BC564" s="377">
        <f t="shared" si="233"/>
        <v>0</v>
      </c>
      <c r="BD564" s="377">
        <f t="shared" si="234"/>
        <v>0</v>
      </c>
      <c r="BE564" s="377">
        <f t="shared" si="235"/>
        <v>0</v>
      </c>
      <c r="BF564" s="377">
        <f t="shared" si="236"/>
        <v>0</v>
      </c>
      <c r="BG564" s="328"/>
    </row>
    <row r="565" spans="2:59">
      <c r="B565" s="332">
        <v>550</v>
      </c>
      <c r="C565" s="350">
        <v>5656355.4725339934</v>
      </c>
      <c r="D565" s="350">
        <v>5635971.7675857348</v>
      </c>
      <c r="E565" s="350">
        <v>5613927.7900262615</v>
      </c>
      <c r="F565" s="350">
        <v>5587481.3200827548</v>
      </c>
      <c r="G565" s="350">
        <v>5554203.0496718753</v>
      </c>
      <c r="H565" s="348">
        <v>28047939.399900623</v>
      </c>
      <c r="I565" s="369"/>
      <c r="J565" s="350">
        <v>16639965.368404999</v>
      </c>
      <c r="K565" s="350">
        <v>16257601.02092219</v>
      </c>
      <c r="L565" s="350">
        <v>15865942.932218675</v>
      </c>
      <c r="M565" s="350">
        <v>15441198.362323411</v>
      </c>
      <c r="N565" s="350">
        <v>14963474.013841663</v>
      </c>
      <c r="O565" s="348">
        <v>79168181.697710946</v>
      </c>
      <c r="P565" s="369"/>
      <c r="Q565" s="350">
        <f t="shared" si="237"/>
        <v>10983609.895871006</v>
      </c>
      <c r="R565" s="350">
        <f t="shared" si="238"/>
        <v>10621629.253336456</v>
      </c>
      <c r="S565" s="350">
        <f t="shared" si="239"/>
        <v>10252015.142192412</v>
      </c>
      <c r="T565" s="350">
        <f t="shared" si="240"/>
        <v>9853717.0422406569</v>
      </c>
      <c r="U565" s="350">
        <f t="shared" si="241"/>
        <v>9409270.9641697872</v>
      </c>
      <c r="V565" s="350">
        <f t="shared" si="242"/>
        <v>51120242.297810324</v>
      </c>
      <c r="W565" s="365"/>
      <c r="X565" s="377">
        <f t="shared" si="220"/>
        <v>0</v>
      </c>
      <c r="Y565" s="377">
        <f t="shared" si="221"/>
        <v>0</v>
      </c>
      <c r="Z565" s="377">
        <f t="shared" si="222"/>
        <v>0</v>
      </c>
      <c r="AA565" s="377">
        <f t="shared" si="223"/>
        <v>0</v>
      </c>
      <c r="AB565" s="377">
        <f t="shared" si="224"/>
        <v>0</v>
      </c>
      <c r="AC565" s="377">
        <f t="shared" si="225"/>
        <v>0</v>
      </c>
      <c r="AD565" s="376"/>
      <c r="AE565" s="332">
        <v>550</v>
      </c>
      <c r="AF565" s="350">
        <v>272615.65621551813</v>
      </c>
      <c r="AG565" s="350">
        <v>271633.23615235975</v>
      </c>
      <c r="AH565" s="350">
        <v>270570.79701868846</v>
      </c>
      <c r="AI565" s="350">
        <v>269296.17384600389</v>
      </c>
      <c r="AJ565" s="350">
        <v>267692.28286534827</v>
      </c>
      <c r="AK565" s="348">
        <v>1351808.1460979185</v>
      </c>
      <c r="AL565" s="369"/>
      <c r="AM565" s="350">
        <v>8941892.4878787156</v>
      </c>
      <c r="AN565" s="350">
        <v>8864796.6557183191</v>
      </c>
      <c r="AO565" s="350">
        <v>8780085.140022032</v>
      </c>
      <c r="AP565" s="350">
        <v>8670826.2027763948</v>
      </c>
      <c r="AQ565" s="350">
        <v>8522527.558262039</v>
      </c>
      <c r="AR565" s="348">
        <v>43780128.044657499</v>
      </c>
      <c r="AS565" s="369"/>
      <c r="AT565" s="350">
        <f t="shared" si="243"/>
        <v>8669276.8316631969</v>
      </c>
      <c r="AU565" s="350">
        <f t="shared" si="226"/>
        <v>8593163.4195659589</v>
      </c>
      <c r="AV565" s="350">
        <f t="shared" si="227"/>
        <v>8509514.3430033438</v>
      </c>
      <c r="AW565" s="350">
        <f t="shared" si="228"/>
        <v>8401530.0289303903</v>
      </c>
      <c r="AX565" s="350">
        <f t="shared" si="229"/>
        <v>8254835.2753966907</v>
      </c>
      <c r="AY565" s="350">
        <f t="shared" si="230"/>
        <v>42428319.898559578</v>
      </c>
      <c r="AZ565" s="365"/>
      <c r="BA565" s="377">
        <f t="shared" si="231"/>
        <v>0</v>
      </c>
      <c r="BB565" s="377">
        <f t="shared" si="232"/>
        <v>0</v>
      </c>
      <c r="BC565" s="377">
        <f t="shared" si="233"/>
        <v>0</v>
      </c>
      <c r="BD565" s="377">
        <f t="shared" si="234"/>
        <v>0</v>
      </c>
      <c r="BE565" s="377">
        <f t="shared" si="235"/>
        <v>0</v>
      </c>
      <c r="BF565" s="377">
        <f t="shared" si="236"/>
        <v>0</v>
      </c>
      <c r="BG565" s="328"/>
    </row>
    <row r="566" spans="2:59">
      <c r="B566" s="332">
        <v>551</v>
      </c>
      <c r="C566" s="350">
        <v>6524125.6940723509</v>
      </c>
      <c r="D566" s="350">
        <v>6500614.82141962</v>
      </c>
      <c r="E566" s="350">
        <v>6475188.9653019011</v>
      </c>
      <c r="F566" s="350">
        <v>6444685.2080833595</v>
      </c>
      <c r="G566" s="350">
        <v>6406301.5491891922</v>
      </c>
      <c r="H566" s="348">
        <v>32350916.238066424</v>
      </c>
      <c r="I566" s="369"/>
      <c r="J566" s="350">
        <v>20786969.580857445</v>
      </c>
      <c r="K566" s="350">
        <v>20334454.923265118</v>
      </c>
      <c r="L566" s="350">
        <v>19869816.934774391</v>
      </c>
      <c r="M566" s="350">
        <v>19362521.250399068</v>
      </c>
      <c r="N566" s="350">
        <v>18786972.13489629</v>
      </c>
      <c r="O566" s="348">
        <v>99140734.824192315</v>
      </c>
      <c r="P566" s="369"/>
      <c r="Q566" s="350">
        <f t="shared" si="237"/>
        <v>14262843.886785094</v>
      </c>
      <c r="R566" s="350">
        <f t="shared" si="238"/>
        <v>13833840.101845499</v>
      </c>
      <c r="S566" s="350">
        <f t="shared" si="239"/>
        <v>13394627.96947249</v>
      </c>
      <c r="T566" s="350">
        <f t="shared" si="240"/>
        <v>12917836.042315708</v>
      </c>
      <c r="U566" s="350">
        <f t="shared" si="241"/>
        <v>12380670.585707098</v>
      </c>
      <c r="V566" s="350">
        <f t="shared" si="242"/>
        <v>66789818.586125895</v>
      </c>
      <c r="W566" s="365"/>
      <c r="X566" s="377">
        <f t="shared" si="220"/>
        <v>0</v>
      </c>
      <c r="Y566" s="377">
        <f t="shared" si="221"/>
        <v>0</v>
      </c>
      <c r="Z566" s="377">
        <f t="shared" si="222"/>
        <v>0</v>
      </c>
      <c r="AA566" s="377">
        <f t="shared" si="223"/>
        <v>0</v>
      </c>
      <c r="AB566" s="377">
        <f t="shared" si="224"/>
        <v>0</v>
      </c>
      <c r="AC566" s="377">
        <f t="shared" si="225"/>
        <v>0</v>
      </c>
      <c r="AD566" s="376"/>
      <c r="AE566" s="332">
        <v>551</v>
      </c>
      <c r="AF566" s="350">
        <v>384493.32711200835</v>
      </c>
      <c r="AG566" s="350">
        <v>383107.73552879167</v>
      </c>
      <c r="AH566" s="350">
        <v>381609.28616227268</v>
      </c>
      <c r="AI566" s="350">
        <v>379811.57538042334</v>
      </c>
      <c r="AJ566" s="350">
        <v>377549.46986514173</v>
      </c>
      <c r="AK566" s="348">
        <v>1906571.3940486377</v>
      </c>
      <c r="AL566" s="369"/>
      <c r="AM566" s="350">
        <v>10655582.406576049</v>
      </c>
      <c r="AN566" s="350">
        <v>10560944.676244564</v>
      </c>
      <c r="AO566" s="350">
        <v>10457288.232751843</v>
      </c>
      <c r="AP566" s="350">
        <v>10324525.769802682</v>
      </c>
      <c r="AQ566" s="350">
        <v>10145469.534491006</v>
      </c>
      <c r="AR566" s="348">
        <v>52143810.619866148</v>
      </c>
      <c r="AS566" s="369"/>
      <c r="AT566" s="350">
        <f t="shared" si="243"/>
        <v>10271089.079464041</v>
      </c>
      <c r="AU566" s="350">
        <f t="shared" si="226"/>
        <v>10177836.940715773</v>
      </c>
      <c r="AV566" s="350">
        <f t="shared" si="227"/>
        <v>10075678.94658957</v>
      </c>
      <c r="AW566" s="350">
        <f t="shared" si="228"/>
        <v>9944714.1944222581</v>
      </c>
      <c r="AX566" s="350">
        <f t="shared" si="229"/>
        <v>9767920.0646258648</v>
      </c>
      <c r="AY566" s="350">
        <f t="shared" si="230"/>
        <v>50237239.225817509</v>
      </c>
      <c r="AZ566" s="365"/>
      <c r="BA566" s="377">
        <f t="shared" si="231"/>
        <v>0</v>
      </c>
      <c r="BB566" s="377">
        <f t="shared" si="232"/>
        <v>0</v>
      </c>
      <c r="BC566" s="377">
        <f t="shared" si="233"/>
        <v>0</v>
      </c>
      <c r="BD566" s="377">
        <f t="shared" si="234"/>
        <v>0</v>
      </c>
      <c r="BE566" s="377">
        <f t="shared" si="235"/>
        <v>0</v>
      </c>
      <c r="BF566" s="377">
        <f t="shared" si="236"/>
        <v>0</v>
      </c>
      <c r="BG566" s="328"/>
    </row>
    <row r="567" spans="2:59">
      <c r="B567" s="332">
        <v>552</v>
      </c>
      <c r="C567" s="350">
        <v>5931605.5999287199</v>
      </c>
      <c r="D567" s="350">
        <v>5910229.9811216118</v>
      </c>
      <c r="E567" s="350">
        <v>5887113.297353874</v>
      </c>
      <c r="F567" s="350">
        <v>5859379.8866838813</v>
      </c>
      <c r="G567" s="350">
        <v>5824482.2257989487</v>
      </c>
      <c r="H567" s="348">
        <v>29412810.990887038</v>
      </c>
      <c r="I567" s="369"/>
      <c r="J567" s="350">
        <v>19080151.95790261</v>
      </c>
      <c r="K567" s="350">
        <v>18667429.706184763</v>
      </c>
      <c r="L567" s="350">
        <v>18243525.733839624</v>
      </c>
      <c r="M567" s="350">
        <v>17780327.704255462</v>
      </c>
      <c r="N567" s="350">
        <v>17254263.464223303</v>
      </c>
      <c r="O567" s="348">
        <v>91025698.566405743</v>
      </c>
      <c r="P567" s="369"/>
      <c r="Q567" s="350">
        <f t="shared" si="237"/>
        <v>13148546.35797389</v>
      </c>
      <c r="R567" s="350">
        <f t="shared" si="238"/>
        <v>12757199.725063153</v>
      </c>
      <c r="S567" s="350">
        <f t="shared" si="239"/>
        <v>12356412.436485749</v>
      </c>
      <c r="T567" s="350">
        <f t="shared" si="240"/>
        <v>11920947.81757158</v>
      </c>
      <c r="U567" s="350">
        <f t="shared" si="241"/>
        <v>11429781.238424353</v>
      </c>
      <c r="V567" s="350">
        <f t="shared" si="242"/>
        <v>61612887.575518705</v>
      </c>
      <c r="W567" s="365"/>
      <c r="X567" s="377">
        <f t="shared" si="220"/>
        <v>0</v>
      </c>
      <c r="Y567" s="377">
        <f t="shared" si="221"/>
        <v>0</v>
      </c>
      <c r="Z567" s="377">
        <f t="shared" si="222"/>
        <v>0</v>
      </c>
      <c r="AA567" s="377">
        <f t="shared" si="223"/>
        <v>0</v>
      </c>
      <c r="AB567" s="377">
        <f t="shared" si="224"/>
        <v>0</v>
      </c>
      <c r="AC567" s="377">
        <f t="shared" si="225"/>
        <v>0</v>
      </c>
      <c r="AD567" s="376"/>
      <c r="AE567" s="332">
        <v>552</v>
      </c>
      <c r="AF567" s="350">
        <v>437156.64890465199</v>
      </c>
      <c r="AG567" s="350">
        <v>435581.27547016548</v>
      </c>
      <c r="AH567" s="350">
        <v>433877.58633584174</v>
      </c>
      <c r="AI567" s="350">
        <v>431833.64651770273</v>
      </c>
      <c r="AJ567" s="350">
        <v>429261.70470025443</v>
      </c>
      <c r="AK567" s="348">
        <v>2167710.8619286162</v>
      </c>
      <c r="AL567" s="369"/>
      <c r="AM567" s="350">
        <v>14166349.657713942</v>
      </c>
      <c r="AN567" s="350">
        <v>14043965.167450428</v>
      </c>
      <c r="AO567" s="350">
        <v>13909520.381169926</v>
      </c>
      <c r="AP567" s="350">
        <v>13736198.779190173</v>
      </c>
      <c r="AQ567" s="350">
        <v>13501047.932823634</v>
      </c>
      <c r="AR567" s="348">
        <v>69357081.918348104</v>
      </c>
      <c r="AS567" s="369"/>
      <c r="AT567" s="350">
        <f t="shared" si="243"/>
        <v>13729193.008809291</v>
      </c>
      <c r="AU567" s="350">
        <f t="shared" si="226"/>
        <v>13608383.891980262</v>
      </c>
      <c r="AV567" s="350">
        <f t="shared" si="227"/>
        <v>13475642.794834085</v>
      </c>
      <c r="AW567" s="350">
        <f t="shared" si="228"/>
        <v>13304365.13267247</v>
      </c>
      <c r="AX567" s="350">
        <f t="shared" si="229"/>
        <v>13071786.22812338</v>
      </c>
      <c r="AY567" s="350">
        <f t="shared" si="230"/>
        <v>67189371.056419492</v>
      </c>
      <c r="AZ567" s="365"/>
      <c r="BA567" s="377">
        <f t="shared" si="231"/>
        <v>0</v>
      </c>
      <c r="BB567" s="377">
        <f t="shared" si="232"/>
        <v>0</v>
      </c>
      <c r="BC567" s="377">
        <f t="shared" si="233"/>
        <v>0</v>
      </c>
      <c r="BD567" s="377">
        <f t="shared" si="234"/>
        <v>0</v>
      </c>
      <c r="BE567" s="377">
        <f t="shared" si="235"/>
        <v>0</v>
      </c>
      <c r="BF567" s="377">
        <f t="shared" si="236"/>
        <v>0</v>
      </c>
      <c r="BG567" s="328"/>
    </row>
    <row r="568" spans="2:59">
      <c r="B568" s="332">
        <v>553</v>
      </c>
      <c r="C568" s="350">
        <v>5064716.2295165518</v>
      </c>
      <c r="D568" s="350">
        <v>5046464.604106795</v>
      </c>
      <c r="E568" s="350">
        <v>5026726.3660397734</v>
      </c>
      <c r="F568" s="350">
        <v>5003046.1241973555</v>
      </c>
      <c r="G568" s="350">
        <v>4973248.669447802</v>
      </c>
      <c r="H568" s="348">
        <v>25114201.993308276</v>
      </c>
      <c r="I568" s="369"/>
      <c r="J568" s="350">
        <v>21353496.049317736</v>
      </c>
      <c r="K568" s="350">
        <v>20964609.455527611</v>
      </c>
      <c r="L568" s="350">
        <v>20561717.998197306</v>
      </c>
      <c r="M568" s="350">
        <v>20111001.861571193</v>
      </c>
      <c r="N568" s="350">
        <v>19583917.996906962</v>
      </c>
      <c r="O568" s="348">
        <v>102574743.36152081</v>
      </c>
      <c r="P568" s="369"/>
      <c r="Q568" s="350">
        <f t="shared" si="237"/>
        <v>16288779.819801185</v>
      </c>
      <c r="R568" s="350">
        <f t="shared" si="238"/>
        <v>15918144.851420816</v>
      </c>
      <c r="S568" s="350">
        <f t="shared" si="239"/>
        <v>15534991.632157532</v>
      </c>
      <c r="T568" s="350">
        <f t="shared" si="240"/>
        <v>15107955.737373836</v>
      </c>
      <c r="U568" s="350">
        <f t="shared" si="241"/>
        <v>14610669.32745916</v>
      </c>
      <c r="V568" s="350">
        <f t="shared" si="242"/>
        <v>77460541.368212536</v>
      </c>
      <c r="W568" s="365"/>
      <c r="X568" s="377">
        <f t="shared" si="220"/>
        <v>0</v>
      </c>
      <c r="Y568" s="377">
        <f t="shared" si="221"/>
        <v>0</v>
      </c>
      <c r="Z568" s="377">
        <f t="shared" si="222"/>
        <v>0</v>
      </c>
      <c r="AA568" s="377">
        <f t="shared" si="223"/>
        <v>0</v>
      </c>
      <c r="AB568" s="377">
        <f t="shared" si="224"/>
        <v>0</v>
      </c>
      <c r="AC568" s="377">
        <f t="shared" si="225"/>
        <v>0</v>
      </c>
      <c r="AD568" s="376"/>
      <c r="AE568" s="332">
        <v>553</v>
      </c>
      <c r="AF568" s="350">
        <v>544849.49603279971</v>
      </c>
      <c r="AG568" s="350">
        <v>542886.03185126651</v>
      </c>
      <c r="AH568" s="350">
        <v>540762.64160074946</v>
      </c>
      <c r="AI568" s="350">
        <v>538215.18045009614</v>
      </c>
      <c r="AJ568" s="350">
        <v>535009.64484501362</v>
      </c>
      <c r="AK568" s="348">
        <v>2701722.9947799253</v>
      </c>
      <c r="AL568" s="369"/>
      <c r="AM568" s="350">
        <v>13367696.999590714</v>
      </c>
      <c r="AN568" s="350">
        <v>13246072.137723992</v>
      </c>
      <c r="AO568" s="350">
        <v>13113192.27935083</v>
      </c>
      <c r="AP568" s="350">
        <v>12943951.033647908</v>
      </c>
      <c r="AQ568" s="350">
        <v>12716871.803511385</v>
      </c>
      <c r="AR568" s="348">
        <v>65387784.25382483</v>
      </c>
      <c r="AS568" s="369"/>
      <c r="AT568" s="350">
        <f t="shared" si="243"/>
        <v>12822847.503557913</v>
      </c>
      <c r="AU568" s="350">
        <f t="shared" si="226"/>
        <v>12703186.105872724</v>
      </c>
      <c r="AV568" s="350">
        <f t="shared" si="227"/>
        <v>12572429.637750082</v>
      </c>
      <c r="AW568" s="350">
        <f t="shared" si="228"/>
        <v>12405735.853197811</v>
      </c>
      <c r="AX568" s="350">
        <f t="shared" si="229"/>
        <v>12181862.15866637</v>
      </c>
      <c r="AY568" s="350">
        <f t="shared" si="230"/>
        <v>62686061.259044908</v>
      </c>
      <c r="AZ568" s="365"/>
      <c r="BA568" s="377">
        <f t="shared" si="231"/>
        <v>0</v>
      </c>
      <c r="BB568" s="377">
        <f t="shared" si="232"/>
        <v>0</v>
      </c>
      <c r="BC568" s="377">
        <f t="shared" si="233"/>
        <v>0</v>
      </c>
      <c r="BD568" s="377">
        <f t="shared" si="234"/>
        <v>0</v>
      </c>
      <c r="BE568" s="377">
        <f t="shared" si="235"/>
        <v>0</v>
      </c>
      <c r="BF568" s="377">
        <f t="shared" si="236"/>
        <v>0</v>
      </c>
      <c r="BG568" s="328"/>
    </row>
    <row r="569" spans="2:59">
      <c r="B569" s="332">
        <v>554</v>
      </c>
      <c r="C569" s="350">
        <v>4509681.8418981619</v>
      </c>
      <c r="D569" s="350">
        <v>4493430.3837778</v>
      </c>
      <c r="E569" s="350">
        <v>4475855.2285730224</v>
      </c>
      <c r="F569" s="350">
        <v>4454770.0676658517</v>
      </c>
      <c r="G569" s="350">
        <v>4428238.0697158556</v>
      </c>
      <c r="H569" s="348">
        <v>22361975.59163069</v>
      </c>
      <c r="I569" s="369"/>
      <c r="J569" s="350">
        <v>16360288.262048075</v>
      </c>
      <c r="K569" s="350">
        <v>16033141.083833387</v>
      </c>
      <c r="L569" s="350">
        <v>15695860.063975392</v>
      </c>
      <c r="M569" s="350">
        <v>15323476.596240763</v>
      </c>
      <c r="N569" s="350">
        <v>14894986.713181136</v>
      </c>
      <c r="O569" s="348">
        <v>78307752.719278753</v>
      </c>
      <c r="P569" s="369"/>
      <c r="Q569" s="350">
        <f t="shared" si="237"/>
        <v>11850606.420149913</v>
      </c>
      <c r="R569" s="350">
        <f t="shared" si="238"/>
        <v>11539710.700055588</v>
      </c>
      <c r="S569" s="350">
        <f t="shared" si="239"/>
        <v>11220004.835402369</v>
      </c>
      <c r="T569" s="350">
        <f t="shared" si="240"/>
        <v>10868706.52857491</v>
      </c>
      <c r="U569" s="350">
        <f t="shared" si="241"/>
        <v>10466748.643465281</v>
      </c>
      <c r="V569" s="350">
        <f t="shared" si="242"/>
        <v>55945777.127648063</v>
      </c>
      <c r="W569" s="365"/>
      <c r="X569" s="377">
        <f t="shared" si="220"/>
        <v>0</v>
      </c>
      <c r="Y569" s="377">
        <f t="shared" si="221"/>
        <v>0</v>
      </c>
      <c r="Z569" s="377">
        <f t="shared" si="222"/>
        <v>0</v>
      </c>
      <c r="AA569" s="377">
        <f t="shared" si="223"/>
        <v>0</v>
      </c>
      <c r="AB569" s="377">
        <f t="shared" si="224"/>
        <v>0</v>
      </c>
      <c r="AC569" s="377">
        <f t="shared" si="225"/>
        <v>0</v>
      </c>
      <c r="AD569" s="376"/>
      <c r="AE569" s="332">
        <v>554</v>
      </c>
      <c r="AF569" s="350">
        <v>373536.47632437455</v>
      </c>
      <c r="AG569" s="350">
        <v>372190.36974430189</v>
      </c>
      <c r="AH569" s="350">
        <v>370734.62147287099</v>
      </c>
      <c r="AI569" s="350">
        <v>368988.13979542255</v>
      </c>
      <c r="AJ569" s="350">
        <v>366790.49717416044</v>
      </c>
      <c r="AK569" s="348">
        <v>1852240.1045111306</v>
      </c>
      <c r="AL569" s="369"/>
      <c r="AM569" s="350">
        <v>10529679.10387232</v>
      </c>
      <c r="AN569" s="350">
        <v>10436457.161943745</v>
      </c>
      <c r="AO569" s="350">
        <v>10334316.992860913</v>
      </c>
      <c r="AP569" s="350">
        <v>10203399.025506942</v>
      </c>
      <c r="AQ569" s="350">
        <v>10026709.779231006</v>
      </c>
      <c r="AR569" s="348">
        <v>51530562.063414924</v>
      </c>
      <c r="AS569" s="369"/>
      <c r="AT569" s="350">
        <f t="shared" si="243"/>
        <v>10156142.627547946</v>
      </c>
      <c r="AU569" s="350">
        <f t="shared" si="226"/>
        <v>10064266.792199442</v>
      </c>
      <c r="AV569" s="350">
        <f t="shared" si="227"/>
        <v>9963582.3713880423</v>
      </c>
      <c r="AW569" s="350">
        <f t="shared" si="228"/>
        <v>9834410.885711519</v>
      </c>
      <c r="AX569" s="350">
        <f t="shared" si="229"/>
        <v>9659919.2820568457</v>
      </c>
      <c r="AY569" s="350">
        <f t="shared" si="230"/>
        <v>49678321.95890379</v>
      </c>
      <c r="AZ569" s="365"/>
      <c r="BA569" s="377">
        <f t="shared" si="231"/>
        <v>0</v>
      </c>
      <c r="BB569" s="377">
        <f t="shared" si="232"/>
        <v>0</v>
      </c>
      <c r="BC569" s="377">
        <f t="shared" si="233"/>
        <v>0</v>
      </c>
      <c r="BD569" s="377">
        <f t="shared" si="234"/>
        <v>0</v>
      </c>
      <c r="BE569" s="377">
        <f t="shared" si="235"/>
        <v>0</v>
      </c>
      <c r="BF569" s="377">
        <f t="shared" si="236"/>
        <v>0</v>
      </c>
      <c r="BG569" s="328"/>
    </row>
    <row r="570" spans="2:59">
      <c r="B570" s="332">
        <v>555</v>
      </c>
      <c r="C570" s="350">
        <v>2997617.5974608297</v>
      </c>
      <c r="D570" s="350">
        <v>2986815.1376523813</v>
      </c>
      <c r="E570" s="350">
        <v>2975132.8069765279</v>
      </c>
      <c r="F570" s="350">
        <v>2961117.3505437905</v>
      </c>
      <c r="G570" s="350">
        <v>2943481.3427855978</v>
      </c>
      <c r="H570" s="348">
        <v>14864164.235419124</v>
      </c>
      <c r="I570" s="369"/>
      <c r="J570" s="350">
        <v>8676201.0299357213</v>
      </c>
      <c r="K570" s="350">
        <v>8474590.0753708687</v>
      </c>
      <c r="L570" s="350">
        <v>8268179.1048075985</v>
      </c>
      <c r="M570" s="350">
        <v>8044634.8601423837</v>
      </c>
      <c r="N570" s="350">
        <v>7793651.2703129174</v>
      </c>
      <c r="O570" s="348">
        <v>41257256.340569489</v>
      </c>
      <c r="P570" s="369"/>
      <c r="Q570" s="350">
        <f t="shared" si="237"/>
        <v>5678583.4324748917</v>
      </c>
      <c r="R570" s="350">
        <f t="shared" si="238"/>
        <v>5487774.9377184873</v>
      </c>
      <c r="S570" s="350">
        <f t="shared" si="239"/>
        <v>5293046.2978310706</v>
      </c>
      <c r="T570" s="350">
        <f t="shared" si="240"/>
        <v>5083517.5095985932</v>
      </c>
      <c r="U570" s="350">
        <f t="shared" si="241"/>
        <v>4850169.9275273196</v>
      </c>
      <c r="V570" s="350">
        <f t="shared" si="242"/>
        <v>26393092.105150364</v>
      </c>
      <c r="W570" s="365"/>
      <c r="X570" s="377">
        <f t="shared" si="220"/>
        <v>0</v>
      </c>
      <c r="Y570" s="377">
        <f t="shared" si="221"/>
        <v>0</v>
      </c>
      <c r="Z570" s="377">
        <f t="shared" si="222"/>
        <v>0</v>
      </c>
      <c r="AA570" s="377">
        <f t="shared" si="223"/>
        <v>0</v>
      </c>
      <c r="AB570" s="377">
        <f t="shared" si="224"/>
        <v>0</v>
      </c>
      <c r="AC570" s="377">
        <f t="shared" si="225"/>
        <v>0</v>
      </c>
      <c r="AD570" s="376"/>
      <c r="AE570" s="332">
        <v>555</v>
      </c>
      <c r="AF570" s="350">
        <v>278389.47541582538</v>
      </c>
      <c r="AG570" s="350">
        <v>277386.24834582757</v>
      </c>
      <c r="AH570" s="350">
        <v>276301.30745435436</v>
      </c>
      <c r="AI570" s="350">
        <v>274999.68860633043</v>
      </c>
      <c r="AJ570" s="350">
        <v>273361.82827604958</v>
      </c>
      <c r="AK570" s="348">
        <v>1380438.5480983874</v>
      </c>
      <c r="AL570" s="369"/>
      <c r="AM570" s="350">
        <v>9028576.9863938801</v>
      </c>
      <c r="AN570" s="350">
        <v>8950588.5035909116</v>
      </c>
      <c r="AO570" s="350">
        <v>8864913.4756720718</v>
      </c>
      <c r="AP570" s="350">
        <v>8754460.7166141458</v>
      </c>
      <c r="AQ570" s="350">
        <v>8604601.7519755661</v>
      </c>
      <c r="AR570" s="348">
        <v>44203141.43424657</v>
      </c>
      <c r="AS570" s="369"/>
      <c r="AT570" s="350">
        <f t="shared" si="243"/>
        <v>8750187.5109780543</v>
      </c>
      <c r="AU570" s="350">
        <f t="shared" si="226"/>
        <v>8673202.2552450839</v>
      </c>
      <c r="AV570" s="350">
        <f t="shared" si="227"/>
        <v>8588612.1682177167</v>
      </c>
      <c r="AW570" s="350">
        <f t="shared" si="228"/>
        <v>8479461.0280078147</v>
      </c>
      <c r="AX570" s="350">
        <f t="shared" si="229"/>
        <v>8331239.9236995168</v>
      </c>
      <c r="AY570" s="350">
        <f t="shared" si="230"/>
        <v>42822702.886148185</v>
      </c>
      <c r="AZ570" s="365"/>
      <c r="BA570" s="377">
        <f t="shared" si="231"/>
        <v>0</v>
      </c>
      <c r="BB570" s="377">
        <f t="shared" si="232"/>
        <v>0</v>
      </c>
      <c r="BC570" s="377">
        <f t="shared" si="233"/>
        <v>0</v>
      </c>
      <c r="BD570" s="377">
        <f t="shared" si="234"/>
        <v>0</v>
      </c>
      <c r="BE570" s="377">
        <f t="shared" si="235"/>
        <v>0</v>
      </c>
      <c r="BF570" s="377">
        <f t="shared" si="236"/>
        <v>0</v>
      </c>
      <c r="BG570" s="328"/>
    </row>
    <row r="571" spans="2:59">
      <c r="B571" s="332">
        <v>556</v>
      </c>
      <c r="C571" s="350">
        <v>8492299.171129629</v>
      </c>
      <c r="D571" s="350">
        <v>8461695.6276505813</v>
      </c>
      <c r="E571" s="350">
        <v>8428599.3957631532</v>
      </c>
      <c r="F571" s="350">
        <v>8388893.380843984</v>
      </c>
      <c r="G571" s="350">
        <v>8338930.2854198683</v>
      </c>
      <c r="H571" s="348">
        <v>42110417.86080721</v>
      </c>
      <c r="I571" s="369"/>
      <c r="J571" s="350">
        <v>29690932.398810163</v>
      </c>
      <c r="K571" s="350">
        <v>29082927.641696569</v>
      </c>
      <c r="L571" s="350">
        <v>28456823.666706234</v>
      </c>
      <c r="M571" s="350">
        <v>27767768.613493301</v>
      </c>
      <c r="N571" s="350">
        <v>26978067.419177808</v>
      </c>
      <c r="O571" s="348">
        <v>141976519.73988408</v>
      </c>
      <c r="P571" s="369"/>
      <c r="Q571" s="350">
        <f t="shared" si="237"/>
        <v>21198633.227680534</v>
      </c>
      <c r="R571" s="350">
        <f t="shared" si="238"/>
        <v>20621232.014045987</v>
      </c>
      <c r="S571" s="350">
        <f t="shared" si="239"/>
        <v>20028224.270943083</v>
      </c>
      <c r="T571" s="350">
        <f t="shared" si="240"/>
        <v>19378875.232649319</v>
      </c>
      <c r="U571" s="350">
        <f t="shared" si="241"/>
        <v>18639137.133757941</v>
      </c>
      <c r="V571" s="350">
        <f t="shared" si="242"/>
        <v>99866101.879076868</v>
      </c>
      <c r="W571" s="365"/>
      <c r="X571" s="377">
        <f t="shared" si="220"/>
        <v>0</v>
      </c>
      <c r="Y571" s="377">
        <f t="shared" si="221"/>
        <v>0</v>
      </c>
      <c r="Z571" s="377">
        <f t="shared" si="222"/>
        <v>0</v>
      </c>
      <c r="AA571" s="377">
        <f t="shared" si="223"/>
        <v>0</v>
      </c>
      <c r="AB571" s="377">
        <f t="shared" si="224"/>
        <v>0</v>
      </c>
      <c r="AC571" s="377">
        <f t="shared" si="225"/>
        <v>0</v>
      </c>
      <c r="AD571" s="376"/>
      <c r="AE571" s="332">
        <v>556</v>
      </c>
      <c r="AF571" s="350">
        <v>564197.55537781899</v>
      </c>
      <c r="AG571" s="350">
        <v>562164.36694806174</v>
      </c>
      <c r="AH571" s="350">
        <v>559965.57334142737</v>
      </c>
      <c r="AI571" s="350">
        <v>557327.64972383424</v>
      </c>
      <c r="AJ571" s="350">
        <v>554008.28287990275</v>
      </c>
      <c r="AK571" s="348">
        <v>2797663.428271045</v>
      </c>
      <c r="AL571" s="369"/>
      <c r="AM571" s="350">
        <v>14723804.526482554</v>
      </c>
      <c r="AN571" s="350">
        <v>14591508.026024405</v>
      </c>
      <c r="AO571" s="350">
        <v>14446780.711880848</v>
      </c>
      <c r="AP571" s="350">
        <v>14261915.403511928</v>
      </c>
      <c r="AQ571" s="350">
        <v>14013207.4105954</v>
      </c>
      <c r="AR571" s="348">
        <v>72037216.07849513</v>
      </c>
      <c r="AS571" s="369"/>
      <c r="AT571" s="350">
        <f t="shared" si="243"/>
        <v>14159606.971104736</v>
      </c>
      <c r="AU571" s="350">
        <f t="shared" si="226"/>
        <v>14029343.659076342</v>
      </c>
      <c r="AV571" s="350">
        <f t="shared" si="227"/>
        <v>13886815.13853942</v>
      </c>
      <c r="AW571" s="350">
        <f t="shared" si="228"/>
        <v>13704587.753788095</v>
      </c>
      <c r="AX571" s="350">
        <f t="shared" si="229"/>
        <v>13459199.127715498</v>
      </c>
      <c r="AY571" s="350">
        <f t="shared" si="230"/>
        <v>69239552.65022409</v>
      </c>
      <c r="AZ571" s="365"/>
      <c r="BA571" s="377">
        <f t="shared" si="231"/>
        <v>0</v>
      </c>
      <c r="BB571" s="377">
        <f t="shared" si="232"/>
        <v>0</v>
      </c>
      <c r="BC571" s="377">
        <f t="shared" si="233"/>
        <v>0</v>
      </c>
      <c r="BD571" s="377">
        <f t="shared" si="234"/>
        <v>0</v>
      </c>
      <c r="BE571" s="377">
        <f t="shared" si="235"/>
        <v>0</v>
      </c>
      <c r="BF571" s="377">
        <f t="shared" si="236"/>
        <v>0</v>
      </c>
      <c r="BG571" s="328"/>
    </row>
    <row r="572" spans="2:59">
      <c r="B572" s="332">
        <v>557</v>
      </c>
      <c r="C572" s="350">
        <v>8717599.8441785518</v>
      </c>
      <c r="D572" s="350">
        <v>8686184.3887773529</v>
      </c>
      <c r="E572" s="350">
        <v>8652210.113951331</v>
      </c>
      <c r="F572" s="350">
        <v>8611450.6985683888</v>
      </c>
      <c r="G572" s="350">
        <v>8560162.0823636428</v>
      </c>
      <c r="H572" s="348">
        <v>43227607.127839267</v>
      </c>
      <c r="I572" s="369"/>
      <c r="J572" s="350">
        <v>28229479.62784835</v>
      </c>
      <c r="K572" s="350">
        <v>27621554.970342383</v>
      </c>
      <c r="L572" s="350">
        <v>26997031.459882595</v>
      </c>
      <c r="M572" s="350">
        <v>26314228.903779346</v>
      </c>
      <c r="N572" s="350">
        <v>25538191.65668682</v>
      </c>
      <c r="O572" s="348">
        <v>134700486.61853948</v>
      </c>
      <c r="P572" s="369"/>
      <c r="Q572" s="350">
        <f t="shared" si="237"/>
        <v>19511879.7836698</v>
      </c>
      <c r="R572" s="350">
        <f t="shared" si="238"/>
        <v>18935370.58156503</v>
      </c>
      <c r="S572" s="350">
        <f t="shared" si="239"/>
        <v>18344821.345931262</v>
      </c>
      <c r="T572" s="350">
        <f t="shared" si="240"/>
        <v>17702778.205210958</v>
      </c>
      <c r="U572" s="350">
        <f t="shared" si="241"/>
        <v>16978029.574323177</v>
      </c>
      <c r="V572" s="350">
        <f t="shared" si="242"/>
        <v>91472879.490700215</v>
      </c>
      <c r="W572" s="365"/>
      <c r="X572" s="377">
        <f t="shared" si="220"/>
        <v>0</v>
      </c>
      <c r="Y572" s="377">
        <f t="shared" si="221"/>
        <v>0</v>
      </c>
      <c r="Z572" s="377">
        <f t="shared" si="222"/>
        <v>0</v>
      </c>
      <c r="AA572" s="377">
        <f t="shared" si="223"/>
        <v>0</v>
      </c>
      <c r="AB572" s="377">
        <f t="shared" si="224"/>
        <v>0</v>
      </c>
      <c r="AC572" s="377">
        <f t="shared" si="225"/>
        <v>0</v>
      </c>
      <c r="AD572" s="376"/>
      <c r="AE572" s="332">
        <v>557</v>
      </c>
      <c r="AF572" s="350">
        <v>580791.38468415011</v>
      </c>
      <c r="AG572" s="350">
        <v>578698.39737467538</v>
      </c>
      <c r="AH572" s="350">
        <v>576434.93421135715</v>
      </c>
      <c r="AI572" s="350">
        <v>573719.42561698379</v>
      </c>
      <c r="AJ572" s="350">
        <v>570302.4316098569</v>
      </c>
      <c r="AK572" s="348">
        <v>2879946.5734970234</v>
      </c>
      <c r="AL572" s="369"/>
      <c r="AM572" s="350">
        <v>17179595.137584243</v>
      </c>
      <c r="AN572" s="350">
        <v>17028828.96896081</v>
      </c>
      <c r="AO572" s="350">
        <v>16863485.211966775</v>
      </c>
      <c r="AP572" s="350">
        <v>16651119.249369254</v>
      </c>
      <c r="AQ572" s="350">
        <v>16363966.167446377</v>
      </c>
      <c r="AR572" s="348">
        <v>84086994.735327452</v>
      </c>
      <c r="AS572" s="369"/>
      <c r="AT572" s="350">
        <f t="shared" si="243"/>
        <v>16598803.752900094</v>
      </c>
      <c r="AU572" s="350">
        <f t="shared" si="226"/>
        <v>16450130.571586136</v>
      </c>
      <c r="AV572" s="350">
        <f t="shared" si="227"/>
        <v>16287050.277755419</v>
      </c>
      <c r="AW572" s="350">
        <f t="shared" si="228"/>
        <v>16077399.823752271</v>
      </c>
      <c r="AX572" s="350">
        <f t="shared" si="229"/>
        <v>15793663.735836521</v>
      </c>
      <c r="AY572" s="350">
        <f t="shared" si="230"/>
        <v>81207048.161830425</v>
      </c>
      <c r="AZ572" s="365"/>
      <c r="BA572" s="377">
        <f t="shared" si="231"/>
        <v>0</v>
      </c>
      <c r="BB572" s="377">
        <f t="shared" si="232"/>
        <v>0</v>
      </c>
      <c r="BC572" s="377">
        <f t="shared" si="233"/>
        <v>0</v>
      </c>
      <c r="BD572" s="377">
        <f t="shared" si="234"/>
        <v>0</v>
      </c>
      <c r="BE572" s="377">
        <f t="shared" si="235"/>
        <v>0</v>
      </c>
      <c r="BF572" s="377">
        <f t="shared" si="236"/>
        <v>0</v>
      </c>
      <c r="BG572" s="328"/>
    </row>
    <row r="573" spans="2:59">
      <c r="B573" s="332">
        <v>558</v>
      </c>
      <c r="C573" s="350">
        <v>7502061.7235837243</v>
      </c>
      <c r="D573" s="350">
        <v>7475026.6807156261</v>
      </c>
      <c r="E573" s="350">
        <v>7445789.6072877841</v>
      </c>
      <c r="F573" s="350">
        <v>7410713.4790545953</v>
      </c>
      <c r="G573" s="350">
        <v>7366576.2886165464</v>
      </c>
      <c r="H573" s="348">
        <v>37200167.779258281</v>
      </c>
      <c r="I573" s="369"/>
      <c r="J573" s="350">
        <v>25927828.414917588</v>
      </c>
      <c r="K573" s="350">
        <v>25392889.087817822</v>
      </c>
      <c r="L573" s="350">
        <v>24842226.054153621</v>
      </c>
      <c r="M573" s="350">
        <v>24236801.104617238</v>
      </c>
      <c r="N573" s="350">
        <v>23543815.052944344</v>
      </c>
      <c r="O573" s="348">
        <v>123943559.71445061</v>
      </c>
      <c r="P573" s="369"/>
      <c r="Q573" s="350">
        <f t="shared" si="237"/>
        <v>18425766.691333864</v>
      </c>
      <c r="R573" s="350">
        <f t="shared" si="238"/>
        <v>17917862.407102197</v>
      </c>
      <c r="S573" s="350">
        <f t="shared" si="239"/>
        <v>17396436.446865838</v>
      </c>
      <c r="T573" s="350">
        <f t="shared" si="240"/>
        <v>16826087.625562642</v>
      </c>
      <c r="U573" s="350">
        <f t="shared" si="241"/>
        <v>16177238.764327798</v>
      </c>
      <c r="V573" s="350">
        <f t="shared" si="242"/>
        <v>86743391.935192332</v>
      </c>
      <c r="W573" s="365"/>
      <c r="X573" s="377">
        <f t="shared" si="220"/>
        <v>0</v>
      </c>
      <c r="Y573" s="377">
        <f t="shared" si="221"/>
        <v>0</v>
      </c>
      <c r="Z573" s="377">
        <f t="shared" si="222"/>
        <v>0</v>
      </c>
      <c r="AA573" s="377">
        <f t="shared" si="223"/>
        <v>0</v>
      </c>
      <c r="AB573" s="377">
        <f t="shared" si="224"/>
        <v>0</v>
      </c>
      <c r="AC573" s="377">
        <f t="shared" si="225"/>
        <v>0</v>
      </c>
      <c r="AD573" s="376"/>
      <c r="AE573" s="332">
        <v>558</v>
      </c>
      <c r="AF573" s="350">
        <v>527400.88721750223</v>
      </c>
      <c r="AG573" s="350">
        <v>525500.3022689973</v>
      </c>
      <c r="AH573" s="350">
        <v>523444.91282625048</v>
      </c>
      <c r="AI573" s="350">
        <v>520979.0332011627</v>
      </c>
      <c r="AJ573" s="350">
        <v>517876.15371896146</v>
      </c>
      <c r="AK573" s="348">
        <v>2615201.2892328743</v>
      </c>
      <c r="AL573" s="369"/>
      <c r="AM573" s="350">
        <v>16624335.864643425</v>
      </c>
      <c r="AN573" s="350">
        <v>16480048.7739414</v>
      </c>
      <c r="AO573" s="350">
        <v>16321622.456659354</v>
      </c>
      <c r="AP573" s="350">
        <v>16117609.059294255</v>
      </c>
      <c r="AQ573" s="350">
        <v>15841093.483657189</v>
      </c>
      <c r="AR573" s="348">
        <v>81384709.638195619</v>
      </c>
      <c r="AS573" s="369"/>
      <c r="AT573" s="350">
        <f t="shared" si="243"/>
        <v>16096934.977425922</v>
      </c>
      <c r="AU573" s="350">
        <f t="shared" si="226"/>
        <v>15954548.471672403</v>
      </c>
      <c r="AV573" s="350">
        <f t="shared" si="227"/>
        <v>15798177.543833103</v>
      </c>
      <c r="AW573" s="350">
        <f t="shared" si="228"/>
        <v>15596630.026093092</v>
      </c>
      <c r="AX573" s="350">
        <f t="shared" si="229"/>
        <v>15323217.329938227</v>
      </c>
      <c r="AY573" s="350">
        <f t="shared" si="230"/>
        <v>78769508.348962739</v>
      </c>
      <c r="AZ573" s="365"/>
      <c r="BA573" s="377">
        <f t="shared" si="231"/>
        <v>0</v>
      </c>
      <c r="BB573" s="377">
        <f t="shared" si="232"/>
        <v>0</v>
      </c>
      <c r="BC573" s="377">
        <f t="shared" si="233"/>
        <v>0</v>
      </c>
      <c r="BD573" s="377">
        <f t="shared" si="234"/>
        <v>0</v>
      </c>
      <c r="BE573" s="377">
        <f t="shared" si="235"/>
        <v>0</v>
      </c>
      <c r="BF573" s="377">
        <f t="shared" si="236"/>
        <v>0</v>
      </c>
      <c r="BG573" s="328"/>
    </row>
    <row r="574" spans="2:59">
      <c r="B574" s="332">
        <v>559</v>
      </c>
      <c r="C574" s="350">
        <v>4111006.8605043348</v>
      </c>
      <c r="D574" s="350">
        <v>4096192.1001358093</v>
      </c>
      <c r="E574" s="350">
        <v>4080170.6631133575</v>
      </c>
      <c r="F574" s="350">
        <v>4060949.5197637565</v>
      </c>
      <c r="G574" s="350">
        <v>4036763.0628430145</v>
      </c>
      <c r="H574" s="348">
        <v>20385082.206360273</v>
      </c>
      <c r="I574" s="369"/>
      <c r="J574" s="350">
        <v>11987887.138484746</v>
      </c>
      <c r="K574" s="350">
        <v>11710750.495791979</v>
      </c>
      <c r="L574" s="350">
        <v>11426952.506769124</v>
      </c>
      <c r="M574" s="350">
        <v>11119406.193177357</v>
      </c>
      <c r="N574" s="350">
        <v>10773829.364881542</v>
      </c>
      <c r="O574" s="348">
        <v>57018825.699104756</v>
      </c>
      <c r="P574" s="369"/>
      <c r="Q574" s="350">
        <f t="shared" si="237"/>
        <v>7876880.2779804114</v>
      </c>
      <c r="R574" s="350">
        <f t="shared" si="238"/>
        <v>7614558.3956561703</v>
      </c>
      <c r="S574" s="350">
        <f t="shared" si="239"/>
        <v>7346781.8436557669</v>
      </c>
      <c r="T574" s="350">
        <f t="shared" si="240"/>
        <v>7058456.6734136008</v>
      </c>
      <c r="U574" s="350">
        <f t="shared" si="241"/>
        <v>6737066.3020385271</v>
      </c>
      <c r="V574" s="350">
        <f t="shared" si="242"/>
        <v>36633743.492744483</v>
      </c>
      <c r="W574" s="365"/>
      <c r="X574" s="377">
        <f t="shared" si="220"/>
        <v>0</v>
      </c>
      <c r="Y574" s="377">
        <f t="shared" si="221"/>
        <v>0</v>
      </c>
      <c r="Z574" s="377">
        <f t="shared" si="222"/>
        <v>0</v>
      </c>
      <c r="AA574" s="377">
        <f t="shared" si="223"/>
        <v>0</v>
      </c>
      <c r="AB574" s="377">
        <f t="shared" si="224"/>
        <v>0</v>
      </c>
      <c r="AC574" s="377">
        <f t="shared" si="225"/>
        <v>0</v>
      </c>
      <c r="AD574" s="376"/>
      <c r="AE574" s="332">
        <v>559</v>
      </c>
      <c r="AF574" s="350">
        <v>596290.27478679689</v>
      </c>
      <c r="AG574" s="350">
        <v>594141.43441002234</v>
      </c>
      <c r="AH574" s="350">
        <v>591817.56889270106</v>
      </c>
      <c r="AI574" s="350">
        <v>589029.59474462492</v>
      </c>
      <c r="AJ574" s="350">
        <v>585521.41547546675</v>
      </c>
      <c r="AK574" s="348">
        <v>2956800.2883096118</v>
      </c>
      <c r="AL574" s="369"/>
      <c r="AM574" s="350">
        <v>16709775.732046695</v>
      </c>
      <c r="AN574" s="350">
        <v>16561676.631213905</v>
      </c>
      <c r="AO574" s="350">
        <v>16399428.334838958</v>
      </c>
      <c r="AP574" s="350">
        <v>16191520.529805036</v>
      </c>
      <c r="AQ574" s="350">
        <v>15910990.726749865</v>
      </c>
      <c r="AR574" s="348">
        <v>81773391.954654455</v>
      </c>
      <c r="AS574" s="369"/>
      <c r="AT574" s="350">
        <f t="shared" si="243"/>
        <v>16113485.457259899</v>
      </c>
      <c r="AU574" s="350">
        <f t="shared" si="226"/>
        <v>15967535.196803883</v>
      </c>
      <c r="AV574" s="350">
        <f t="shared" si="227"/>
        <v>15807610.765946258</v>
      </c>
      <c r="AW574" s="350">
        <f t="shared" si="228"/>
        <v>15602490.935060412</v>
      </c>
      <c r="AX574" s="350">
        <f t="shared" si="229"/>
        <v>15325469.311274398</v>
      </c>
      <c r="AY574" s="350">
        <f t="shared" si="230"/>
        <v>78816591.666344836</v>
      </c>
      <c r="AZ574" s="365"/>
      <c r="BA574" s="377">
        <f t="shared" si="231"/>
        <v>0</v>
      </c>
      <c r="BB574" s="377">
        <f t="shared" si="232"/>
        <v>0</v>
      </c>
      <c r="BC574" s="377">
        <f t="shared" si="233"/>
        <v>0</v>
      </c>
      <c r="BD574" s="377">
        <f t="shared" si="234"/>
        <v>0</v>
      </c>
      <c r="BE574" s="377">
        <f t="shared" si="235"/>
        <v>0</v>
      </c>
      <c r="BF574" s="377">
        <f t="shared" si="236"/>
        <v>0</v>
      </c>
      <c r="BG574" s="328"/>
    </row>
    <row r="575" spans="2:59">
      <c r="B575" s="332">
        <v>560</v>
      </c>
      <c r="C575" s="350">
        <v>3763685.234194722</v>
      </c>
      <c r="D575" s="350">
        <v>3750122.1104298765</v>
      </c>
      <c r="E575" s="350">
        <v>3735454.2570309201</v>
      </c>
      <c r="F575" s="350">
        <v>3717857.0269936156</v>
      </c>
      <c r="G575" s="350">
        <v>3695713.9817813495</v>
      </c>
      <c r="H575" s="348">
        <v>18662832.610430483</v>
      </c>
      <c r="I575" s="369"/>
      <c r="J575" s="350">
        <v>13330420.163569059</v>
      </c>
      <c r="K575" s="350">
        <v>13059721.842084371</v>
      </c>
      <c r="L575" s="350">
        <v>12780850.922051217</v>
      </c>
      <c r="M575" s="350">
        <v>12473596.527432084</v>
      </c>
      <c r="N575" s="350">
        <v>12120967.096738301</v>
      </c>
      <c r="O575" s="348">
        <v>63765556.551875032</v>
      </c>
      <c r="P575" s="369"/>
      <c r="Q575" s="350">
        <f t="shared" si="237"/>
        <v>9566734.9293743372</v>
      </c>
      <c r="R575" s="350">
        <f t="shared" si="238"/>
        <v>9309599.731654495</v>
      </c>
      <c r="S575" s="350">
        <f t="shared" si="239"/>
        <v>9045396.6650202982</v>
      </c>
      <c r="T575" s="350">
        <f t="shared" si="240"/>
        <v>8755739.5004384685</v>
      </c>
      <c r="U575" s="350">
        <f t="shared" si="241"/>
        <v>8425253.1149569526</v>
      </c>
      <c r="V575" s="350">
        <f t="shared" si="242"/>
        <v>45102723.941444546</v>
      </c>
      <c r="W575" s="365"/>
      <c r="X575" s="377">
        <f t="shared" si="220"/>
        <v>0</v>
      </c>
      <c r="Y575" s="377">
        <f t="shared" si="221"/>
        <v>0</v>
      </c>
      <c r="Z575" s="377">
        <f t="shared" si="222"/>
        <v>0</v>
      </c>
      <c r="AA575" s="377">
        <f t="shared" si="223"/>
        <v>0</v>
      </c>
      <c r="AB575" s="377">
        <f t="shared" si="224"/>
        <v>0</v>
      </c>
      <c r="AC575" s="377">
        <f t="shared" si="225"/>
        <v>0</v>
      </c>
      <c r="AD575" s="376"/>
      <c r="AE575" s="332">
        <v>560</v>
      </c>
      <c r="AF575" s="350">
        <v>580249.75313161244</v>
      </c>
      <c r="AG575" s="350">
        <v>578158.7176898747</v>
      </c>
      <c r="AH575" s="350">
        <v>575897.36537582136</v>
      </c>
      <c r="AI575" s="350">
        <v>573184.38919700147</v>
      </c>
      <c r="AJ575" s="350">
        <v>569770.58179321943</v>
      </c>
      <c r="AK575" s="348">
        <v>2877260.8071875297</v>
      </c>
      <c r="AL575" s="369"/>
      <c r="AM575" s="350">
        <v>15210290.639499057</v>
      </c>
      <c r="AN575" s="350">
        <v>15073743.093917796</v>
      </c>
      <c r="AO575" s="350">
        <v>14924351.557589689</v>
      </c>
      <c r="AP575" s="350">
        <v>14733489.502921218</v>
      </c>
      <c r="AQ575" s="350">
        <v>14476665.459878054</v>
      </c>
      <c r="AR575" s="348">
        <v>74418540.253805816</v>
      </c>
      <c r="AS575" s="369"/>
      <c r="AT575" s="350">
        <f t="shared" si="243"/>
        <v>14630040.886367444</v>
      </c>
      <c r="AU575" s="350">
        <f t="shared" si="226"/>
        <v>14495584.376227921</v>
      </c>
      <c r="AV575" s="350">
        <f t="shared" si="227"/>
        <v>14348454.192213869</v>
      </c>
      <c r="AW575" s="350">
        <f t="shared" si="228"/>
        <v>14160305.113724217</v>
      </c>
      <c r="AX575" s="350">
        <f t="shared" si="229"/>
        <v>13906894.878084835</v>
      </c>
      <c r="AY575" s="350">
        <f t="shared" si="230"/>
        <v>71541279.446618289</v>
      </c>
      <c r="AZ575" s="365"/>
      <c r="BA575" s="377">
        <f t="shared" si="231"/>
        <v>0</v>
      </c>
      <c r="BB575" s="377">
        <f t="shared" si="232"/>
        <v>0</v>
      </c>
      <c r="BC575" s="377">
        <f t="shared" si="233"/>
        <v>0</v>
      </c>
      <c r="BD575" s="377">
        <f t="shared" si="234"/>
        <v>0</v>
      </c>
      <c r="BE575" s="377">
        <f t="shared" si="235"/>
        <v>0</v>
      </c>
      <c r="BF575" s="377">
        <f t="shared" si="236"/>
        <v>0</v>
      </c>
      <c r="BG575" s="328"/>
    </row>
    <row r="576" spans="2:59">
      <c r="B576" s="332">
        <v>561</v>
      </c>
      <c r="C576" s="350">
        <v>4036800.0887150653</v>
      </c>
      <c r="D576" s="350">
        <v>4022252.7459352431</v>
      </c>
      <c r="E576" s="350">
        <v>4006520.5079244208</v>
      </c>
      <c r="F576" s="350">
        <v>3987646.3206968773</v>
      </c>
      <c r="G576" s="350">
        <v>3963896.4475498949</v>
      </c>
      <c r="H576" s="348">
        <v>20017116.1108215</v>
      </c>
      <c r="I576" s="369"/>
      <c r="J576" s="350">
        <v>16042830.07205371</v>
      </c>
      <c r="K576" s="350">
        <v>15739910.902724523</v>
      </c>
      <c r="L576" s="350">
        <v>15426689.420719758</v>
      </c>
      <c r="M576" s="350">
        <v>15078104.054737896</v>
      </c>
      <c r="N576" s="350">
        <v>14673028.851788118</v>
      </c>
      <c r="O576" s="348">
        <v>76960563.302024007</v>
      </c>
      <c r="P576" s="369"/>
      <c r="Q576" s="350">
        <f t="shared" si="237"/>
        <v>12006029.983338645</v>
      </c>
      <c r="R576" s="350">
        <f t="shared" si="238"/>
        <v>11717658.15678928</v>
      </c>
      <c r="S576" s="350">
        <f t="shared" si="239"/>
        <v>11420168.912795337</v>
      </c>
      <c r="T576" s="350">
        <f t="shared" si="240"/>
        <v>11090457.734041018</v>
      </c>
      <c r="U576" s="350">
        <f t="shared" si="241"/>
        <v>10709132.404238224</v>
      </c>
      <c r="V576" s="350">
        <f t="shared" si="242"/>
        <v>56943447.191202506</v>
      </c>
      <c r="W576" s="365"/>
      <c r="X576" s="377">
        <f t="shared" si="220"/>
        <v>0</v>
      </c>
      <c r="Y576" s="377">
        <f t="shared" si="221"/>
        <v>0</v>
      </c>
      <c r="Z576" s="377">
        <f t="shared" si="222"/>
        <v>0</v>
      </c>
      <c r="AA576" s="377">
        <f t="shared" si="223"/>
        <v>0</v>
      </c>
      <c r="AB576" s="377">
        <f t="shared" si="224"/>
        <v>0</v>
      </c>
      <c r="AC576" s="377">
        <f t="shared" si="225"/>
        <v>0</v>
      </c>
      <c r="AD576" s="376"/>
      <c r="AE576" s="332">
        <v>561</v>
      </c>
      <c r="AF576" s="350">
        <v>588296.17845007603</v>
      </c>
      <c r="AG576" s="350">
        <v>586176.14625232213</v>
      </c>
      <c r="AH576" s="350">
        <v>583883.43536824652</v>
      </c>
      <c r="AI576" s="350">
        <v>581132.837871889</v>
      </c>
      <c r="AJ576" s="350">
        <v>577671.69060078624</v>
      </c>
      <c r="AK576" s="348">
        <v>2917160.2885433203</v>
      </c>
      <c r="AL576" s="369"/>
      <c r="AM576" s="350">
        <v>17730435.235239685</v>
      </c>
      <c r="AN576" s="350">
        <v>17575350.767009776</v>
      </c>
      <c r="AO576" s="350">
        <v>17405210.767211072</v>
      </c>
      <c r="AP576" s="350">
        <v>17186513.667703565</v>
      </c>
      <c r="AQ576" s="350">
        <v>16890589.034251969</v>
      </c>
      <c r="AR576" s="348">
        <v>86788099.471416071</v>
      </c>
      <c r="AS576" s="369"/>
      <c r="AT576" s="350">
        <f t="shared" si="243"/>
        <v>17142139.056789607</v>
      </c>
      <c r="AU576" s="350">
        <f t="shared" si="226"/>
        <v>16989174.620757453</v>
      </c>
      <c r="AV576" s="350">
        <f t="shared" si="227"/>
        <v>16821327.331842825</v>
      </c>
      <c r="AW576" s="350">
        <f t="shared" si="228"/>
        <v>16605380.829831677</v>
      </c>
      <c r="AX576" s="350">
        <f t="shared" si="229"/>
        <v>16312917.343651183</v>
      </c>
      <c r="AY576" s="350">
        <f t="shared" si="230"/>
        <v>83870939.182872757</v>
      </c>
      <c r="AZ576" s="365"/>
      <c r="BA576" s="377">
        <f t="shared" si="231"/>
        <v>0</v>
      </c>
      <c r="BB576" s="377">
        <f t="shared" si="232"/>
        <v>0</v>
      </c>
      <c r="BC576" s="377">
        <f t="shared" si="233"/>
        <v>0</v>
      </c>
      <c r="BD576" s="377">
        <f t="shared" si="234"/>
        <v>0</v>
      </c>
      <c r="BE576" s="377">
        <f t="shared" si="235"/>
        <v>0</v>
      </c>
      <c r="BF576" s="377">
        <f t="shared" si="236"/>
        <v>0</v>
      </c>
      <c r="BG576" s="328"/>
    </row>
    <row r="577" spans="2:59">
      <c r="B577" s="332">
        <v>562</v>
      </c>
      <c r="C577" s="350">
        <v>4173979.8480433705</v>
      </c>
      <c r="D577" s="350">
        <v>4158938.1530693485</v>
      </c>
      <c r="E577" s="350">
        <v>4142671.2973968666</v>
      </c>
      <c r="F577" s="350">
        <v>4123155.7218408221</v>
      </c>
      <c r="G577" s="350">
        <v>4098598.7733344506</v>
      </c>
      <c r="H577" s="348">
        <v>20697343.793684859</v>
      </c>
      <c r="I577" s="369"/>
      <c r="J577" s="350">
        <v>16307113.416370269</v>
      </c>
      <c r="K577" s="350">
        <v>15995924.825143091</v>
      </c>
      <c r="L577" s="350">
        <v>15674331.167368345</v>
      </c>
      <c r="M577" s="350">
        <v>15316963.925417811</v>
      </c>
      <c r="N577" s="350">
        <v>14902446.246937321</v>
      </c>
      <c r="O577" s="348">
        <v>78196779.581236839</v>
      </c>
      <c r="P577" s="369"/>
      <c r="Q577" s="350">
        <f t="shared" si="237"/>
        <v>12133133.568326898</v>
      </c>
      <c r="R577" s="350">
        <f t="shared" si="238"/>
        <v>11836986.672073742</v>
      </c>
      <c r="S577" s="350">
        <f t="shared" si="239"/>
        <v>11531659.869971478</v>
      </c>
      <c r="T577" s="350">
        <f t="shared" si="240"/>
        <v>11193808.203576989</v>
      </c>
      <c r="U577" s="350">
        <f t="shared" si="241"/>
        <v>10803847.47360287</v>
      </c>
      <c r="V577" s="350">
        <f t="shared" si="242"/>
        <v>57499435.787551984</v>
      </c>
      <c r="W577" s="365"/>
      <c r="X577" s="377">
        <f t="shared" si="220"/>
        <v>0</v>
      </c>
      <c r="Y577" s="377">
        <f t="shared" si="221"/>
        <v>0</v>
      </c>
      <c r="Z577" s="377">
        <f t="shared" si="222"/>
        <v>0</v>
      </c>
      <c r="AA577" s="377">
        <f t="shared" si="223"/>
        <v>0</v>
      </c>
      <c r="AB577" s="377">
        <f t="shared" si="224"/>
        <v>0</v>
      </c>
      <c r="AC577" s="377">
        <f t="shared" si="225"/>
        <v>0</v>
      </c>
      <c r="AD577" s="376"/>
      <c r="AE577" s="332">
        <v>562</v>
      </c>
      <c r="AF577" s="350">
        <v>629342.62086358783</v>
      </c>
      <c r="AG577" s="350">
        <v>627074.6703506934</v>
      </c>
      <c r="AH577" s="350">
        <v>624621.99306071352</v>
      </c>
      <c r="AI577" s="350">
        <v>621679.48161714256</v>
      </c>
      <c r="AJ577" s="350">
        <v>617976.84411143989</v>
      </c>
      <c r="AK577" s="348">
        <v>3120695.6100035771</v>
      </c>
      <c r="AL577" s="369"/>
      <c r="AM577" s="350">
        <v>17847439.949446589</v>
      </c>
      <c r="AN577" s="350">
        <v>17689607.781906284</v>
      </c>
      <c r="AO577" s="350">
        <v>17516655.939950522</v>
      </c>
      <c r="AP577" s="350">
        <v>17294917.463920459</v>
      </c>
      <c r="AQ577" s="350">
        <v>16995583.788855825</v>
      </c>
      <c r="AR577" s="348">
        <v>87344204.924079672</v>
      </c>
      <c r="AS577" s="369"/>
      <c r="AT577" s="350">
        <f t="shared" si="243"/>
        <v>17218097.328583002</v>
      </c>
      <c r="AU577" s="350">
        <f t="shared" si="226"/>
        <v>17062533.111555591</v>
      </c>
      <c r="AV577" s="350">
        <f t="shared" si="227"/>
        <v>16892033.94688981</v>
      </c>
      <c r="AW577" s="350">
        <f t="shared" si="228"/>
        <v>16673237.982303316</v>
      </c>
      <c r="AX577" s="350">
        <f t="shared" si="229"/>
        <v>16377606.944744384</v>
      </c>
      <c r="AY577" s="350">
        <f t="shared" si="230"/>
        <v>84223509.314076096</v>
      </c>
      <c r="AZ577" s="365"/>
      <c r="BA577" s="377">
        <f t="shared" si="231"/>
        <v>0</v>
      </c>
      <c r="BB577" s="377">
        <f t="shared" si="232"/>
        <v>0</v>
      </c>
      <c r="BC577" s="377">
        <f t="shared" si="233"/>
        <v>0</v>
      </c>
      <c r="BD577" s="377">
        <f t="shared" si="234"/>
        <v>0</v>
      </c>
      <c r="BE577" s="377">
        <f t="shared" si="235"/>
        <v>0</v>
      </c>
      <c r="BF577" s="377">
        <f t="shared" si="236"/>
        <v>0</v>
      </c>
      <c r="BG577" s="328"/>
    </row>
    <row r="578" spans="2:59">
      <c r="B578" s="332">
        <v>563</v>
      </c>
      <c r="C578" s="350">
        <v>5077838.5109141637</v>
      </c>
      <c r="D578" s="350">
        <v>5059539.5969785089</v>
      </c>
      <c r="E578" s="350">
        <v>5039750.2186891194</v>
      </c>
      <c r="F578" s="350">
        <v>5016008.6232025996</v>
      </c>
      <c r="G578" s="350">
        <v>4986133.9655914363</v>
      </c>
      <c r="H578" s="348">
        <v>25179270.915375829</v>
      </c>
      <c r="I578" s="369"/>
      <c r="J578" s="350">
        <v>15180691.165718524</v>
      </c>
      <c r="K578" s="350">
        <v>14835685.394908601</v>
      </c>
      <c r="L578" s="350">
        <v>14482122.780577326</v>
      </c>
      <c r="M578" s="350">
        <v>14098173.554496041</v>
      </c>
      <c r="N578" s="350">
        <v>13665575.674761271</v>
      </c>
      <c r="O578" s="348">
        <v>72262248.570461765</v>
      </c>
      <c r="P578" s="369"/>
      <c r="Q578" s="350">
        <f t="shared" si="237"/>
        <v>10102852.65480436</v>
      </c>
      <c r="R578" s="350">
        <f t="shared" si="238"/>
        <v>9776145.7979300916</v>
      </c>
      <c r="S578" s="350">
        <f t="shared" si="239"/>
        <v>9442372.5618882068</v>
      </c>
      <c r="T578" s="350">
        <f t="shared" si="240"/>
        <v>9082164.931293441</v>
      </c>
      <c r="U578" s="350">
        <f t="shared" si="241"/>
        <v>8679441.7091698349</v>
      </c>
      <c r="V578" s="350">
        <f t="shared" si="242"/>
        <v>47082977.655085936</v>
      </c>
      <c r="W578" s="365"/>
      <c r="X578" s="377">
        <f t="shared" si="220"/>
        <v>0</v>
      </c>
      <c r="Y578" s="377">
        <f t="shared" si="221"/>
        <v>0</v>
      </c>
      <c r="Z578" s="377">
        <f t="shared" si="222"/>
        <v>0</v>
      </c>
      <c r="AA578" s="377">
        <f t="shared" si="223"/>
        <v>0</v>
      </c>
      <c r="AB578" s="377">
        <f t="shared" si="224"/>
        <v>0</v>
      </c>
      <c r="AC578" s="377">
        <f t="shared" si="225"/>
        <v>0</v>
      </c>
      <c r="AD578" s="376"/>
      <c r="AE578" s="332">
        <v>563</v>
      </c>
      <c r="AF578" s="350">
        <v>568793.28479879582</v>
      </c>
      <c r="AG578" s="350">
        <v>566743.53482282849</v>
      </c>
      <c r="AH578" s="350">
        <v>564526.83071592287</v>
      </c>
      <c r="AI578" s="350">
        <v>561867.41961922927</v>
      </c>
      <c r="AJ578" s="350">
        <v>558521.01453006209</v>
      </c>
      <c r="AK578" s="348">
        <v>2820452.0844868389</v>
      </c>
      <c r="AL578" s="369"/>
      <c r="AM578" s="350">
        <v>14581247.344272383</v>
      </c>
      <c r="AN578" s="350">
        <v>14449765.080319125</v>
      </c>
      <c r="AO578" s="350">
        <v>14305981.888343703</v>
      </c>
      <c r="AP578" s="350">
        <v>14122473.922990415</v>
      </c>
      <c r="AQ578" s="350">
        <v>13875779.826194573</v>
      </c>
      <c r="AR578" s="348">
        <v>71335248.062120199</v>
      </c>
      <c r="AS578" s="369"/>
      <c r="AT578" s="350">
        <f t="shared" si="243"/>
        <v>14012454.059473587</v>
      </c>
      <c r="AU578" s="350">
        <f t="shared" si="226"/>
        <v>13883021.545496296</v>
      </c>
      <c r="AV578" s="350">
        <f t="shared" si="227"/>
        <v>13741455.05762778</v>
      </c>
      <c r="AW578" s="350">
        <f t="shared" si="228"/>
        <v>13560606.503371187</v>
      </c>
      <c r="AX578" s="350">
        <f t="shared" si="229"/>
        <v>13317258.811664511</v>
      </c>
      <c r="AY578" s="350">
        <f t="shared" si="230"/>
        <v>68514795.977633357</v>
      </c>
      <c r="AZ578" s="365"/>
      <c r="BA578" s="377">
        <f t="shared" si="231"/>
        <v>0</v>
      </c>
      <c r="BB578" s="377">
        <f t="shared" si="232"/>
        <v>0</v>
      </c>
      <c r="BC578" s="377">
        <f t="shared" si="233"/>
        <v>0</v>
      </c>
      <c r="BD578" s="377">
        <f t="shared" si="234"/>
        <v>0</v>
      </c>
      <c r="BE578" s="377">
        <f t="shared" si="235"/>
        <v>0</v>
      </c>
      <c r="BF578" s="377">
        <f t="shared" si="236"/>
        <v>0</v>
      </c>
      <c r="BG578" s="328"/>
    </row>
    <row r="579" spans="2:59">
      <c r="B579" s="332">
        <v>564</v>
      </c>
      <c r="C579" s="350">
        <v>3853808.6818014206</v>
      </c>
      <c r="D579" s="350">
        <v>3839920.781813819</v>
      </c>
      <c r="E579" s="350">
        <v>3824901.6988525987</v>
      </c>
      <c r="F579" s="350">
        <v>3806883.0937691345</v>
      </c>
      <c r="G579" s="350">
        <v>3784209.8215450798</v>
      </c>
      <c r="H579" s="348">
        <v>19109724.077782054</v>
      </c>
      <c r="I579" s="369"/>
      <c r="J579" s="350">
        <v>14039329.762542536</v>
      </c>
      <c r="K579" s="350">
        <v>13759340.67574176</v>
      </c>
      <c r="L579" s="350">
        <v>13470640.130056037</v>
      </c>
      <c r="M579" s="350">
        <v>13151777.567043196</v>
      </c>
      <c r="N579" s="350">
        <v>12784706.624302091</v>
      </c>
      <c r="O579" s="348">
        <v>67205794.759685621</v>
      </c>
      <c r="P579" s="369"/>
      <c r="Q579" s="350">
        <f t="shared" si="237"/>
        <v>10185521.080741115</v>
      </c>
      <c r="R579" s="350">
        <f t="shared" si="238"/>
        <v>9919419.8939279411</v>
      </c>
      <c r="S579" s="350">
        <f t="shared" si="239"/>
        <v>9645738.431203438</v>
      </c>
      <c r="T579" s="350">
        <f t="shared" si="240"/>
        <v>9344894.4732740615</v>
      </c>
      <c r="U579" s="350">
        <f t="shared" si="241"/>
        <v>9000496.8027570117</v>
      </c>
      <c r="V579" s="350">
        <f t="shared" si="242"/>
        <v>48096070.681903571</v>
      </c>
      <c r="W579" s="365"/>
      <c r="X579" s="377">
        <f t="shared" si="220"/>
        <v>0</v>
      </c>
      <c r="Y579" s="377">
        <f t="shared" si="221"/>
        <v>0</v>
      </c>
      <c r="Z579" s="377">
        <f t="shared" si="222"/>
        <v>0</v>
      </c>
      <c r="AA579" s="377">
        <f t="shared" si="223"/>
        <v>0</v>
      </c>
      <c r="AB579" s="377">
        <f t="shared" si="224"/>
        <v>0</v>
      </c>
      <c r="AC579" s="377">
        <f t="shared" si="225"/>
        <v>0</v>
      </c>
      <c r="AD579" s="376"/>
      <c r="AE579" s="332">
        <v>564</v>
      </c>
      <c r="AF579" s="350">
        <v>325399.07820269163</v>
      </c>
      <c r="AG579" s="350">
        <v>324226.44348538527</v>
      </c>
      <c r="AH579" s="350">
        <v>322958.29652881506</v>
      </c>
      <c r="AI579" s="350">
        <v>321436.88278756069</v>
      </c>
      <c r="AJ579" s="350">
        <v>319522.44891428988</v>
      </c>
      <c r="AK579" s="348">
        <v>1613543.1499187425</v>
      </c>
      <c r="AL579" s="369"/>
      <c r="AM579" s="350">
        <v>9808859.2122667003</v>
      </c>
      <c r="AN579" s="350">
        <v>9723065.87934817</v>
      </c>
      <c r="AO579" s="350">
        <v>9628943.4456709698</v>
      </c>
      <c r="AP579" s="350">
        <v>9507958.032627888</v>
      </c>
      <c r="AQ579" s="350">
        <v>9344248.4564360064</v>
      </c>
      <c r="AR579" s="348">
        <v>48013075.026349738</v>
      </c>
      <c r="AS579" s="369"/>
      <c r="AT579" s="350">
        <f t="shared" si="243"/>
        <v>9483460.1340640094</v>
      </c>
      <c r="AU579" s="350">
        <f t="shared" si="226"/>
        <v>9398839.4358627852</v>
      </c>
      <c r="AV579" s="350">
        <f t="shared" si="227"/>
        <v>9305985.1491421554</v>
      </c>
      <c r="AW579" s="350">
        <f t="shared" si="228"/>
        <v>9186521.149840327</v>
      </c>
      <c r="AX579" s="350">
        <f t="shared" si="229"/>
        <v>9024726.0075217169</v>
      </c>
      <c r="AY579" s="350">
        <f t="shared" si="230"/>
        <v>46399531.876430996</v>
      </c>
      <c r="AZ579" s="365"/>
      <c r="BA579" s="377">
        <f t="shared" si="231"/>
        <v>0</v>
      </c>
      <c r="BB579" s="377">
        <f t="shared" si="232"/>
        <v>0</v>
      </c>
      <c r="BC579" s="377">
        <f t="shared" si="233"/>
        <v>0</v>
      </c>
      <c r="BD579" s="377">
        <f t="shared" si="234"/>
        <v>0</v>
      </c>
      <c r="BE579" s="377">
        <f t="shared" si="235"/>
        <v>0</v>
      </c>
      <c r="BF579" s="377">
        <f t="shared" si="236"/>
        <v>0</v>
      </c>
      <c r="BG579" s="328"/>
    </row>
    <row r="580" spans="2:59">
      <c r="B580" s="332">
        <v>565</v>
      </c>
      <c r="C580" s="350">
        <v>4876633.1484064599</v>
      </c>
      <c r="D580" s="350">
        <v>4859059.3145622648</v>
      </c>
      <c r="E580" s="350">
        <v>4840054.0748436404</v>
      </c>
      <c r="F580" s="350">
        <v>4817253.2214299738</v>
      </c>
      <c r="G580" s="350">
        <v>4788562.32366102</v>
      </c>
      <c r="H580" s="348">
        <v>24181562.082903363</v>
      </c>
      <c r="I580" s="369"/>
      <c r="J580" s="350">
        <v>15425912.703885555</v>
      </c>
      <c r="K580" s="350">
        <v>15088474.72034939</v>
      </c>
      <c r="L580" s="350">
        <v>14742073.333555456</v>
      </c>
      <c r="M580" s="350">
        <v>14364101.744595632</v>
      </c>
      <c r="N580" s="350">
        <v>13935613.723638231</v>
      </c>
      <c r="O580" s="348">
        <v>73556176.22602427</v>
      </c>
      <c r="P580" s="369"/>
      <c r="Q580" s="350">
        <f t="shared" si="237"/>
        <v>10549279.555479094</v>
      </c>
      <c r="R580" s="350">
        <f t="shared" si="238"/>
        <v>10229415.405787125</v>
      </c>
      <c r="S580" s="350">
        <f t="shared" si="239"/>
        <v>9902019.2587118149</v>
      </c>
      <c r="T580" s="350">
        <f t="shared" si="240"/>
        <v>9546848.5231656581</v>
      </c>
      <c r="U580" s="350">
        <f t="shared" si="241"/>
        <v>9147051.3999772109</v>
      </c>
      <c r="V580" s="350">
        <f t="shared" si="242"/>
        <v>49374614.143120907</v>
      </c>
      <c r="W580" s="365"/>
      <c r="X580" s="377">
        <f t="shared" si="220"/>
        <v>0</v>
      </c>
      <c r="Y580" s="377">
        <f t="shared" si="221"/>
        <v>0</v>
      </c>
      <c r="Z580" s="377">
        <f t="shared" si="222"/>
        <v>0</v>
      </c>
      <c r="AA580" s="377">
        <f t="shared" si="223"/>
        <v>0</v>
      </c>
      <c r="AB580" s="377">
        <f t="shared" si="224"/>
        <v>0</v>
      </c>
      <c r="AC580" s="377">
        <f t="shared" si="225"/>
        <v>0</v>
      </c>
      <c r="AD580" s="376"/>
      <c r="AE580" s="332">
        <v>565</v>
      </c>
      <c r="AF580" s="350">
        <v>288687.63708189077</v>
      </c>
      <c r="AG580" s="350">
        <v>287647.29871471052</v>
      </c>
      <c r="AH580" s="350">
        <v>286522.2237747722</v>
      </c>
      <c r="AI580" s="350">
        <v>285172.45554428862</v>
      </c>
      <c r="AJ580" s="350">
        <v>283474.00761297689</v>
      </c>
      <c r="AK580" s="348">
        <v>1431503.622728639</v>
      </c>
      <c r="AL580" s="369"/>
      <c r="AM580" s="350">
        <v>11415351.244456772</v>
      </c>
      <c r="AN580" s="350">
        <v>11319682.615230817</v>
      </c>
      <c r="AO580" s="350">
        <v>11214235.475335123</v>
      </c>
      <c r="AP580" s="350">
        <v>11077305.605804913</v>
      </c>
      <c r="AQ580" s="350">
        <v>10890310.405181477</v>
      </c>
      <c r="AR580" s="348">
        <v>55916885.346009098</v>
      </c>
      <c r="AS580" s="369"/>
      <c r="AT580" s="350">
        <f t="shared" si="243"/>
        <v>11126663.60737488</v>
      </c>
      <c r="AU580" s="350">
        <f t="shared" si="226"/>
        <v>11032035.316516107</v>
      </c>
      <c r="AV580" s="350">
        <f t="shared" si="227"/>
        <v>10927713.251560351</v>
      </c>
      <c r="AW580" s="350">
        <f t="shared" si="228"/>
        <v>10792133.150260624</v>
      </c>
      <c r="AX580" s="350">
        <f t="shared" si="229"/>
        <v>10606836.3975685</v>
      </c>
      <c r="AY580" s="350">
        <f t="shared" si="230"/>
        <v>54485381.72328046</v>
      </c>
      <c r="AZ580" s="365"/>
      <c r="BA580" s="377">
        <f t="shared" si="231"/>
        <v>0</v>
      </c>
      <c r="BB580" s="377">
        <f t="shared" si="232"/>
        <v>0</v>
      </c>
      <c r="BC580" s="377">
        <f t="shared" si="233"/>
        <v>0</v>
      </c>
      <c r="BD580" s="377">
        <f t="shared" si="234"/>
        <v>0</v>
      </c>
      <c r="BE580" s="377">
        <f t="shared" si="235"/>
        <v>0</v>
      </c>
      <c r="BF580" s="377">
        <f t="shared" si="236"/>
        <v>0</v>
      </c>
      <c r="BG580" s="328"/>
    </row>
    <row r="581" spans="2:59">
      <c r="B581" s="332">
        <v>566</v>
      </c>
      <c r="C581" s="350">
        <v>6598030.1666523702</v>
      </c>
      <c r="D581" s="350">
        <v>6574252.9658010788</v>
      </c>
      <c r="E581" s="350">
        <v>6548539.0887937583</v>
      </c>
      <c r="F581" s="350">
        <v>6517689.7888627294</v>
      </c>
      <c r="G581" s="350">
        <v>6478871.3247242589</v>
      </c>
      <c r="H581" s="348">
        <v>32717383.334834196</v>
      </c>
      <c r="I581" s="369"/>
      <c r="J581" s="350">
        <v>21694407.743339635</v>
      </c>
      <c r="K581" s="350">
        <v>21231923.953638807</v>
      </c>
      <c r="L581" s="350">
        <v>20756587.788275152</v>
      </c>
      <c r="M581" s="350">
        <v>20236215.90751566</v>
      </c>
      <c r="N581" s="350">
        <v>19643805.412589349</v>
      </c>
      <c r="O581" s="348">
        <v>103562940.80535859</v>
      </c>
      <c r="P581" s="369"/>
      <c r="Q581" s="350">
        <f t="shared" si="237"/>
        <v>15096377.576687265</v>
      </c>
      <c r="R581" s="350">
        <f t="shared" si="238"/>
        <v>14657670.987837728</v>
      </c>
      <c r="S581" s="350">
        <f t="shared" si="239"/>
        <v>14208048.699481394</v>
      </c>
      <c r="T581" s="350">
        <f t="shared" si="240"/>
        <v>13718526.11865293</v>
      </c>
      <c r="U581" s="350">
        <f t="shared" si="241"/>
        <v>13164934.08786509</v>
      </c>
      <c r="V581" s="350">
        <f t="shared" si="242"/>
        <v>70845557.4705244</v>
      </c>
      <c r="W581" s="365"/>
      <c r="X581" s="377">
        <f t="shared" si="220"/>
        <v>0</v>
      </c>
      <c r="Y581" s="377">
        <f t="shared" si="221"/>
        <v>0</v>
      </c>
      <c r="Z581" s="377">
        <f t="shared" si="222"/>
        <v>0</v>
      </c>
      <c r="AA581" s="377">
        <f t="shared" si="223"/>
        <v>0</v>
      </c>
      <c r="AB581" s="377">
        <f t="shared" si="224"/>
        <v>0</v>
      </c>
      <c r="AC581" s="377">
        <f t="shared" si="225"/>
        <v>0</v>
      </c>
      <c r="AD581" s="376"/>
      <c r="AE581" s="332">
        <v>566</v>
      </c>
      <c r="AF581" s="350">
        <v>482558.57749627164</v>
      </c>
      <c r="AG581" s="350">
        <v>480819.58996062278</v>
      </c>
      <c r="AH581" s="350">
        <v>478938.9601973216</v>
      </c>
      <c r="AI581" s="350">
        <v>476682.74221779284</v>
      </c>
      <c r="AJ581" s="350">
        <v>473843.6853535297</v>
      </c>
      <c r="AK581" s="348">
        <v>2392843.5552255386</v>
      </c>
      <c r="AL581" s="369"/>
      <c r="AM581" s="350">
        <v>15334792.537988838</v>
      </c>
      <c r="AN581" s="350">
        <v>15201880.172846148</v>
      </c>
      <c r="AO581" s="350">
        <v>15055921.630220218</v>
      </c>
      <c r="AP581" s="350">
        <v>14867902.562586509</v>
      </c>
      <c r="AQ581" s="350">
        <v>14612990.262484508</v>
      </c>
      <c r="AR581" s="348">
        <v>75073487.166126221</v>
      </c>
      <c r="AS581" s="369"/>
      <c r="AT581" s="350">
        <f t="shared" si="243"/>
        <v>14852233.960492566</v>
      </c>
      <c r="AU581" s="350">
        <f t="shared" si="226"/>
        <v>14721060.582885524</v>
      </c>
      <c r="AV581" s="350">
        <f t="shared" si="227"/>
        <v>14576982.670022896</v>
      </c>
      <c r="AW581" s="350">
        <f t="shared" si="228"/>
        <v>14391219.820368716</v>
      </c>
      <c r="AX581" s="350">
        <f t="shared" si="229"/>
        <v>14139146.577130977</v>
      </c>
      <c r="AY581" s="350">
        <f t="shared" si="230"/>
        <v>72680643.610900685</v>
      </c>
      <c r="AZ581" s="365"/>
      <c r="BA581" s="377">
        <f t="shared" si="231"/>
        <v>0</v>
      </c>
      <c r="BB581" s="377">
        <f t="shared" si="232"/>
        <v>0</v>
      </c>
      <c r="BC581" s="377">
        <f t="shared" si="233"/>
        <v>0</v>
      </c>
      <c r="BD581" s="377">
        <f t="shared" si="234"/>
        <v>0</v>
      </c>
      <c r="BE581" s="377">
        <f t="shared" si="235"/>
        <v>0</v>
      </c>
      <c r="BF581" s="377">
        <f t="shared" si="236"/>
        <v>0</v>
      </c>
      <c r="BG581" s="328"/>
    </row>
    <row r="582" spans="2:59">
      <c r="B582" s="332">
        <v>567</v>
      </c>
      <c r="C582" s="350">
        <v>5000115.7114288807</v>
      </c>
      <c r="D582" s="350">
        <v>4982096.8857267443</v>
      </c>
      <c r="E582" s="350">
        <v>4962610.4091301579</v>
      </c>
      <c r="F582" s="350">
        <v>4939232.2090650331</v>
      </c>
      <c r="G582" s="350">
        <v>4909814.8212189907</v>
      </c>
      <c r="H582" s="348">
        <v>24793870.036569804</v>
      </c>
      <c r="I582" s="369"/>
      <c r="J582" s="350">
        <v>16786157.716856331</v>
      </c>
      <c r="K582" s="350">
        <v>16433186.8167885</v>
      </c>
      <c r="L582" s="350">
        <v>16070171.7115224</v>
      </c>
      <c r="M582" s="350">
        <v>15672052.828104142</v>
      </c>
      <c r="N582" s="350">
        <v>15217792.057503082</v>
      </c>
      <c r="O582" s="348">
        <v>80179361.130774468</v>
      </c>
      <c r="P582" s="369"/>
      <c r="Q582" s="350">
        <f t="shared" si="237"/>
        <v>11786042.00542745</v>
      </c>
      <c r="R582" s="350">
        <f t="shared" si="238"/>
        <v>11451089.931061756</v>
      </c>
      <c r="S582" s="350">
        <f t="shared" si="239"/>
        <v>11107561.302392242</v>
      </c>
      <c r="T582" s="350">
        <f t="shared" si="240"/>
        <v>10732820.619039109</v>
      </c>
      <c r="U582" s="350">
        <f t="shared" si="241"/>
        <v>10307977.236284092</v>
      </c>
      <c r="V582" s="350">
        <f t="shared" si="242"/>
        <v>55385491.094204664</v>
      </c>
      <c r="W582" s="365"/>
      <c r="X582" s="377">
        <f t="shared" si="220"/>
        <v>0</v>
      </c>
      <c r="Y582" s="377">
        <f t="shared" si="221"/>
        <v>0</v>
      </c>
      <c r="Z582" s="377">
        <f t="shared" si="222"/>
        <v>0</v>
      </c>
      <c r="AA582" s="377">
        <f t="shared" si="223"/>
        <v>0</v>
      </c>
      <c r="AB582" s="377">
        <f t="shared" si="224"/>
        <v>0</v>
      </c>
      <c r="AC582" s="377">
        <f t="shared" si="225"/>
        <v>0</v>
      </c>
      <c r="AD582" s="376"/>
      <c r="AE582" s="332">
        <v>567</v>
      </c>
      <c r="AF582" s="350">
        <v>371317.43170912453</v>
      </c>
      <c r="AG582" s="350">
        <v>369979.32185961877</v>
      </c>
      <c r="AH582" s="350">
        <v>368532.22166024416</v>
      </c>
      <c r="AI582" s="350">
        <v>366796.11519648327</v>
      </c>
      <c r="AJ582" s="350">
        <v>364611.52797230834</v>
      </c>
      <c r="AK582" s="348">
        <v>1841236.6183977793</v>
      </c>
      <c r="AL582" s="369"/>
      <c r="AM582" s="350">
        <v>9997266.1448947676</v>
      </c>
      <c r="AN582" s="350">
        <v>9907984.452186387</v>
      </c>
      <c r="AO582" s="350">
        <v>9810251.2569312695</v>
      </c>
      <c r="AP582" s="350">
        <v>9685236.1251388919</v>
      </c>
      <c r="AQ582" s="350">
        <v>9516827.7227432672</v>
      </c>
      <c r="AR582" s="348">
        <v>48917565.701894581</v>
      </c>
      <c r="AS582" s="369"/>
      <c r="AT582" s="350">
        <f t="shared" si="243"/>
        <v>9625948.7131856438</v>
      </c>
      <c r="AU582" s="350">
        <f t="shared" si="226"/>
        <v>9538005.1303267684</v>
      </c>
      <c r="AV582" s="350">
        <f t="shared" si="227"/>
        <v>9441719.0352710262</v>
      </c>
      <c r="AW582" s="350">
        <f t="shared" si="228"/>
        <v>9318440.0099424087</v>
      </c>
      <c r="AX582" s="350">
        <f t="shared" si="229"/>
        <v>9152216.1947709583</v>
      </c>
      <c r="AY582" s="350">
        <f t="shared" si="230"/>
        <v>47076329.083496802</v>
      </c>
      <c r="AZ582" s="365"/>
      <c r="BA582" s="377">
        <f t="shared" si="231"/>
        <v>0</v>
      </c>
      <c r="BB582" s="377">
        <f t="shared" si="232"/>
        <v>0</v>
      </c>
      <c r="BC582" s="377">
        <f t="shared" si="233"/>
        <v>0</v>
      </c>
      <c r="BD582" s="377">
        <f t="shared" si="234"/>
        <v>0</v>
      </c>
      <c r="BE582" s="377">
        <f t="shared" si="235"/>
        <v>0</v>
      </c>
      <c r="BF582" s="377">
        <f t="shared" si="236"/>
        <v>0</v>
      </c>
      <c r="BG582" s="328"/>
    </row>
    <row r="583" spans="2:59">
      <c r="B583" s="332">
        <v>568</v>
      </c>
      <c r="C583" s="350">
        <v>5552483.5938777868</v>
      </c>
      <c r="D583" s="350">
        <v>5532474.2101222519</v>
      </c>
      <c r="E583" s="350">
        <v>5510835.0425810423</v>
      </c>
      <c r="F583" s="350">
        <v>5484874.2289104136</v>
      </c>
      <c r="G583" s="350">
        <v>5452207.0722251106</v>
      </c>
      <c r="H583" s="348">
        <v>27532874.147716604</v>
      </c>
      <c r="I583" s="369"/>
      <c r="J583" s="350">
        <v>20067046.077801913</v>
      </c>
      <c r="K583" s="350">
        <v>19664800.786690746</v>
      </c>
      <c r="L583" s="350">
        <v>19250145.559585847</v>
      </c>
      <c r="M583" s="350">
        <v>18792486.17081964</v>
      </c>
      <c r="N583" s="350">
        <v>18266088.687639192</v>
      </c>
      <c r="O583" s="348">
        <v>96040567.282537326</v>
      </c>
      <c r="P583" s="369"/>
      <c r="Q583" s="350">
        <f t="shared" si="237"/>
        <v>14514562.483924126</v>
      </c>
      <c r="R583" s="350">
        <f t="shared" si="238"/>
        <v>14132326.576568494</v>
      </c>
      <c r="S583" s="350">
        <f t="shared" si="239"/>
        <v>13739310.517004805</v>
      </c>
      <c r="T583" s="350">
        <f t="shared" si="240"/>
        <v>13307611.941909228</v>
      </c>
      <c r="U583" s="350">
        <f t="shared" si="241"/>
        <v>12813881.615414081</v>
      </c>
      <c r="V583" s="350">
        <f t="shared" si="242"/>
        <v>68507693.134820729</v>
      </c>
      <c r="W583" s="365"/>
      <c r="X583" s="377">
        <f t="shared" si="220"/>
        <v>0</v>
      </c>
      <c r="Y583" s="377">
        <f t="shared" si="221"/>
        <v>0</v>
      </c>
      <c r="Z583" s="377">
        <f t="shared" si="222"/>
        <v>0</v>
      </c>
      <c r="AA583" s="377">
        <f t="shared" si="223"/>
        <v>0</v>
      </c>
      <c r="AB583" s="377">
        <f t="shared" si="224"/>
        <v>0</v>
      </c>
      <c r="AC583" s="377">
        <f t="shared" si="225"/>
        <v>0</v>
      </c>
      <c r="AD583" s="376"/>
      <c r="AE583" s="332">
        <v>568</v>
      </c>
      <c r="AF583" s="350">
        <v>598894.39145595278</v>
      </c>
      <c r="AG583" s="350">
        <v>596736.16667148133</v>
      </c>
      <c r="AH583" s="350">
        <v>594402.15237732022</v>
      </c>
      <c r="AI583" s="350">
        <v>591602.00259891897</v>
      </c>
      <c r="AJ583" s="350">
        <v>588078.50242231123</v>
      </c>
      <c r="AK583" s="348">
        <v>2969713.2155259848</v>
      </c>
      <c r="AL583" s="369"/>
      <c r="AM583" s="350">
        <v>16026527.984339489</v>
      </c>
      <c r="AN583" s="350">
        <v>15883232.476949656</v>
      </c>
      <c r="AO583" s="350">
        <v>15726391.888774049</v>
      </c>
      <c r="AP583" s="350">
        <v>15525824.771842772</v>
      </c>
      <c r="AQ583" s="350">
        <v>15255708.190596426</v>
      </c>
      <c r="AR583" s="348">
        <v>78417685.312502384</v>
      </c>
      <c r="AS583" s="369"/>
      <c r="AT583" s="350">
        <f t="shared" si="243"/>
        <v>15427633.592883537</v>
      </c>
      <c r="AU583" s="350">
        <f t="shared" si="226"/>
        <v>15286496.310278175</v>
      </c>
      <c r="AV583" s="350">
        <f t="shared" si="227"/>
        <v>15131989.736396728</v>
      </c>
      <c r="AW583" s="350">
        <f t="shared" si="228"/>
        <v>14934222.769243853</v>
      </c>
      <c r="AX583" s="350">
        <f t="shared" si="229"/>
        <v>14667629.688174115</v>
      </c>
      <c r="AY583" s="350">
        <f t="shared" si="230"/>
        <v>75447972.096976399</v>
      </c>
      <c r="AZ583" s="365"/>
      <c r="BA583" s="377">
        <f t="shared" si="231"/>
        <v>0</v>
      </c>
      <c r="BB583" s="377">
        <f t="shared" si="232"/>
        <v>0</v>
      </c>
      <c r="BC583" s="377">
        <f t="shared" si="233"/>
        <v>0</v>
      </c>
      <c r="BD583" s="377">
        <f t="shared" si="234"/>
        <v>0</v>
      </c>
      <c r="BE583" s="377">
        <f t="shared" si="235"/>
        <v>0</v>
      </c>
      <c r="BF583" s="377">
        <f t="shared" si="236"/>
        <v>0</v>
      </c>
      <c r="BG583" s="328"/>
    </row>
    <row r="584" spans="2:59">
      <c r="B584" s="332">
        <v>569</v>
      </c>
      <c r="C584" s="350">
        <v>3416700.2346749278</v>
      </c>
      <c r="D584" s="350">
        <v>3404387.534417944</v>
      </c>
      <c r="E584" s="350">
        <v>3391071.9527388318</v>
      </c>
      <c r="F584" s="350">
        <v>3375097.0621045581</v>
      </c>
      <c r="G584" s="350">
        <v>3354995.4481104342</v>
      </c>
      <c r="H584" s="348">
        <v>16942252.232046697</v>
      </c>
      <c r="I584" s="369"/>
      <c r="J584" s="350">
        <v>14470302.92642149</v>
      </c>
      <c r="K584" s="350">
        <v>14207487.882001627</v>
      </c>
      <c r="L584" s="350">
        <v>13935167.753513688</v>
      </c>
      <c r="M584" s="350">
        <v>13630401.253595656</v>
      </c>
      <c r="N584" s="350">
        <v>13273824.840590347</v>
      </c>
      <c r="O584" s="348">
        <v>69517184.656122804</v>
      </c>
      <c r="P584" s="369"/>
      <c r="Q584" s="350">
        <f t="shared" si="237"/>
        <v>11053602.691746563</v>
      </c>
      <c r="R584" s="350">
        <f t="shared" si="238"/>
        <v>10803100.347583683</v>
      </c>
      <c r="S584" s="350">
        <f t="shared" si="239"/>
        <v>10544095.800774857</v>
      </c>
      <c r="T584" s="350">
        <f t="shared" si="240"/>
        <v>10255304.191491097</v>
      </c>
      <c r="U584" s="350">
        <f t="shared" si="241"/>
        <v>9918829.3924799114</v>
      </c>
      <c r="V584" s="350">
        <f t="shared" si="242"/>
        <v>52574932.42407611</v>
      </c>
      <c r="W584" s="365"/>
      <c r="X584" s="377">
        <f t="shared" si="220"/>
        <v>0</v>
      </c>
      <c r="Y584" s="377">
        <f t="shared" si="221"/>
        <v>0</v>
      </c>
      <c r="Z584" s="377">
        <f t="shared" si="222"/>
        <v>0</v>
      </c>
      <c r="AA584" s="377">
        <f t="shared" si="223"/>
        <v>0</v>
      </c>
      <c r="AB584" s="377">
        <f t="shared" si="224"/>
        <v>0</v>
      </c>
      <c r="AC584" s="377">
        <f t="shared" si="225"/>
        <v>0</v>
      </c>
      <c r="AD584" s="376"/>
      <c r="AE584" s="332">
        <v>569</v>
      </c>
      <c r="AF584" s="350">
        <v>255705.4031817473</v>
      </c>
      <c r="AG584" s="350">
        <v>254783.92228871616</v>
      </c>
      <c r="AH584" s="350">
        <v>253787.38587990211</v>
      </c>
      <c r="AI584" s="350">
        <v>252591.82713320106</v>
      </c>
      <c r="AJ584" s="350">
        <v>251087.42494456124</v>
      </c>
      <c r="AK584" s="348">
        <v>1267955.9634281278</v>
      </c>
      <c r="AL584" s="369"/>
      <c r="AM584" s="350">
        <v>8529145.0528588705</v>
      </c>
      <c r="AN584" s="350">
        <v>8455808.6149721313</v>
      </c>
      <c r="AO584" s="350">
        <v>8375203.9255972067</v>
      </c>
      <c r="AP584" s="350">
        <v>8271174.3130148454</v>
      </c>
      <c r="AQ584" s="350">
        <v>8129890.4933881015</v>
      </c>
      <c r="AR584" s="348">
        <v>41761222.399831153</v>
      </c>
      <c r="AS584" s="369"/>
      <c r="AT584" s="350">
        <f t="shared" si="243"/>
        <v>8273439.6496771229</v>
      </c>
      <c r="AU584" s="350">
        <f t="shared" si="226"/>
        <v>8201024.6926834155</v>
      </c>
      <c r="AV584" s="350">
        <f t="shared" si="227"/>
        <v>8121416.5397173045</v>
      </c>
      <c r="AW584" s="350">
        <f t="shared" si="228"/>
        <v>8018582.4858816443</v>
      </c>
      <c r="AX584" s="350">
        <f t="shared" si="229"/>
        <v>7878803.0684435405</v>
      </c>
      <c r="AY584" s="350">
        <f t="shared" si="230"/>
        <v>40493266.436403029</v>
      </c>
      <c r="AZ584" s="365"/>
      <c r="BA584" s="377">
        <f t="shared" si="231"/>
        <v>0</v>
      </c>
      <c r="BB584" s="377">
        <f t="shared" si="232"/>
        <v>0</v>
      </c>
      <c r="BC584" s="377">
        <f t="shared" si="233"/>
        <v>0</v>
      </c>
      <c r="BD584" s="377">
        <f t="shared" si="234"/>
        <v>0</v>
      </c>
      <c r="BE584" s="377">
        <f t="shared" si="235"/>
        <v>0</v>
      </c>
      <c r="BF584" s="377">
        <f t="shared" si="236"/>
        <v>0</v>
      </c>
      <c r="BG584" s="328"/>
    </row>
    <row r="585" spans="2:59">
      <c r="B585" s="332">
        <v>570</v>
      </c>
      <c r="C585" s="350">
        <v>6645411.2262223586</v>
      </c>
      <c r="D585" s="350">
        <v>6621463.2791117309</v>
      </c>
      <c r="E585" s="350">
        <v>6595564.7483960316</v>
      </c>
      <c r="F585" s="350">
        <v>6564493.9168137666</v>
      </c>
      <c r="G585" s="350">
        <v>6525396.6937252302</v>
      </c>
      <c r="H585" s="348">
        <v>32952329.864269115</v>
      </c>
      <c r="I585" s="369"/>
      <c r="J585" s="350">
        <v>18591334.146826692</v>
      </c>
      <c r="K585" s="350">
        <v>18149017.029740542</v>
      </c>
      <c r="L585" s="350">
        <v>17696624.900523558</v>
      </c>
      <c r="M585" s="350">
        <v>17208062.938262925</v>
      </c>
      <c r="N585" s="350">
        <v>16661552.556625066</v>
      </c>
      <c r="O585" s="348">
        <v>88306591.571978778</v>
      </c>
      <c r="P585" s="369"/>
      <c r="Q585" s="350">
        <f t="shared" si="237"/>
        <v>11945922.920604333</v>
      </c>
      <c r="R585" s="350">
        <f t="shared" si="238"/>
        <v>11527553.75062881</v>
      </c>
      <c r="S585" s="350">
        <f t="shared" si="239"/>
        <v>11101060.152127527</v>
      </c>
      <c r="T585" s="350">
        <f t="shared" si="240"/>
        <v>10643569.021449158</v>
      </c>
      <c r="U585" s="350">
        <f t="shared" si="241"/>
        <v>10136155.862899836</v>
      </c>
      <c r="V585" s="350">
        <f t="shared" si="242"/>
        <v>55354261.707709663</v>
      </c>
      <c r="W585" s="365"/>
      <c r="X585" s="377">
        <f t="shared" si="220"/>
        <v>0</v>
      </c>
      <c r="Y585" s="377">
        <f t="shared" si="221"/>
        <v>0</v>
      </c>
      <c r="Z585" s="377">
        <f t="shared" si="222"/>
        <v>0</v>
      </c>
      <c r="AA585" s="377">
        <f t="shared" si="223"/>
        <v>0</v>
      </c>
      <c r="AB585" s="377">
        <f t="shared" si="224"/>
        <v>0</v>
      </c>
      <c r="AC585" s="377">
        <f t="shared" si="225"/>
        <v>0</v>
      </c>
      <c r="AD585" s="376"/>
      <c r="AE585" s="332">
        <v>570</v>
      </c>
      <c r="AF585" s="350">
        <v>376487.57501806156</v>
      </c>
      <c r="AG585" s="350">
        <v>375130.83361750463</v>
      </c>
      <c r="AH585" s="350">
        <v>373663.58430910844</v>
      </c>
      <c r="AI585" s="350">
        <v>371903.30467584159</v>
      </c>
      <c r="AJ585" s="350">
        <v>369688.29973341443</v>
      </c>
      <c r="AK585" s="348">
        <v>1866873.5973539306</v>
      </c>
      <c r="AL585" s="369"/>
      <c r="AM585" s="350">
        <v>10373146.658293512</v>
      </c>
      <c r="AN585" s="350">
        <v>10280915.98248337</v>
      </c>
      <c r="AO585" s="350">
        <v>10179907.713234374</v>
      </c>
      <c r="AP585" s="350">
        <v>10050570.251250986</v>
      </c>
      <c r="AQ585" s="350">
        <v>9876174.4236550685</v>
      </c>
      <c r="AR585" s="348">
        <v>50760715.028917305</v>
      </c>
      <c r="AS585" s="369"/>
      <c r="AT585" s="350">
        <f t="shared" si="243"/>
        <v>9996659.0832754504</v>
      </c>
      <c r="AU585" s="350">
        <f t="shared" si="226"/>
        <v>9905785.1488658655</v>
      </c>
      <c r="AV585" s="350">
        <f t="shared" si="227"/>
        <v>9806244.1289252657</v>
      </c>
      <c r="AW585" s="350">
        <f t="shared" si="228"/>
        <v>9678666.9465751443</v>
      </c>
      <c r="AX585" s="350">
        <f t="shared" si="229"/>
        <v>9506486.1239216533</v>
      </c>
      <c r="AY585" s="350">
        <f t="shared" si="230"/>
        <v>48893841.431563377</v>
      </c>
      <c r="AZ585" s="365"/>
      <c r="BA585" s="377">
        <f t="shared" si="231"/>
        <v>0</v>
      </c>
      <c r="BB585" s="377">
        <f t="shared" si="232"/>
        <v>0</v>
      </c>
      <c r="BC585" s="377">
        <f t="shared" si="233"/>
        <v>0</v>
      </c>
      <c r="BD585" s="377">
        <f t="shared" si="234"/>
        <v>0</v>
      </c>
      <c r="BE585" s="377">
        <f t="shared" si="235"/>
        <v>0</v>
      </c>
      <c r="BF585" s="377">
        <f t="shared" si="236"/>
        <v>0</v>
      </c>
      <c r="BG585" s="328"/>
    </row>
    <row r="586" spans="2:59">
      <c r="B586" s="332">
        <v>571</v>
      </c>
      <c r="C586" s="350">
        <v>4014489.7180890786</v>
      </c>
      <c r="D586" s="350">
        <v>4000022.7747845608</v>
      </c>
      <c r="E586" s="350">
        <v>3984377.4848645749</v>
      </c>
      <c r="F586" s="350">
        <v>3965607.6104845977</v>
      </c>
      <c r="G586" s="350">
        <v>3941988.9968651086</v>
      </c>
      <c r="H586" s="348">
        <v>19906486.585087918</v>
      </c>
      <c r="I586" s="369"/>
      <c r="J586" s="350">
        <v>13275065.910869293</v>
      </c>
      <c r="K586" s="350">
        <v>12993130.142949257</v>
      </c>
      <c r="L586" s="350">
        <v>12703308.135700518</v>
      </c>
      <c r="M586" s="350">
        <v>12385872.17185005</v>
      </c>
      <c r="N586" s="350">
        <v>12024267.35736306</v>
      </c>
      <c r="O586" s="348">
        <v>63381643.718732178</v>
      </c>
      <c r="P586" s="369"/>
      <c r="Q586" s="350">
        <f t="shared" si="237"/>
        <v>9260576.1927802153</v>
      </c>
      <c r="R586" s="350">
        <f t="shared" si="238"/>
        <v>8993107.3681646958</v>
      </c>
      <c r="S586" s="350">
        <f t="shared" si="239"/>
        <v>8718930.6508359425</v>
      </c>
      <c r="T586" s="350">
        <f t="shared" si="240"/>
        <v>8420264.5613654517</v>
      </c>
      <c r="U586" s="350">
        <f t="shared" si="241"/>
        <v>8082278.3604979515</v>
      </c>
      <c r="V586" s="350">
        <f t="shared" si="242"/>
        <v>43475157.13364426</v>
      </c>
      <c r="W586" s="365"/>
      <c r="X586" s="377">
        <f t="shared" si="220"/>
        <v>0</v>
      </c>
      <c r="Y586" s="377">
        <f t="shared" si="221"/>
        <v>0</v>
      </c>
      <c r="Z586" s="377">
        <f t="shared" si="222"/>
        <v>0</v>
      </c>
      <c r="AA586" s="377">
        <f t="shared" si="223"/>
        <v>0</v>
      </c>
      <c r="AB586" s="377">
        <f t="shared" si="224"/>
        <v>0</v>
      </c>
      <c r="AC586" s="377">
        <f t="shared" si="225"/>
        <v>0</v>
      </c>
      <c r="AD586" s="376"/>
      <c r="AE586" s="332">
        <v>571</v>
      </c>
      <c r="AF586" s="350">
        <v>361391.36785040295</v>
      </c>
      <c r="AG586" s="350">
        <v>360089.02837600454</v>
      </c>
      <c r="AH586" s="350">
        <v>358680.61208361178</v>
      </c>
      <c r="AI586" s="350">
        <v>356990.91524717573</v>
      </c>
      <c r="AJ586" s="350">
        <v>354864.72644559108</v>
      </c>
      <c r="AK586" s="348">
        <v>1792016.650002786</v>
      </c>
      <c r="AL586" s="369"/>
      <c r="AM586" s="350">
        <v>10924414.46111371</v>
      </c>
      <c r="AN586" s="350">
        <v>10828911.00630274</v>
      </c>
      <c r="AO586" s="350">
        <v>10724130.225704234</v>
      </c>
      <c r="AP586" s="350">
        <v>10589428.873496508</v>
      </c>
      <c r="AQ586" s="350">
        <v>10407140.488748141</v>
      </c>
      <c r="AR586" s="348">
        <v>53474025.055365331</v>
      </c>
      <c r="AS586" s="369"/>
      <c r="AT586" s="350">
        <f t="shared" si="243"/>
        <v>10563023.093263308</v>
      </c>
      <c r="AU586" s="350">
        <f t="shared" si="226"/>
        <v>10468821.977926737</v>
      </c>
      <c r="AV586" s="350">
        <f t="shared" si="227"/>
        <v>10365449.613620622</v>
      </c>
      <c r="AW586" s="350">
        <f t="shared" si="228"/>
        <v>10232437.958249332</v>
      </c>
      <c r="AX586" s="350">
        <f t="shared" si="229"/>
        <v>10052275.76230255</v>
      </c>
      <c r="AY586" s="350">
        <f t="shared" si="230"/>
        <v>51682008.405362546</v>
      </c>
      <c r="AZ586" s="365"/>
      <c r="BA586" s="377">
        <f t="shared" si="231"/>
        <v>0</v>
      </c>
      <c r="BB586" s="377">
        <f t="shared" si="232"/>
        <v>0</v>
      </c>
      <c r="BC586" s="377">
        <f t="shared" si="233"/>
        <v>0</v>
      </c>
      <c r="BD586" s="377">
        <f t="shared" si="234"/>
        <v>0</v>
      </c>
      <c r="BE586" s="377">
        <f t="shared" si="235"/>
        <v>0</v>
      </c>
      <c r="BF586" s="377">
        <f t="shared" si="236"/>
        <v>0</v>
      </c>
      <c r="BG586" s="328"/>
    </row>
    <row r="587" spans="2:59">
      <c r="B587" s="332">
        <v>572</v>
      </c>
      <c r="C587" s="350">
        <v>5570987.8054297958</v>
      </c>
      <c r="D587" s="350">
        <v>5550911.7383849239</v>
      </c>
      <c r="E587" s="350">
        <v>5529200.4561355449</v>
      </c>
      <c r="F587" s="350">
        <v>5503153.1254351754</v>
      </c>
      <c r="G587" s="350">
        <v>5470377.1021556929</v>
      </c>
      <c r="H587" s="348">
        <v>27624630.227541134</v>
      </c>
      <c r="I587" s="369"/>
      <c r="J587" s="350">
        <v>24508594.352273051</v>
      </c>
      <c r="K587" s="350">
        <v>24073478.681018949</v>
      </c>
      <c r="L587" s="350">
        <v>23622059.510070696</v>
      </c>
      <c r="M587" s="350">
        <v>23115157.232221968</v>
      </c>
      <c r="N587" s="350">
        <v>22519678.773238193</v>
      </c>
      <c r="O587" s="348">
        <v>117838968.54882286</v>
      </c>
      <c r="P587" s="369"/>
      <c r="Q587" s="350">
        <f t="shared" si="237"/>
        <v>18937606.546843253</v>
      </c>
      <c r="R587" s="350">
        <f t="shared" si="238"/>
        <v>18522566.942634024</v>
      </c>
      <c r="S587" s="350">
        <f t="shared" si="239"/>
        <v>18092859.053935152</v>
      </c>
      <c r="T587" s="350">
        <f t="shared" si="240"/>
        <v>17612004.106786795</v>
      </c>
      <c r="U587" s="350">
        <f t="shared" si="241"/>
        <v>17049301.6710825</v>
      </c>
      <c r="V587" s="350">
        <f t="shared" si="242"/>
        <v>90214338.321281731</v>
      </c>
      <c r="W587" s="365"/>
      <c r="X587" s="377">
        <f t="shared" si="220"/>
        <v>0</v>
      </c>
      <c r="Y587" s="377">
        <f t="shared" si="221"/>
        <v>0</v>
      </c>
      <c r="Z587" s="377">
        <f t="shared" si="222"/>
        <v>0</v>
      </c>
      <c r="AA587" s="377">
        <f t="shared" si="223"/>
        <v>0</v>
      </c>
      <c r="AB587" s="377">
        <f t="shared" si="224"/>
        <v>0</v>
      </c>
      <c r="AC587" s="377">
        <f t="shared" si="225"/>
        <v>0</v>
      </c>
      <c r="AD587" s="376"/>
      <c r="AE587" s="332">
        <v>572</v>
      </c>
      <c r="AF587" s="350">
        <v>410908.40480164421</v>
      </c>
      <c r="AG587" s="350">
        <v>409427.62168521748</v>
      </c>
      <c r="AH587" s="350">
        <v>407826.22734244139</v>
      </c>
      <c r="AI587" s="350">
        <v>405905.01202457654</v>
      </c>
      <c r="AJ587" s="350">
        <v>403487.4975887367</v>
      </c>
      <c r="AK587" s="348">
        <v>2037554.7634426164</v>
      </c>
      <c r="AL587" s="369"/>
      <c r="AM587" s="350">
        <v>10249830.677782722</v>
      </c>
      <c r="AN587" s="350">
        <v>10156891.785294442</v>
      </c>
      <c r="AO587" s="350">
        <v>10055316.49854839</v>
      </c>
      <c r="AP587" s="350">
        <v>9925843.9317168146</v>
      </c>
      <c r="AQ587" s="350">
        <v>9751997.2367336433</v>
      </c>
      <c r="AR587" s="348">
        <v>50139880.130076014</v>
      </c>
      <c r="AS587" s="369"/>
      <c r="AT587" s="350">
        <f t="shared" si="243"/>
        <v>9838922.2729810774</v>
      </c>
      <c r="AU587" s="350">
        <f t="shared" si="226"/>
        <v>9747464.1636092234</v>
      </c>
      <c r="AV587" s="350">
        <f t="shared" si="227"/>
        <v>9647490.2712059487</v>
      </c>
      <c r="AW587" s="350">
        <f t="shared" si="228"/>
        <v>9519938.9196922388</v>
      </c>
      <c r="AX587" s="350">
        <f t="shared" si="229"/>
        <v>9348509.7391449064</v>
      </c>
      <c r="AY587" s="350">
        <f t="shared" si="230"/>
        <v>48102325.3666334</v>
      </c>
      <c r="AZ587" s="365"/>
      <c r="BA587" s="377">
        <f t="shared" si="231"/>
        <v>0</v>
      </c>
      <c r="BB587" s="377">
        <f t="shared" si="232"/>
        <v>0</v>
      </c>
      <c r="BC587" s="377">
        <f t="shared" si="233"/>
        <v>0</v>
      </c>
      <c r="BD587" s="377">
        <f t="shared" si="234"/>
        <v>0</v>
      </c>
      <c r="BE587" s="377">
        <f t="shared" si="235"/>
        <v>0</v>
      </c>
      <c r="BF587" s="377">
        <f t="shared" si="236"/>
        <v>0</v>
      </c>
      <c r="BG587" s="328"/>
    </row>
    <row r="588" spans="2:59">
      <c r="B588" s="332">
        <v>573</v>
      </c>
      <c r="C588" s="350">
        <v>5619689.5838527195</v>
      </c>
      <c r="D588" s="350">
        <v>5599438.0110980943</v>
      </c>
      <c r="E588" s="350">
        <v>5577536.9280280508</v>
      </c>
      <c r="F588" s="350">
        <v>5551261.8906134339</v>
      </c>
      <c r="G588" s="350">
        <v>5518199.3381439615</v>
      </c>
      <c r="H588" s="348">
        <v>27866125.751736261</v>
      </c>
      <c r="I588" s="369"/>
      <c r="J588" s="350">
        <v>15896090.379792865</v>
      </c>
      <c r="K588" s="350">
        <v>15520788.57198156</v>
      </c>
      <c r="L588" s="350">
        <v>15136813.31925502</v>
      </c>
      <c r="M588" s="350">
        <v>14721759.472250141</v>
      </c>
      <c r="N588" s="350">
        <v>14256920.125307959</v>
      </c>
      <c r="O588" s="348">
        <v>75532371.868587539</v>
      </c>
      <c r="P588" s="369"/>
      <c r="Q588" s="350">
        <f t="shared" si="237"/>
        <v>10276400.795940146</v>
      </c>
      <c r="R588" s="350">
        <f t="shared" si="238"/>
        <v>9921350.5608834662</v>
      </c>
      <c r="S588" s="350">
        <f t="shared" si="239"/>
        <v>9559276.3912269697</v>
      </c>
      <c r="T588" s="350">
        <f t="shared" si="240"/>
        <v>9170497.5816367082</v>
      </c>
      <c r="U588" s="350">
        <f t="shared" si="241"/>
        <v>8738720.7871639971</v>
      </c>
      <c r="V588" s="350">
        <f t="shared" si="242"/>
        <v>47666246.116851278</v>
      </c>
      <c r="W588" s="365"/>
      <c r="X588" s="377">
        <f t="shared" si="220"/>
        <v>0</v>
      </c>
      <c r="Y588" s="377">
        <f t="shared" si="221"/>
        <v>0</v>
      </c>
      <c r="Z588" s="377">
        <f t="shared" si="222"/>
        <v>0</v>
      </c>
      <c r="AA588" s="377">
        <f t="shared" si="223"/>
        <v>0</v>
      </c>
      <c r="AB588" s="377">
        <f t="shared" si="224"/>
        <v>0</v>
      </c>
      <c r="AC588" s="377">
        <f t="shared" si="225"/>
        <v>0</v>
      </c>
      <c r="AD588" s="376"/>
      <c r="AE588" s="332">
        <v>573</v>
      </c>
      <c r="AF588" s="350">
        <v>375373.18720706005</v>
      </c>
      <c r="AG588" s="350">
        <v>374020.46170551225</v>
      </c>
      <c r="AH588" s="350">
        <v>372557.55539500876</v>
      </c>
      <c r="AI588" s="350">
        <v>370802.48611740163</v>
      </c>
      <c r="AJ588" s="350">
        <v>368594.03749893553</v>
      </c>
      <c r="AK588" s="348">
        <v>1861347.7279239183</v>
      </c>
      <c r="AL588" s="369"/>
      <c r="AM588" s="350">
        <v>12259712.900759354</v>
      </c>
      <c r="AN588" s="350">
        <v>12153936.759790905</v>
      </c>
      <c r="AO588" s="350">
        <v>12037720.715661218</v>
      </c>
      <c r="AP588" s="350">
        <v>11887853.045108266</v>
      </c>
      <c r="AQ588" s="350">
        <v>11684466.417561535</v>
      </c>
      <c r="AR588" s="348">
        <v>60023689.838881284</v>
      </c>
      <c r="AS588" s="369"/>
      <c r="AT588" s="350">
        <f t="shared" si="243"/>
        <v>11884339.713552294</v>
      </c>
      <c r="AU588" s="350">
        <f t="shared" si="226"/>
        <v>11779916.298085393</v>
      </c>
      <c r="AV588" s="350">
        <f t="shared" si="227"/>
        <v>11665163.160266209</v>
      </c>
      <c r="AW588" s="350">
        <f t="shared" si="228"/>
        <v>11517050.558990864</v>
      </c>
      <c r="AX588" s="350">
        <f t="shared" si="229"/>
        <v>11315872.380062599</v>
      </c>
      <c r="AY588" s="350">
        <f t="shared" si="230"/>
        <v>58162342.110957369</v>
      </c>
      <c r="AZ588" s="365"/>
      <c r="BA588" s="377">
        <f t="shared" si="231"/>
        <v>0</v>
      </c>
      <c r="BB588" s="377">
        <f t="shared" si="232"/>
        <v>0</v>
      </c>
      <c r="BC588" s="377">
        <f t="shared" si="233"/>
        <v>0</v>
      </c>
      <c r="BD588" s="377">
        <f t="shared" si="234"/>
        <v>0</v>
      </c>
      <c r="BE588" s="377">
        <f t="shared" si="235"/>
        <v>0</v>
      </c>
      <c r="BF588" s="377">
        <f t="shared" si="236"/>
        <v>0</v>
      </c>
      <c r="BG588" s="328"/>
    </row>
    <row r="589" spans="2:59">
      <c r="B589" s="332">
        <v>574</v>
      </c>
      <c r="C589" s="350">
        <v>7440441.120244123</v>
      </c>
      <c r="D589" s="350">
        <v>7413628.1384192724</v>
      </c>
      <c r="E589" s="350">
        <v>7384631.2131228186</v>
      </c>
      <c r="F589" s="350">
        <v>7349843.1939807311</v>
      </c>
      <c r="G589" s="350">
        <v>7306068.5385903418</v>
      </c>
      <c r="H589" s="348">
        <v>36894612.204357289</v>
      </c>
      <c r="I589" s="369"/>
      <c r="J589" s="350">
        <v>21924498.154003911</v>
      </c>
      <c r="K589" s="350">
        <v>21421271.252372749</v>
      </c>
      <c r="L589" s="350">
        <v>20905787.477057938</v>
      </c>
      <c r="M589" s="350">
        <v>20346679.594885565</v>
      </c>
      <c r="N589" s="350">
        <v>19717719.727851026</v>
      </c>
      <c r="O589" s="348">
        <v>104315956.20617118</v>
      </c>
      <c r="P589" s="369"/>
      <c r="Q589" s="350">
        <f t="shared" si="237"/>
        <v>14484057.033759788</v>
      </c>
      <c r="R589" s="350">
        <f t="shared" si="238"/>
        <v>14007643.113953477</v>
      </c>
      <c r="S589" s="350">
        <f t="shared" si="239"/>
        <v>13521156.263935119</v>
      </c>
      <c r="T589" s="350">
        <f t="shared" si="240"/>
        <v>12996836.400904834</v>
      </c>
      <c r="U589" s="350">
        <f t="shared" si="241"/>
        <v>12411651.189260684</v>
      </c>
      <c r="V589" s="350">
        <f t="shared" si="242"/>
        <v>67421344.001813889</v>
      </c>
      <c r="W589" s="365"/>
      <c r="X589" s="377">
        <f t="shared" si="220"/>
        <v>0</v>
      </c>
      <c r="Y589" s="377">
        <f t="shared" si="221"/>
        <v>0</v>
      </c>
      <c r="Z589" s="377">
        <f t="shared" si="222"/>
        <v>0</v>
      </c>
      <c r="AA589" s="377">
        <f t="shared" si="223"/>
        <v>0</v>
      </c>
      <c r="AB589" s="377">
        <f t="shared" si="224"/>
        <v>0</v>
      </c>
      <c r="AC589" s="377">
        <f t="shared" si="225"/>
        <v>0</v>
      </c>
      <c r="AD589" s="376"/>
      <c r="AE589" s="332">
        <v>574</v>
      </c>
      <c r="AF589" s="350">
        <v>510936.19829121599</v>
      </c>
      <c r="AG589" s="350">
        <v>509094.94684159895</v>
      </c>
      <c r="AH589" s="350">
        <v>507103.72366898431</v>
      </c>
      <c r="AI589" s="350">
        <v>504714.82522072172</v>
      </c>
      <c r="AJ589" s="350">
        <v>501708.81312476972</v>
      </c>
      <c r="AK589" s="348">
        <v>2533558.5071472907</v>
      </c>
      <c r="AL589" s="369"/>
      <c r="AM589" s="350">
        <v>13990871.878762646</v>
      </c>
      <c r="AN589" s="350">
        <v>13866329.021181557</v>
      </c>
      <c r="AO589" s="350">
        <v>13729950.287926875</v>
      </c>
      <c r="AP589" s="350">
        <v>13555370.002247863</v>
      </c>
      <c r="AQ589" s="350">
        <v>13320028.86857355</v>
      </c>
      <c r="AR589" s="348">
        <v>68462550.058692485</v>
      </c>
      <c r="AS589" s="369"/>
      <c r="AT589" s="350">
        <f t="shared" si="243"/>
        <v>13479935.68047143</v>
      </c>
      <c r="AU589" s="350">
        <f t="shared" si="226"/>
        <v>13357234.074339958</v>
      </c>
      <c r="AV589" s="350">
        <f t="shared" si="227"/>
        <v>13222846.56425789</v>
      </c>
      <c r="AW589" s="350">
        <f t="shared" si="228"/>
        <v>13050655.177027142</v>
      </c>
      <c r="AX589" s="350">
        <f t="shared" si="229"/>
        <v>12818320.05544878</v>
      </c>
      <c r="AY589" s="350">
        <f t="shared" si="230"/>
        <v>65928991.551545195</v>
      </c>
      <c r="AZ589" s="365"/>
      <c r="BA589" s="377">
        <f t="shared" si="231"/>
        <v>0</v>
      </c>
      <c r="BB589" s="377">
        <f t="shared" si="232"/>
        <v>0</v>
      </c>
      <c r="BC589" s="377">
        <f t="shared" si="233"/>
        <v>0</v>
      </c>
      <c r="BD589" s="377">
        <f t="shared" si="234"/>
        <v>0</v>
      </c>
      <c r="BE589" s="377">
        <f t="shared" si="235"/>
        <v>0</v>
      </c>
      <c r="BF589" s="377">
        <f t="shared" si="236"/>
        <v>0</v>
      </c>
      <c r="BG589" s="328"/>
    </row>
    <row r="590" spans="2:59">
      <c r="B590" s="332">
        <v>575</v>
      </c>
      <c r="C590" s="350">
        <v>5226044.9981961865</v>
      </c>
      <c r="D590" s="350">
        <v>5207211.9952481184</v>
      </c>
      <c r="E590" s="350">
        <v>5186845.0258763321</v>
      </c>
      <c r="F590" s="350">
        <v>5162410.4862439968</v>
      </c>
      <c r="G590" s="350">
        <v>5131663.8792682001</v>
      </c>
      <c r="H590" s="348">
        <v>25914176.384832833</v>
      </c>
      <c r="I590" s="369"/>
      <c r="J590" s="350">
        <v>18365933.008750249</v>
      </c>
      <c r="K590" s="350">
        <v>17991093.806835108</v>
      </c>
      <c r="L590" s="350">
        <v>17605033.345526055</v>
      </c>
      <c r="M590" s="350">
        <v>17179967.071917012</v>
      </c>
      <c r="N590" s="350">
        <v>16692540.778093796</v>
      </c>
      <c r="O590" s="348">
        <v>87834568.011122227</v>
      </c>
      <c r="P590" s="369"/>
      <c r="Q590" s="350">
        <f t="shared" si="237"/>
        <v>13139888.010554062</v>
      </c>
      <c r="R590" s="350">
        <f t="shared" si="238"/>
        <v>12783881.811586989</v>
      </c>
      <c r="S590" s="350">
        <f t="shared" si="239"/>
        <v>12418188.319649722</v>
      </c>
      <c r="T590" s="350">
        <f t="shared" si="240"/>
        <v>12017556.585673016</v>
      </c>
      <c r="U590" s="350">
        <f t="shared" si="241"/>
        <v>11560876.898825597</v>
      </c>
      <c r="V590" s="350">
        <f t="shared" si="242"/>
        <v>61920391.626289397</v>
      </c>
      <c r="W590" s="365"/>
      <c r="X590" s="377">
        <f t="shared" si="220"/>
        <v>0</v>
      </c>
      <c r="Y590" s="377">
        <f t="shared" si="221"/>
        <v>0</v>
      </c>
      <c r="Z590" s="377">
        <f t="shared" si="222"/>
        <v>0</v>
      </c>
      <c r="AA590" s="377">
        <f t="shared" si="223"/>
        <v>0</v>
      </c>
      <c r="AB590" s="377">
        <f t="shared" si="224"/>
        <v>0</v>
      </c>
      <c r="AC590" s="377">
        <f t="shared" si="225"/>
        <v>0</v>
      </c>
      <c r="AD590" s="376"/>
      <c r="AE590" s="332">
        <v>575</v>
      </c>
      <c r="AF590" s="350">
        <v>429028.66939543211</v>
      </c>
      <c r="AG590" s="350">
        <v>427482.58661231061</v>
      </c>
      <c r="AH590" s="350">
        <v>425810.57388141914</v>
      </c>
      <c r="AI590" s="350">
        <v>423804.63669003075</v>
      </c>
      <c r="AJ590" s="350">
        <v>421280.51455105125</v>
      </c>
      <c r="AK590" s="348">
        <v>2127406.9811302442</v>
      </c>
      <c r="AL590" s="369"/>
      <c r="AM590" s="350">
        <v>14711878.70994358</v>
      </c>
      <c r="AN590" s="350">
        <v>14585939.501832584</v>
      </c>
      <c r="AO590" s="350">
        <v>14447451.920531448</v>
      </c>
      <c r="AP590" s="350">
        <v>14268529.369952429</v>
      </c>
      <c r="AQ590" s="350">
        <v>14025301.249830455</v>
      </c>
      <c r="AR590" s="348">
        <v>72039100.752090499</v>
      </c>
      <c r="AS590" s="369"/>
      <c r="AT590" s="350">
        <f t="shared" si="243"/>
        <v>14282850.040548148</v>
      </c>
      <c r="AU590" s="350">
        <f t="shared" si="226"/>
        <v>14158456.915220274</v>
      </c>
      <c r="AV590" s="350">
        <f t="shared" si="227"/>
        <v>14021641.346650029</v>
      </c>
      <c r="AW590" s="350">
        <f t="shared" si="228"/>
        <v>13844724.733262399</v>
      </c>
      <c r="AX590" s="350">
        <f t="shared" si="229"/>
        <v>13604020.735279404</v>
      </c>
      <c r="AY590" s="350">
        <f t="shared" si="230"/>
        <v>69911693.770960256</v>
      </c>
      <c r="AZ590" s="365"/>
      <c r="BA590" s="377">
        <f t="shared" si="231"/>
        <v>0</v>
      </c>
      <c r="BB590" s="377">
        <f t="shared" si="232"/>
        <v>0</v>
      </c>
      <c r="BC590" s="377">
        <f t="shared" si="233"/>
        <v>0</v>
      </c>
      <c r="BD590" s="377">
        <f t="shared" si="234"/>
        <v>0</v>
      </c>
      <c r="BE590" s="377">
        <f t="shared" si="235"/>
        <v>0</v>
      </c>
      <c r="BF590" s="377">
        <f t="shared" si="236"/>
        <v>0</v>
      </c>
      <c r="BG590" s="328"/>
    </row>
    <row r="591" spans="2:59">
      <c r="B591" s="332">
        <v>576</v>
      </c>
      <c r="C591" s="350">
        <v>5320711.5349949561</v>
      </c>
      <c r="D591" s="350">
        <v>5301537.3839765536</v>
      </c>
      <c r="E591" s="350">
        <v>5280801.4796920028</v>
      </c>
      <c r="F591" s="350">
        <v>5255924.3236554712</v>
      </c>
      <c r="G591" s="350">
        <v>5224620.7611230891</v>
      </c>
      <c r="H591" s="348">
        <v>26383595.483442076</v>
      </c>
      <c r="I591" s="369"/>
      <c r="J591" s="350">
        <v>19022778.71256781</v>
      </c>
      <c r="K591" s="350">
        <v>18638813.206141446</v>
      </c>
      <c r="L591" s="350">
        <v>18243137.730087675</v>
      </c>
      <c r="M591" s="350">
        <v>17806835.819626819</v>
      </c>
      <c r="N591" s="350">
        <v>17305591.270692397</v>
      </c>
      <c r="O591" s="348">
        <v>91017156.739116147</v>
      </c>
      <c r="P591" s="369"/>
      <c r="Q591" s="350">
        <f t="shared" si="237"/>
        <v>13702067.177572854</v>
      </c>
      <c r="R591" s="350">
        <f t="shared" si="238"/>
        <v>13337275.822164893</v>
      </c>
      <c r="S591" s="350">
        <f t="shared" si="239"/>
        <v>12962336.250395672</v>
      </c>
      <c r="T591" s="350">
        <f t="shared" si="240"/>
        <v>12550911.495971348</v>
      </c>
      <c r="U591" s="350">
        <f t="shared" si="241"/>
        <v>12080970.509569308</v>
      </c>
      <c r="V591" s="350">
        <f t="shared" si="242"/>
        <v>64633561.255674072</v>
      </c>
      <c r="W591" s="365"/>
      <c r="X591" s="377">
        <f t="shared" si="220"/>
        <v>0</v>
      </c>
      <c r="Y591" s="377">
        <f t="shared" si="221"/>
        <v>0</v>
      </c>
      <c r="Z591" s="377">
        <f t="shared" si="222"/>
        <v>0</v>
      </c>
      <c r="AA591" s="377">
        <f t="shared" si="223"/>
        <v>0</v>
      </c>
      <c r="AB591" s="377">
        <f t="shared" si="224"/>
        <v>0</v>
      </c>
      <c r="AC591" s="377">
        <f t="shared" si="225"/>
        <v>0</v>
      </c>
      <c r="AD591" s="376"/>
      <c r="AE591" s="332">
        <v>576</v>
      </c>
      <c r="AF591" s="350">
        <v>447039.68518329377</v>
      </c>
      <c r="AG591" s="350">
        <v>445428.69643140456</v>
      </c>
      <c r="AH591" s="350">
        <v>443686.49107740482</v>
      </c>
      <c r="AI591" s="350">
        <v>441596.34280876024</v>
      </c>
      <c r="AJ591" s="350">
        <v>438966.25571466546</v>
      </c>
      <c r="AK591" s="348">
        <v>2216717.4712155289</v>
      </c>
      <c r="AL591" s="369"/>
      <c r="AM591" s="350">
        <v>14474340.219989354</v>
      </c>
      <c r="AN591" s="350">
        <v>14349277.393296737</v>
      </c>
      <c r="AO591" s="350">
        <v>14211892.426625254</v>
      </c>
      <c r="AP591" s="350">
        <v>14034786.350055514</v>
      </c>
      <c r="AQ591" s="350">
        <v>13794508.246758157</v>
      </c>
      <c r="AR591" s="348">
        <v>70864804.636725023</v>
      </c>
      <c r="AS591" s="369"/>
      <c r="AT591" s="350">
        <f t="shared" si="243"/>
        <v>14027300.53480606</v>
      </c>
      <c r="AU591" s="350">
        <f t="shared" si="226"/>
        <v>13903848.696865333</v>
      </c>
      <c r="AV591" s="350">
        <f t="shared" si="227"/>
        <v>13768205.935547849</v>
      </c>
      <c r="AW591" s="350">
        <f t="shared" si="228"/>
        <v>13593190.007246753</v>
      </c>
      <c r="AX591" s="350">
        <f t="shared" si="229"/>
        <v>13355541.991043491</v>
      </c>
      <c r="AY591" s="350">
        <f t="shared" si="230"/>
        <v>68648087.165509492</v>
      </c>
      <c r="AZ591" s="365"/>
      <c r="BA591" s="377">
        <f t="shared" si="231"/>
        <v>0</v>
      </c>
      <c r="BB591" s="377">
        <f t="shared" si="232"/>
        <v>0</v>
      </c>
      <c r="BC591" s="377">
        <f t="shared" si="233"/>
        <v>0</v>
      </c>
      <c r="BD591" s="377">
        <f t="shared" si="234"/>
        <v>0</v>
      </c>
      <c r="BE591" s="377">
        <f t="shared" si="235"/>
        <v>0</v>
      </c>
      <c r="BF591" s="377">
        <f t="shared" si="236"/>
        <v>0</v>
      </c>
      <c r="BG591" s="328"/>
    </row>
    <row r="592" spans="2:59">
      <c r="B592" s="332">
        <v>577</v>
      </c>
      <c r="C592" s="350">
        <v>3994469.6126449057</v>
      </c>
      <c r="D592" s="350">
        <v>3980074.8154288707</v>
      </c>
      <c r="E592" s="350">
        <v>3964507.5479665054</v>
      </c>
      <c r="F592" s="350">
        <v>3945831.278226383</v>
      </c>
      <c r="G592" s="350">
        <v>3922330.4497223902</v>
      </c>
      <c r="H592" s="348">
        <v>19807213.703989055</v>
      </c>
      <c r="I592" s="369"/>
      <c r="J592" s="350">
        <v>15738530.093553226</v>
      </c>
      <c r="K592" s="350">
        <v>15439768.103017598</v>
      </c>
      <c r="L592" s="350">
        <v>15130931.652760904</v>
      </c>
      <c r="M592" s="350">
        <v>14787485.844400426</v>
      </c>
      <c r="N592" s="350">
        <v>14388752.490483942</v>
      </c>
      <c r="O592" s="348">
        <v>75485468.184216097</v>
      </c>
      <c r="P592" s="369"/>
      <c r="Q592" s="350">
        <f t="shared" si="237"/>
        <v>11744060.480908321</v>
      </c>
      <c r="R592" s="350">
        <f t="shared" si="238"/>
        <v>11459693.287588727</v>
      </c>
      <c r="S592" s="350">
        <f t="shared" si="239"/>
        <v>11166424.104794398</v>
      </c>
      <c r="T592" s="350">
        <f t="shared" si="240"/>
        <v>10841654.566174043</v>
      </c>
      <c r="U592" s="350">
        <f t="shared" si="241"/>
        <v>10466422.040761551</v>
      </c>
      <c r="V592" s="350">
        <f t="shared" si="242"/>
        <v>55678254.480227038</v>
      </c>
      <c r="W592" s="365"/>
      <c r="X592" s="377">
        <f t="shared" ref="X592:X655" si="244">IF(Q592&lt;Q$8,1,0)</f>
        <v>0</v>
      </c>
      <c r="Y592" s="377">
        <f t="shared" ref="Y592:Y655" si="245">IF(R592&lt;R$8,1,0)</f>
        <v>0</v>
      </c>
      <c r="Z592" s="377">
        <f t="shared" ref="Z592:Z655" si="246">IF(S592&lt;S$8,1,0)</f>
        <v>0</v>
      </c>
      <c r="AA592" s="377">
        <f t="shared" ref="AA592:AA655" si="247">IF(T592&lt;T$8,1,0)</f>
        <v>0</v>
      </c>
      <c r="AB592" s="377">
        <f t="shared" ref="AB592:AB655" si="248">IF(U592&lt;U$8,1,0)</f>
        <v>0</v>
      </c>
      <c r="AC592" s="377">
        <f t="shared" ref="AC592:AC655" si="249">IF(V592&lt;V$8,1,0)</f>
        <v>0</v>
      </c>
      <c r="AD592" s="376"/>
      <c r="AE592" s="332">
        <v>577</v>
      </c>
      <c r="AF592" s="350">
        <v>667493.88914572366</v>
      </c>
      <c r="AG592" s="350">
        <v>665088.45360384881</v>
      </c>
      <c r="AH592" s="350">
        <v>662487.09299543861</v>
      </c>
      <c r="AI592" s="350">
        <v>659366.20408340252</v>
      </c>
      <c r="AJ592" s="350">
        <v>655439.10964097164</v>
      </c>
      <c r="AK592" s="348">
        <v>3309874.7494693855</v>
      </c>
      <c r="AL592" s="369"/>
      <c r="AM592" s="350">
        <v>20886171.547150843</v>
      </c>
      <c r="AN592" s="350">
        <v>20704668.058064397</v>
      </c>
      <c r="AO592" s="350">
        <v>20505405.22328037</v>
      </c>
      <c r="AP592" s="350">
        <v>20248880.502095994</v>
      </c>
      <c r="AQ592" s="350">
        <v>19901285.524323154</v>
      </c>
      <c r="AR592" s="348">
        <v>102246410.85491475</v>
      </c>
      <c r="AS592" s="369"/>
      <c r="AT592" s="350">
        <f t="shared" si="243"/>
        <v>20218677.658005118</v>
      </c>
      <c r="AU592" s="350">
        <f t="shared" ref="AU592:AU655" si="250">AN592-AG592</f>
        <v>20039579.604460549</v>
      </c>
      <c r="AV592" s="350">
        <f t="shared" ref="AV592:AV655" si="251">AO592-AH592</f>
        <v>19842918.130284932</v>
      </c>
      <c r="AW592" s="350">
        <f t="shared" ref="AW592:AW655" si="252">AP592-AI592</f>
        <v>19589514.298012592</v>
      </c>
      <c r="AX592" s="350">
        <f t="shared" ref="AX592:AX655" si="253">AQ592-AJ592</f>
        <v>19245846.414682183</v>
      </c>
      <c r="AY592" s="350">
        <f t="shared" ref="AY592:AY655" si="254">AR592-AK592</f>
        <v>98936536.10544537</v>
      </c>
      <c r="AZ592" s="365"/>
      <c r="BA592" s="377">
        <f t="shared" ref="BA592:BA655" si="255">IF(AT592&lt;AT$8,1,0)</f>
        <v>0</v>
      </c>
      <c r="BB592" s="377">
        <f t="shared" ref="BB592:BB655" si="256">IF(AU592&lt;AU$8,1,0)</f>
        <v>0</v>
      </c>
      <c r="BC592" s="377">
        <f t="shared" ref="BC592:BC655" si="257">IF(AV592&lt;AV$8,1,0)</f>
        <v>0</v>
      </c>
      <c r="BD592" s="377">
        <f t="shared" ref="BD592:BD655" si="258">IF(AW592&lt;AW$8,1,0)</f>
        <v>0</v>
      </c>
      <c r="BE592" s="377">
        <f t="shared" ref="BE592:BE655" si="259">IF(AX592&lt;AX$8,1,0)</f>
        <v>0</v>
      </c>
      <c r="BF592" s="377">
        <f t="shared" ref="BF592:BF655" si="260">IF(AY592&lt;AY$8,1,0)</f>
        <v>0</v>
      </c>
      <c r="BG592" s="328"/>
    </row>
    <row r="593" spans="2:59">
      <c r="B593" s="332">
        <v>578</v>
      </c>
      <c r="C593" s="350">
        <v>5323522.9448101465</v>
      </c>
      <c r="D593" s="350">
        <v>5304338.6623655222</v>
      </c>
      <c r="E593" s="350">
        <v>5283591.8014402185</v>
      </c>
      <c r="F593" s="350">
        <v>5258701.5005676635</v>
      </c>
      <c r="G593" s="350">
        <v>5227381.3975514807</v>
      </c>
      <c r="H593" s="348">
        <v>26397536.306735031</v>
      </c>
      <c r="I593" s="369"/>
      <c r="J593" s="350">
        <v>15273721.963711556</v>
      </c>
      <c r="K593" s="350">
        <v>14916646.832939271</v>
      </c>
      <c r="L593" s="350">
        <v>14551165.70360592</v>
      </c>
      <c r="M593" s="350">
        <v>14155636.543921642</v>
      </c>
      <c r="N593" s="350">
        <v>13711980.237220999</v>
      </c>
      <c r="O593" s="348">
        <v>72609151.281399384</v>
      </c>
      <c r="P593" s="369"/>
      <c r="Q593" s="350">
        <f t="shared" ref="Q593:Q656" si="261">J593-C593</f>
        <v>9950199.0189014096</v>
      </c>
      <c r="R593" s="350">
        <f t="shared" ref="R593:R656" si="262">K593-D593</f>
        <v>9612308.1705737486</v>
      </c>
      <c r="S593" s="350">
        <f t="shared" ref="S593:S656" si="263">L593-E593</f>
        <v>9267573.9021657016</v>
      </c>
      <c r="T593" s="350">
        <f t="shared" ref="T593:T656" si="264">M593-F593</f>
        <v>8896935.0433539785</v>
      </c>
      <c r="U593" s="350">
        <f t="shared" ref="U593:U656" si="265">N593-G593</f>
        <v>8484598.8396695182</v>
      </c>
      <c r="V593" s="350">
        <f t="shared" ref="V593:V656" si="266">O593-H593</f>
        <v>46211614.974664353</v>
      </c>
      <c r="W593" s="365"/>
      <c r="X593" s="377">
        <f t="shared" si="244"/>
        <v>0</v>
      </c>
      <c r="Y593" s="377">
        <f t="shared" si="245"/>
        <v>0</v>
      </c>
      <c r="Z593" s="377">
        <f t="shared" si="246"/>
        <v>0</v>
      </c>
      <c r="AA593" s="377">
        <f t="shared" si="247"/>
        <v>0</v>
      </c>
      <c r="AB593" s="377">
        <f t="shared" si="248"/>
        <v>0</v>
      </c>
      <c r="AC593" s="377">
        <f t="shared" si="249"/>
        <v>0</v>
      </c>
      <c r="AD593" s="376"/>
      <c r="AE593" s="332">
        <v>578</v>
      </c>
      <c r="AF593" s="350">
        <v>401013.66332843417</v>
      </c>
      <c r="AG593" s="350">
        <v>399568.53771120613</v>
      </c>
      <c r="AH593" s="350">
        <v>398005.70520565024</v>
      </c>
      <c r="AI593" s="350">
        <v>396130.75306630041</v>
      </c>
      <c r="AJ593" s="350">
        <v>393771.45277276298</v>
      </c>
      <c r="AK593" s="348">
        <v>1988490.1120843538</v>
      </c>
      <c r="AL593" s="369"/>
      <c r="AM593" s="350">
        <v>15651151.034381747</v>
      </c>
      <c r="AN593" s="350">
        <v>15519741.942353651</v>
      </c>
      <c r="AO593" s="350">
        <v>15374930.84012055</v>
      </c>
      <c r="AP593" s="350">
        <v>15186967.703561522</v>
      </c>
      <c r="AQ593" s="350">
        <v>14930381.79169945</v>
      </c>
      <c r="AR593" s="348">
        <v>76663173.312116921</v>
      </c>
      <c r="AS593" s="369"/>
      <c r="AT593" s="350">
        <f t="shared" ref="AT593:AT656" si="267">AM593-AF593</f>
        <v>15250137.371053314</v>
      </c>
      <c r="AU593" s="350">
        <f t="shared" si="250"/>
        <v>15120173.404642444</v>
      </c>
      <c r="AV593" s="350">
        <f t="shared" si="251"/>
        <v>14976925.134914899</v>
      </c>
      <c r="AW593" s="350">
        <f t="shared" si="252"/>
        <v>14790836.950495221</v>
      </c>
      <c r="AX593" s="350">
        <f t="shared" si="253"/>
        <v>14536610.338926688</v>
      </c>
      <c r="AY593" s="350">
        <f t="shared" si="254"/>
        <v>74674683.200032562</v>
      </c>
      <c r="AZ593" s="365"/>
      <c r="BA593" s="377">
        <f t="shared" si="255"/>
        <v>0</v>
      </c>
      <c r="BB593" s="377">
        <f t="shared" si="256"/>
        <v>0</v>
      </c>
      <c r="BC593" s="377">
        <f t="shared" si="257"/>
        <v>0</v>
      </c>
      <c r="BD593" s="377">
        <f t="shared" si="258"/>
        <v>0</v>
      </c>
      <c r="BE593" s="377">
        <f t="shared" si="259"/>
        <v>0</v>
      </c>
      <c r="BF593" s="377">
        <f t="shared" si="260"/>
        <v>0</v>
      </c>
      <c r="BG593" s="328"/>
    </row>
    <row r="594" spans="2:59">
      <c r="B594" s="332">
        <v>579</v>
      </c>
      <c r="C594" s="350">
        <v>5274223.2791783093</v>
      </c>
      <c r="D594" s="350">
        <v>5255216.6570386579</v>
      </c>
      <c r="E594" s="350">
        <v>5234661.9270231165</v>
      </c>
      <c r="F594" s="350">
        <v>5210002.1283054743</v>
      </c>
      <c r="G594" s="350">
        <v>5178972.072053859</v>
      </c>
      <c r="H594" s="348">
        <v>26153076.063599415</v>
      </c>
      <c r="I594" s="369"/>
      <c r="J594" s="350">
        <v>19723182.660064753</v>
      </c>
      <c r="K594" s="350">
        <v>19336325.971713848</v>
      </c>
      <c r="L594" s="350">
        <v>18937098.515252225</v>
      </c>
      <c r="M594" s="350">
        <v>18495155.93354556</v>
      </c>
      <c r="N594" s="350">
        <v>17984953.642666042</v>
      </c>
      <c r="O594" s="348">
        <v>94476716.723242432</v>
      </c>
      <c r="P594" s="369"/>
      <c r="Q594" s="350">
        <f t="shared" si="261"/>
        <v>14448959.380886443</v>
      </c>
      <c r="R594" s="350">
        <f t="shared" si="262"/>
        <v>14081109.31467519</v>
      </c>
      <c r="S594" s="350">
        <f t="shared" si="263"/>
        <v>13702436.588229109</v>
      </c>
      <c r="T594" s="350">
        <f t="shared" si="264"/>
        <v>13285153.805240085</v>
      </c>
      <c r="U594" s="350">
        <f t="shared" si="265"/>
        <v>12805981.570612183</v>
      </c>
      <c r="V594" s="350">
        <f t="shared" si="266"/>
        <v>68323640.659643024</v>
      </c>
      <c r="W594" s="365"/>
      <c r="X594" s="377">
        <f t="shared" si="244"/>
        <v>0</v>
      </c>
      <c r="Y594" s="377">
        <f t="shared" si="245"/>
        <v>0</v>
      </c>
      <c r="Z594" s="377">
        <f t="shared" si="246"/>
        <v>0</v>
      </c>
      <c r="AA594" s="377">
        <f t="shared" si="247"/>
        <v>0</v>
      </c>
      <c r="AB594" s="377">
        <f t="shared" si="248"/>
        <v>0</v>
      </c>
      <c r="AC594" s="377">
        <f t="shared" si="249"/>
        <v>0</v>
      </c>
      <c r="AD594" s="376"/>
      <c r="AE594" s="332">
        <v>579</v>
      </c>
      <c r="AF594" s="350">
        <v>371507.91779648763</v>
      </c>
      <c r="AG594" s="350">
        <v>370169.12149574648</v>
      </c>
      <c r="AH594" s="350">
        <v>368721.27893301524</v>
      </c>
      <c r="AI594" s="350">
        <v>366984.28184549342</v>
      </c>
      <c r="AJ594" s="350">
        <v>364798.57392663165</v>
      </c>
      <c r="AK594" s="348">
        <v>1842181.1739973745</v>
      </c>
      <c r="AL594" s="369"/>
      <c r="AM594" s="350">
        <v>11746838.539824245</v>
      </c>
      <c r="AN594" s="350">
        <v>11644938.20506742</v>
      </c>
      <c r="AO594" s="350">
        <v>11533045.926992537</v>
      </c>
      <c r="AP594" s="350">
        <v>11388938.763190577</v>
      </c>
      <c r="AQ594" s="350">
        <v>11193596.782475242</v>
      </c>
      <c r="AR594" s="348">
        <v>57507358.217550017</v>
      </c>
      <c r="AS594" s="369"/>
      <c r="AT594" s="350">
        <f t="shared" si="267"/>
        <v>11375330.622027759</v>
      </c>
      <c r="AU594" s="350">
        <f t="shared" si="250"/>
        <v>11274769.083571674</v>
      </c>
      <c r="AV594" s="350">
        <f t="shared" si="251"/>
        <v>11164324.648059523</v>
      </c>
      <c r="AW594" s="350">
        <f t="shared" si="252"/>
        <v>11021954.481345084</v>
      </c>
      <c r="AX594" s="350">
        <f t="shared" si="253"/>
        <v>10828798.208548611</v>
      </c>
      <c r="AY594" s="350">
        <f t="shared" si="254"/>
        <v>55665177.043552645</v>
      </c>
      <c r="AZ594" s="365"/>
      <c r="BA594" s="377">
        <f t="shared" si="255"/>
        <v>0</v>
      </c>
      <c r="BB594" s="377">
        <f t="shared" si="256"/>
        <v>0</v>
      </c>
      <c r="BC594" s="377">
        <f t="shared" si="257"/>
        <v>0</v>
      </c>
      <c r="BD594" s="377">
        <f t="shared" si="258"/>
        <v>0</v>
      </c>
      <c r="BE594" s="377">
        <f t="shared" si="259"/>
        <v>0</v>
      </c>
      <c r="BF594" s="377">
        <f t="shared" si="260"/>
        <v>0</v>
      </c>
      <c r="BG594" s="328"/>
    </row>
    <row r="595" spans="2:59">
      <c r="B595" s="332">
        <v>580</v>
      </c>
      <c r="C595" s="350">
        <v>5896933.2823537337</v>
      </c>
      <c r="D595" s="350">
        <v>5875682.6115444573</v>
      </c>
      <c r="E595" s="350">
        <v>5852701.052910611</v>
      </c>
      <c r="F595" s="350">
        <v>5825129.7537643835</v>
      </c>
      <c r="G595" s="350">
        <v>5790436.0819614036</v>
      </c>
      <c r="H595" s="348">
        <v>29240882.782534588</v>
      </c>
      <c r="I595" s="369"/>
      <c r="J595" s="350">
        <v>16632694.930912171</v>
      </c>
      <c r="K595" s="350">
        <v>16239221.059485104</v>
      </c>
      <c r="L595" s="350">
        <v>15836687.775980437</v>
      </c>
      <c r="M595" s="350">
        <v>15401676.930382337</v>
      </c>
      <c r="N595" s="350">
        <v>14914637.89540186</v>
      </c>
      <c r="O595" s="348">
        <v>79024918.592161909</v>
      </c>
      <c r="P595" s="369"/>
      <c r="Q595" s="350">
        <f t="shared" si="261"/>
        <v>10735761.648558438</v>
      </c>
      <c r="R595" s="350">
        <f t="shared" si="262"/>
        <v>10363538.447940648</v>
      </c>
      <c r="S595" s="350">
        <f t="shared" si="263"/>
        <v>9983986.7230698261</v>
      </c>
      <c r="T595" s="350">
        <f t="shared" si="264"/>
        <v>9576547.1766179539</v>
      </c>
      <c r="U595" s="350">
        <f t="shared" si="265"/>
        <v>9124201.813440457</v>
      </c>
      <c r="V595" s="350">
        <f t="shared" si="266"/>
        <v>49784035.809627324</v>
      </c>
      <c r="W595" s="365"/>
      <c r="X595" s="377">
        <f t="shared" si="244"/>
        <v>0</v>
      </c>
      <c r="Y595" s="377">
        <f t="shared" si="245"/>
        <v>0</v>
      </c>
      <c r="Z595" s="377">
        <f t="shared" si="246"/>
        <v>0</v>
      </c>
      <c r="AA595" s="377">
        <f t="shared" si="247"/>
        <v>0</v>
      </c>
      <c r="AB595" s="377">
        <f t="shared" si="248"/>
        <v>0</v>
      </c>
      <c r="AC595" s="377">
        <f t="shared" si="249"/>
        <v>0</v>
      </c>
      <c r="AD595" s="376"/>
      <c r="AE595" s="332">
        <v>580</v>
      </c>
      <c r="AF595" s="350">
        <v>367312.60218153102</v>
      </c>
      <c r="AG595" s="350">
        <v>365988.92446307756</v>
      </c>
      <c r="AH595" s="350">
        <v>364557.431905879</v>
      </c>
      <c r="AI595" s="350">
        <v>362840.05014997022</v>
      </c>
      <c r="AJ595" s="350">
        <v>360679.02470521594</v>
      </c>
      <c r="AK595" s="348">
        <v>1821378.0334056737</v>
      </c>
      <c r="AL595" s="369"/>
      <c r="AM595" s="350">
        <v>11661790.563325113</v>
      </c>
      <c r="AN595" s="350">
        <v>11560697.847447123</v>
      </c>
      <c r="AO595" s="350">
        <v>11449684.104256481</v>
      </c>
      <c r="AP595" s="350">
        <v>11306685.031079277</v>
      </c>
      <c r="AQ595" s="350">
        <v>11112816.333600845</v>
      </c>
      <c r="AR595" s="348">
        <v>57091673.879708841</v>
      </c>
      <c r="AS595" s="369"/>
      <c r="AT595" s="350">
        <f t="shared" si="267"/>
        <v>11294477.961143581</v>
      </c>
      <c r="AU595" s="350">
        <f t="shared" si="250"/>
        <v>11194708.922984045</v>
      </c>
      <c r="AV595" s="350">
        <f t="shared" si="251"/>
        <v>11085126.672350602</v>
      </c>
      <c r="AW595" s="350">
        <f t="shared" si="252"/>
        <v>10943844.980929308</v>
      </c>
      <c r="AX595" s="350">
        <f t="shared" si="253"/>
        <v>10752137.308895629</v>
      </c>
      <c r="AY595" s="350">
        <f t="shared" si="254"/>
        <v>55270295.846303165</v>
      </c>
      <c r="AZ595" s="365"/>
      <c r="BA595" s="377">
        <f t="shared" si="255"/>
        <v>0</v>
      </c>
      <c r="BB595" s="377">
        <f t="shared" si="256"/>
        <v>0</v>
      </c>
      <c r="BC595" s="377">
        <f t="shared" si="257"/>
        <v>0</v>
      </c>
      <c r="BD595" s="377">
        <f t="shared" si="258"/>
        <v>0</v>
      </c>
      <c r="BE595" s="377">
        <f t="shared" si="259"/>
        <v>0</v>
      </c>
      <c r="BF595" s="377">
        <f t="shared" si="260"/>
        <v>0</v>
      </c>
      <c r="BG595" s="328"/>
    </row>
    <row r="596" spans="2:59">
      <c r="B596" s="332">
        <v>581</v>
      </c>
      <c r="C596" s="350">
        <v>4572340.2562831705</v>
      </c>
      <c r="D596" s="350">
        <v>4555862.9971788432</v>
      </c>
      <c r="E596" s="350">
        <v>4538043.6492801467</v>
      </c>
      <c r="F596" s="350">
        <v>4516665.5269633215</v>
      </c>
      <c r="G596" s="350">
        <v>4489764.8881689589</v>
      </c>
      <c r="H596" s="348">
        <v>22672677.317874439</v>
      </c>
      <c r="I596" s="369"/>
      <c r="J596" s="350">
        <v>13512712.686167698</v>
      </c>
      <c r="K596" s="350">
        <v>13203181.900446918</v>
      </c>
      <c r="L596" s="350">
        <v>12886084.126676682</v>
      </c>
      <c r="M596" s="350">
        <v>12542066.704489332</v>
      </c>
      <c r="N596" s="350">
        <v>12154946.177854033</v>
      </c>
      <c r="O596" s="348">
        <v>64298991.595634669</v>
      </c>
      <c r="P596" s="369"/>
      <c r="Q596" s="350">
        <f t="shared" si="261"/>
        <v>8940372.4298845269</v>
      </c>
      <c r="R596" s="350">
        <f t="shared" si="262"/>
        <v>8647318.9032680746</v>
      </c>
      <c r="S596" s="350">
        <f t="shared" si="263"/>
        <v>8348040.4773965357</v>
      </c>
      <c r="T596" s="350">
        <f t="shared" si="264"/>
        <v>8025401.1775260102</v>
      </c>
      <c r="U596" s="350">
        <f t="shared" si="265"/>
        <v>7665181.2896850742</v>
      </c>
      <c r="V596" s="350">
        <f t="shared" si="266"/>
        <v>41626314.27776023</v>
      </c>
      <c r="W596" s="365"/>
      <c r="X596" s="377">
        <f t="shared" si="244"/>
        <v>0</v>
      </c>
      <c r="Y596" s="377">
        <f t="shared" si="245"/>
        <v>0</v>
      </c>
      <c r="Z596" s="377">
        <f t="shared" si="246"/>
        <v>0</v>
      </c>
      <c r="AA596" s="377">
        <f t="shared" si="247"/>
        <v>0</v>
      </c>
      <c r="AB596" s="377">
        <f t="shared" si="248"/>
        <v>0</v>
      </c>
      <c r="AC596" s="377">
        <f t="shared" si="249"/>
        <v>0</v>
      </c>
      <c r="AD596" s="376"/>
      <c r="AE596" s="332">
        <v>581</v>
      </c>
      <c r="AF596" s="350">
        <v>516868.58549736609</v>
      </c>
      <c r="AG596" s="350">
        <v>515005.9556122818</v>
      </c>
      <c r="AH596" s="350">
        <v>512991.61270981969</v>
      </c>
      <c r="AI596" s="350">
        <v>510574.97719646228</v>
      </c>
      <c r="AJ596" s="350">
        <v>507534.06284116907</v>
      </c>
      <c r="AK596" s="348">
        <v>2562975.1938570989</v>
      </c>
      <c r="AL596" s="369"/>
      <c r="AM596" s="350">
        <v>14051551.606874505</v>
      </c>
      <c r="AN596" s="350">
        <v>13926296.167511841</v>
      </c>
      <c r="AO596" s="350">
        <v>13789157.040150106</v>
      </c>
      <c r="AP596" s="350">
        <v>13613659.766426716</v>
      </c>
      <c r="AQ596" s="350">
        <v>13377152.315765252</v>
      </c>
      <c r="AR596" s="348">
        <v>68757816.896728411</v>
      </c>
      <c r="AS596" s="369"/>
      <c r="AT596" s="350">
        <f t="shared" si="267"/>
        <v>13534683.021377139</v>
      </c>
      <c r="AU596" s="350">
        <f t="shared" si="250"/>
        <v>13411290.21189956</v>
      </c>
      <c r="AV596" s="350">
        <f t="shared" si="251"/>
        <v>13276165.427440286</v>
      </c>
      <c r="AW596" s="350">
        <f t="shared" si="252"/>
        <v>13103084.789230254</v>
      </c>
      <c r="AX596" s="350">
        <f t="shared" si="253"/>
        <v>12869618.252924083</v>
      </c>
      <c r="AY596" s="350">
        <f t="shared" si="254"/>
        <v>66194841.702871315</v>
      </c>
      <c r="AZ596" s="365"/>
      <c r="BA596" s="377">
        <f t="shared" si="255"/>
        <v>0</v>
      </c>
      <c r="BB596" s="377">
        <f t="shared" si="256"/>
        <v>0</v>
      </c>
      <c r="BC596" s="377">
        <f t="shared" si="257"/>
        <v>0</v>
      </c>
      <c r="BD596" s="377">
        <f t="shared" si="258"/>
        <v>0</v>
      </c>
      <c r="BE596" s="377">
        <f t="shared" si="259"/>
        <v>0</v>
      </c>
      <c r="BF596" s="377">
        <f t="shared" si="260"/>
        <v>0</v>
      </c>
      <c r="BG596" s="328"/>
    </row>
    <row r="597" spans="2:59">
      <c r="B597" s="332">
        <v>582</v>
      </c>
      <c r="C597" s="350">
        <v>4908807.4090102594</v>
      </c>
      <c r="D597" s="350">
        <v>4891117.6293705329</v>
      </c>
      <c r="E597" s="350">
        <v>4871986.9999584593</v>
      </c>
      <c r="F597" s="350">
        <v>4849035.7147658588</v>
      </c>
      <c r="G597" s="350">
        <v>4820155.524836991</v>
      </c>
      <c r="H597" s="348">
        <v>24341103.277942102</v>
      </c>
      <c r="I597" s="369"/>
      <c r="J597" s="350">
        <v>18083590.240067288</v>
      </c>
      <c r="K597" s="350">
        <v>17725504.641264655</v>
      </c>
      <c r="L597" s="350">
        <v>17356145.850050993</v>
      </c>
      <c r="M597" s="350">
        <v>16947801.475355376</v>
      </c>
      <c r="N597" s="350">
        <v>16477150.813803677</v>
      </c>
      <c r="O597" s="348">
        <v>86590193.020541981</v>
      </c>
      <c r="P597" s="369"/>
      <c r="Q597" s="350">
        <f t="shared" si="261"/>
        <v>13174782.831057029</v>
      </c>
      <c r="R597" s="350">
        <f t="shared" si="262"/>
        <v>12834387.011894122</v>
      </c>
      <c r="S597" s="350">
        <f t="shared" si="263"/>
        <v>12484158.850092534</v>
      </c>
      <c r="T597" s="350">
        <f t="shared" si="264"/>
        <v>12098765.760589518</v>
      </c>
      <c r="U597" s="350">
        <f t="shared" si="265"/>
        <v>11656995.288966686</v>
      </c>
      <c r="V597" s="350">
        <f t="shared" si="266"/>
        <v>62249089.742599875</v>
      </c>
      <c r="W597" s="365"/>
      <c r="X597" s="377">
        <f t="shared" si="244"/>
        <v>0</v>
      </c>
      <c r="Y597" s="377">
        <f t="shared" si="245"/>
        <v>0</v>
      </c>
      <c r="Z597" s="377">
        <f t="shared" si="246"/>
        <v>0</v>
      </c>
      <c r="AA597" s="377">
        <f t="shared" si="247"/>
        <v>0</v>
      </c>
      <c r="AB597" s="377">
        <f t="shared" si="248"/>
        <v>0</v>
      </c>
      <c r="AC597" s="377">
        <f t="shared" si="249"/>
        <v>0</v>
      </c>
      <c r="AD597" s="376"/>
      <c r="AE597" s="332">
        <v>582</v>
      </c>
      <c r="AF597" s="350">
        <v>568439.58696745324</v>
      </c>
      <c r="AG597" s="350">
        <v>566391.11160590325</v>
      </c>
      <c r="AH597" s="350">
        <v>564175.78593200003</v>
      </c>
      <c r="AI597" s="350">
        <v>561518.02856076823</v>
      </c>
      <c r="AJ597" s="350">
        <v>558173.70439670072</v>
      </c>
      <c r="AK597" s="348">
        <v>2818698.2174628256</v>
      </c>
      <c r="AL597" s="369"/>
      <c r="AM597" s="350">
        <v>19976075.736469578</v>
      </c>
      <c r="AN597" s="350">
        <v>19805727.393626366</v>
      </c>
      <c r="AO597" s="350">
        <v>19618327.262771249</v>
      </c>
      <c r="AP597" s="350">
        <v>19375989.246224359</v>
      </c>
      <c r="AQ597" s="350">
        <v>19046281.997139215</v>
      </c>
      <c r="AR597" s="348">
        <v>97822401.636230767</v>
      </c>
      <c r="AS597" s="369"/>
      <c r="AT597" s="350">
        <f t="shared" si="267"/>
        <v>19407636.149502125</v>
      </c>
      <c r="AU597" s="350">
        <f t="shared" si="250"/>
        <v>19239336.282020461</v>
      </c>
      <c r="AV597" s="350">
        <f t="shared" si="251"/>
        <v>19054151.476839248</v>
      </c>
      <c r="AW597" s="350">
        <f t="shared" si="252"/>
        <v>18814471.21766359</v>
      </c>
      <c r="AX597" s="350">
        <f t="shared" si="253"/>
        <v>18488108.292742513</v>
      </c>
      <c r="AY597" s="350">
        <f t="shared" si="254"/>
        <v>95003703.418767944</v>
      </c>
      <c r="AZ597" s="365"/>
      <c r="BA597" s="377">
        <f t="shared" si="255"/>
        <v>0</v>
      </c>
      <c r="BB597" s="377">
        <f t="shared" si="256"/>
        <v>0</v>
      </c>
      <c r="BC597" s="377">
        <f t="shared" si="257"/>
        <v>0</v>
      </c>
      <c r="BD597" s="377">
        <f t="shared" si="258"/>
        <v>0</v>
      </c>
      <c r="BE597" s="377">
        <f t="shared" si="259"/>
        <v>0</v>
      </c>
      <c r="BF597" s="377">
        <f t="shared" si="260"/>
        <v>0</v>
      </c>
      <c r="BG597" s="328"/>
    </row>
    <row r="598" spans="2:59">
      <c r="B598" s="332">
        <v>583</v>
      </c>
      <c r="C598" s="350">
        <v>4452754.6466485141</v>
      </c>
      <c r="D598" s="350">
        <v>4436708.3360223528</v>
      </c>
      <c r="E598" s="350">
        <v>4419355.0377748888</v>
      </c>
      <c r="F598" s="350">
        <v>4398536.0417799912</v>
      </c>
      <c r="G598" s="350">
        <v>4372338.9659554604</v>
      </c>
      <c r="H598" s="348">
        <v>22079693.028181203</v>
      </c>
      <c r="I598" s="369"/>
      <c r="J598" s="350">
        <v>17645442.556251481</v>
      </c>
      <c r="K598" s="350">
        <v>17311674.016171172</v>
      </c>
      <c r="L598" s="350">
        <v>16966586.03225169</v>
      </c>
      <c r="M598" s="350">
        <v>16582632.508217122</v>
      </c>
      <c r="N598" s="350">
        <v>16136594.539881583</v>
      </c>
      <c r="O598" s="348">
        <v>84642929.652773052</v>
      </c>
      <c r="P598" s="369"/>
      <c r="Q598" s="350">
        <f t="shared" si="261"/>
        <v>13192687.909602966</v>
      </c>
      <c r="R598" s="350">
        <f t="shared" si="262"/>
        <v>12874965.680148819</v>
      </c>
      <c r="S598" s="350">
        <f t="shared" si="263"/>
        <v>12547230.994476801</v>
      </c>
      <c r="T598" s="350">
        <f t="shared" si="264"/>
        <v>12184096.466437131</v>
      </c>
      <c r="U598" s="350">
        <f t="shared" si="265"/>
        <v>11764255.573926123</v>
      </c>
      <c r="V598" s="350">
        <f t="shared" si="266"/>
        <v>62563236.62459185</v>
      </c>
      <c r="W598" s="365"/>
      <c r="X598" s="377">
        <f t="shared" si="244"/>
        <v>0</v>
      </c>
      <c r="Y598" s="377">
        <f t="shared" si="245"/>
        <v>0</v>
      </c>
      <c r="Z598" s="377">
        <f t="shared" si="246"/>
        <v>0</v>
      </c>
      <c r="AA598" s="377">
        <f t="shared" si="247"/>
        <v>0</v>
      </c>
      <c r="AB598" s="377">
        <f t="shared" si="248"/>
        <v>0</v>
      </c>
      <c r="AC598" s="377">
        <f t="shared" si="249"/>
        <v>0</v>
      </c>
      <c r="AD598" s="376"/>
      <c r="AE598" s="332">
        <v>583</v>
      </c>
      <c r="AF598" s="350">
        <v>496586.58322661434</v>
      </c>
      <c r="AG598" s="350">
        <v>494797.04322282458</v>
      </c>
      <c r="AH598" s="350">
        <v>492861.74344364001</v>
      </c>
      <c r="AI598" s="350">
        <v>490539.93707708101</v>
      </c>
      <c r="AJ598" s="350">
        <v>487618.3486657312</v>
      </c>
      <c r="AK598" s="348">
        <v>2462403.655635891</v>
      </c>
      <c r="AL598" s="369"/>
      <c r="AM598" s="350">
        <v>17178392.200737908</v>
      </c>
      <c r="AN598" s="350">
        <v>17031541.49488477</v>
      </c>
      <c r="AO598" s="350">
        <v>16870034.483043842</v>
      </c>
      <c r="AP598" s="350">
        <v>16661302.705025807</v>
      </c>
      <c r="AQ598" s="350">
        <v>16377467.539828436</v>
      </c>
      <c r="AR598" s="348">
        <v>84118738.423520759</v>
      </c>
      <c r="AS598" s="369"/>
      <c r="AT598" s="350">
        <f t="shared" si="267"/>
        <v>16681805.617511295</v>
      </c>
      <c r="AU598" s="350">
        <f t="shared" si="250"/>
        <v>16536744.451661946</v>
      </c>
      <c r="AV598" s="350">
        <f t="shared" si="251"/>
        <v>16377172.739600202</v>
      </c>
      <c r="AW598" s="350">
        <f t="shared" si="252"/>
        <v>16170762.767948726</v>
      </c>
      <c r="AX598" s="350">
        <f t="shared" si="253"/>
        <v>15889849.191162705</v>
      </c>
      <c r="AY598" s="350">
        <f t="shared" si="254"/>
        <v>81656334.767884865</v>
      </c>
      <c r="AZ598" s="365"/>
      <c r="BA598" s="377">
        <f t="shared" si="255"/>
        <v>0</v>
      </c>
      <c r="BB598" s="377">
        <f t="shared" si="256"/>
        <v>0</v>
      </c>
      <c r="BC598" s="377">
        <f t="shared" si="257"/>
        <v>0</v>
      </c>
      <c r="BD598" s="377">
        <f t="shared" si="258"/>
        <v>0</v>
      </c>
      <c r="BE598" s="377">
        <f t="shared" si="259"/>
        <v>0</v>
      </c>
      <c r="BF598" s="377">
        <f t="shared" si="260"/>
        <v>0</v>
      </c>
      <c r="BG598" s="328"/>
    </row>
    <row r="599" spans="2:59">
      <c r="B599" s="332">
        <v>584</v>
      </c>
      <c r="C599" s="350">
        <v>6123431.588129919</v>
      </c>
      <c r="D599" s="350">
        <v>6101364.6895112991</v>
      </c>
      <c r="E599" s="350">
        <v>6077500.4205184514</v>
      </c>
      <c r="F599" s="350">
        <v>6048870.1213385388</v>
      </c>
      <c r="G599" s="350">
        <v>6012843.8826727038</v>
      </c>
      <c r="H599" s="348">
        <v>30364010.702170912</v>
      </c>
      <c r="I599" s="369"/>
      <c r="J599" s="350">
        <v>18434874.262138627</v>
      </c>
      <c r="K599" s="350">
        <v>18017902.741725013</v>
      </c>
      <c r="L599" s="350">
        <v>17590499.451775119</v>
      </c>
      <c r="M599" s="350">
        <v>17126090.826116242</v>
      </c>
      <c r="N599" s="350">
        <v>16602441.149001282</v>
      </c>
      <c r="O599" s="348">
        <v>87771808.430756286</v>
      </c>
      <c r="P599" s="369"/>
      <c r="Q599" s="350">
        <f t="shared" si="261"/>
        <v>12311442.674008708</v>
      </c>
      <c r="R599" s="350">
        <f t="shared" si="262"/>
        <v>11916538.052213714</v>
      </c>
      <c r="S599" s="350">
        <f t="shared" si="263"/>
        <v>11512999.031256668</v>
      </c>
      <c r="T599" s="350">
        <f t="shared" si="264"/>
        <v>11077220.704777703</v>
      </c>
      <c r="U599" s="350">
        <f t="shared" si="265"/>
        <v>10589597.266328577</v>
      </c>
      <c r="V599" s="350">
        <f t="shared" si="266"/>
        <v>57407797.728585377</v>
      </c>
      <c r="W599" s="365"/>
      <c r="X599" s="377">
        <f t="shared" si="244"/>
        <v>0</v>
      </c>
      <c r="Y599" s="377">
        <f t="shared" si="245"/>
        <v>0</v>
      </c>
      <c r="Z599" s="377">
        <f t="shared" si="246"/>
        <v>0</v>
      </c>
      <c r="AA599" s="377">
        <f t="shared" si="247"/>
        <v>0</v>
      </c>
      <c r="AB599" s="377">
        <f t="shared" si="248"/>
        <v>0</v>
      </c>
      <c r="AC599" s="377">
        <f t="shared" si="249"/>
        <v>0</v>
      </c>
      <c r="AD599" s="376"/>
      <c r="AE599" s="332">
        <v>584</v>
      </c>
      <c r="AF599" s="350">
        <v>542946.02327153506</v>
      </c>
      <c r="AG599" s="350">
        <v>540989.41860003979</v>
      </c>
      <c r="AH599" s="350">
        <v>538873.44657333102</v>
      </c>
      <c r="AI599" s="350">
        <v>536334.88517012331</v>
      </c>
      <c r="AJ599" s="350">
        <v>533140.54834516998</v>
      </c>
      <c r="AK599" s="348">
        <v>2692284.3219601992</v>
      </c>
      <c r="AL599" s="369"/>
      <c r="AM599" s="350">
        <v>16027806.878301667</v>
      </c>
      <c r="AN599" s="350">
        <v>15887097.951754421</v>
      </c>
      <c r="AO599" s="350">
        <v>15732789.811945302</v>
      </c>
      <c r="AP599" s="350">
        <v>15534614.695673425</v>
      </c>
      <c r="AQ599" s="350">
        <v>15266670.661440345</v>
      </c>
      <c r="AR599" s="348">
        <v>78448979.999115154</v>
      </c>
      <c r="AS599" s="369"/>
      <c r="AT599" s="350">
        <f t="shared" si="267"/>
        <v>15484860.855030132</v>
      </c>
      <c r="AU599" s="350">
        <f t="shared" si="250"/>
        <v>15346108.533154381</v>
      </c>
      <c r="AV599" s="350">
        <f t="shared" si="251"/>
        <v>15193916.365371972</v>
      </c>
      <c r="AW599" s="350">
        <f t="shared" si="252"/>
        <v>14998279.810503302</v>
      </c>
      <c r="AX599" s="350">
        <f t="shared" si="253"/>
        <v>14733530.113095175</v>
      </c>
      <c r="AY599" s="350">
        <f t="shared" si="254"/>
        <v>75756695.677154958</v>
      </c>
      <c r="AZ599" s="365"/>
      <c r="BA599" s="377">
        <f t="shared" si="255"/>
        <v>0</v>
      </c>
      <c r="BB599" s="377">
        <f t="shared" si="256"/>
        <v>0</v>
      </c>
      <c r="BC599" s="377">
        <f t="shared" si="257"/>
        <v>0</v>
      </c>
      <c r="BD599" s="377">
        <f t="shared" si="258"/>
        <v>0</v>
      </c>
      <c r="BE599" s="377">
        <f t="shared" si="259"/>
        <v>0</v>
      </c>
      <c r="BF599" s="377">
        <f t="shared" si="260"/>
        <v>0</v>
      </c>
      <c r="BG599" s="328"/>
    </row>
    <row r="600" spans="2:59">
      <c r="B600" s="332">
        <v>585</v>
      </c>
      <c r="C600" s="350">
        <v>4464725.4212016333</v>
      </c>
      <c r="D600" s="350">
        <v>4448635.9717137655</v>
      </c>
      <c r="E600" s="350">
        <v>4431236.0209023133</v>
      </c>
      <c r="F600" s="350">
        <v>4410361.0551701952</v>
      </c>
      <c r="G600" s="350">
        <v>4384093.5511919642</v>
      </c>
      <c r="H600" s="348">
        <v>22139052.020179868</v>
      </c>
      <c r="I600" s="369"/>
      <c r="J600" s="350">
        <v>16772643.279101899</v>
      </c>
      <c r="K600" s="350">
        <v>16444609.920796359</v>
      </c>
      <c r="L600" s="350">
        <v>16106037.02094</v>
      </c>
      <c r="M600" s="350">
        <v>15731088.964588098</v>
      </c>
      <c r="N600" s="350">
        <v>15298014.42276543</v>
      </c>
      <c r="O600" s="348">
        <v>80352393.608191788</v>
      </c>
      <c r="P600" s="369"/>
      <c r="Q600" s="350">
        <f t="shared" si="261"/>
        <v>12307917.857900266</v>
      </c>
      <c r="R600" s="350">
        <f t="shared" si="262"/>
        <v>11995973.949082594</v>
      </c>
      <c r="S600" s="350">
        <f t="shared" si="263"/>
        <v>11674801.000037687</v>
      </c>
      <c r="T600" s="350">
        <f t="shared" si="264"/>
        <v>11320727.909417903</v>
      </c>
      <c r="U600" s="350">
        <f t="shared" si="265"/>
        <v>10913920.871573467</v>
      </c>
      <c r="V600" s="350">
        <f t="shared" si="266"/>
        <v>58213341.58801192</v>
      </c>
      <c r="W600" s="365"/>
      <c r="X600" s="377">
        <f t="shared" si="244"/>
        <v>0</v>
      </c>
      <c r="Y600" s="377">
        <f t="shared" si="245"/>
        <v>0</v>
      </c>
      <c r="Z600" s="377">
        <f t="shared" si="246"/>
        <v>0</v>
      </c>
      <c r="AA600" s="377">
        <f t="shared" si="247"/>
        <v>0</v>
      </c>
      <c r="AB600" s="377">
        <f t="shared" si="248"/>
        <v>0</v>
      </c>
      <c r="AC600" s="377">
        <f t="shared" si="249"/>
        <v>0</v>
      </c>
      <c r="AD600" s="376"/>
      <c r="AE600" s="332">
        <v>585</v>
      </c>
      <c r="AF600" s="350">
        <v>393218.33626286371</v>
      </c>
      <c r="AG600" s="350">
        <v>391801.30252346245</v>
      </c>
      <c r="AH600" s="350">
        <v>390268.85000652954</v>
      </c>
      <c r="AI600" s="350">
        <v>388430.34516684822</v>
      </c>
      <c r="AJ600" s="350">
        <v>386116.90744388103</v>
      </c>
      <c r="AK600" s="348">
        <v>1949835.7414035851</v>
      </c>
      <c r="AL600" s="369"/>
      <c r="AM600" s="350">
        <v>14075002.869111979</v>
      </c>
      <c r="AN600" s="350">
        <v>13955315.3242942</v>
      </c>
      <c r="AO600" s="350">
        <v>13823606.292901417</v>
      </c>
      <c r="AP600" s="350">
        <v>13653170.557293253</v>
      </c>
      <c r="AQ600" s="350">
        <v>13421147.186579889</v>
      </c>
      <c r="AR600" s="348">
        <v>68928242.23018074</v>
      </c>
      <c r="AS600" s="369"/>
      <c r="AT600" s="350">
        <f t="shared" si="267"/>
        <v>13681784.532849116</v>
      </c>
      <c r="AU600" s="350">
        <f t="shared" si="250"/>
        <v>13563514.021770738</v>
      </c>
      <c r="AV600" s="350">
        <f t="shared" si="251"/>
        <v>13433337.442894887</v>
      </c>
      <c r="AW600" s="350">
        <f t="shared" si="252"/>
        <v>13264740.212126404</v>
      </c>
      <c r="AX600" s="350">
        <f t="shared" si="253"/>
        <v>13035030.279136008</v>
      </c>
      <c r="AY600" s="350">
        <f t="shared" si="254"/>
        <v>66978406.488777153</v>
      </c>
      <c r="AZ600" s="365"/>
      <c r="BA600" s="377">
        <f t="shared" si="255"/>
        <v>0</v>
      </c>
      <c r="BB600" s="377">
        <f t="shared" si="256"/>
        <v>0</v>
      </c>
      <c r="BC600" s="377">
        <f t="shared" si="257"/>
        <v>0</v>
      </c>
      <c r="BD600" s="377">
        <f t="shared" si="258"/>
        <v>0</v>
      </c>
      <c r="BE600" s="377">
        <f t="shared" si="259"/>
        <v>0</v>
      </c>
      <c r="BF600" s="377">
        <f t="shared" si="260"/>
        <v>0</v>
      </c>
      <c r="BG600" s="328"/>
    </row>
    <row r="601" spans="2:59">
      <c r="B601" s="332">
        <v>586</v>
      </c>
      <c r="C601" s="350">
        <v>3657929.5527223255</v>
      </c>
      <c r="D601" s="350">
        <v>3644747.5387760201</v>
      </c>
      <c r="E601" s="350">
        <v>3630491.8369613271</v>
      </c>
      <c r="F601" s="350">
        <v>3613389.0709768906</v>
      </c>
      <c r="G601" s="350">
        <v>3591868.2225453286</v>
      </c>
      <c r="H601" s="348">
        <v>18138426.22198189</v>
      </c>
      <c r="I601" s="369"/>
      <c r="J601" s="350">
        <v>12614370.478367688</v>
      </c>
      <c r="K601" s="350">
        <v>12353739.66149335</v>
      </c>
      <c r="L601" s="350">
        <v>12085466.58354187</v>
      </c>
      <c r="M601" s="350">
        <v>11790570.473090341</v>
      </c>
      <c r="N601" s="350">
        <v>11453104.960223593</v>
      </c>
      <c r="O601" s="348">
        <v>60297252.156716846</v>
      </c>
      <c r="P601" s="369"/>
      <c r="Q601" s="350">
        <f t="shared" si="261"/>
        <v>8956440.9256453626</v>
      </c>
      <c r="R601" s="350">
        <f t="shared" si="262"/>
        <v>8708992.1227173302</v>
      </c>
      <c r="S601" s="350">
        <f t="shared" si="263"/>
        <v>8454974.746580543</v>
      </c>
      <c r="T601" s="350">
        <f t="shared" si="264"/>
        <v>8177181.4021134507</v>
      </c>
      <c r="U601" s="350">
        <f t="shared" si="265"/>
        <v>7861236.7376782643</v>
      </c>
      <c r="V601" s="350">
        <f t="shared" si="266"/>
        <v>42158825.934734955</v>
      </c>
      <c r="W601" s="365"/>
      <c r="X601" s="377">
        <f t="shared" si="244"/>
        <v>0</v>
      </c>
      <c r="Y601" s="377">
        <f t="shared" si="245"/>
        <v>0</v>
      </c>
      <c r="Z601" s="377">
        <f t="shared" si="246"/>
        <v>0</v>
      </c>
      <c r="AA601" s="377">
        <f t="shared" si="247"/>
        <v>0</v>
      </c>
      <c r="AB601" s="377">
        <f t="shared" si="248"/>
        <v>0</v>
      </c>
      <c r="AC601" s="377">
        <f t="shared" si="249"/>
        <v>0</v>
      </c>
      <c r="AD601" s="376"/>
      <c r="AE601" s="332">
        <v>586</v>
      </c>
      <c r="AF601" s="350">
        <v>339617.27616880171</v>
      </c>
      <c r="AG601" s="350">
        <v>338393.40359106654</v>
      </c>
      <c r="AH601" s="350">
        <v>337069.8454004564</v>
      </c>
      <c r="AI601" s="350">
        <v>335481.95402232319</v>
      </c>
      <c r="AJ601" s="350">
        <v>333483.86963610823</v>
      </c>
      <c r="AK601" s="348">
        <v>1684046.3488187559</v>
      </c>
      <c r="AL601" s="369"/>
      <c r="AM601" s="350">
        <v>9852045.3443582505</v>
      </c>
      <c r="AN601" s="350">
        <v>9765281.0812503062</v>
      </c>
      <c r="AO601" s="350">
        <v>9670163.1594977733</v>
      </c>
      <c r="AP601" s="350">
        <v>9548095.2584706023</v>
      </c>
      <c r="AQ601" s="350">
        <v>9383163.9301092569</v>
      </c>
      <c r="AR601" s="348">
        <v>48218748.773686185</v>
      </c>
      <c r="AS601" s="369"/>
      <c r="AT601" s="350">
        <f t="shared" si="267"/>
        <v>9512428.0681894496</v>
      </c>
      <c r="AU601" s="350">
        <f t="shared" si="250"/>
        <v>9426887.6776592396</v>
      </c>
      <c r="AV601" s="350">
        <f t="shared" si="251"/>
        <v>9333093.3140973169</v>
      </c>
      <c r="AW601" s="350">
        <f t="shared" si="252"/>
        <v>9212613.3044482786</v>
      </c>
      <c r="AX601" s="350">
        <f t="shared" si="253"/>
        <v>9049680.0604731478</v>
      </c>
      <c r="AY601" s="350">
        <f t="shared" si="254"/>
        <v>46534702.424867429</v>
      </c>
      <c r="AZ601" s="365"/>
      <c r="BA601" s="377">
        <f t="shared" si="255"/>
        <v>0</v>
      </c>
      <c r="BB601" s="377">
        <f t="shared" si="256"/>
        <v>0</v>
      </c>
      <c r="BC601" s="377">
        <f t="shared" si="257"/>
        <v>0</v>
      </c>
      <c r="BD601" s="377">
        <f t="shared" si="258"/>
        <v>0</v>
      </c>
      <c r="BE601" s="377">
        <f t="shared" si="259"/>
        <v>0</v>
      </c>
      <c r="BF601" s="377">
        <f t="shared" si="260"/>
        <v>0</v>
      </c>
      <c r="BG601" s="328"/>
    </row>
    <row r="602" spans="2:59">
      <c r="B602" s="332">
        <v>587</v>
      </c>
      <c r="C602" s="350">
        <v>6035360.4670773437</v>
      </c>
      <c r="D602" s="350">
        <v>6013610.9487497453</v>
      </c>
      <c r="E602" s="350">
        <v>5990089.910981589</v>
      </c>
      <c r="F602" s="350">
        <v>5961871.3911297452</v>
      </c>
      <c r="G602" s="350">
        <v>5926363.3049378842</v>
      </c>
      <c r="H602" s="348">
        <v>29927296.022876307</v>
      </c>
      <c r="I602" s="369"/>
      <c r="J602" s="350">
        <v>21263057.04578599</v>
      </c>
      <c r="K602" s="350">
        <v>20829787.959807411</v>
      </c>
      <c r="L602" s="350">
        <v>20383513.251034733</v>
      </c>
      <c r="M602" s="350">
        <v>19892042.934812449</v>
      </c>
      <c r="N602" s="350">
        <v>19328318.106605347</v>
      </c>
      <c r="O602" s="348">
        <v>101696719.29804593</v>
      </c>
      <c r="P602" s="369"/>
      <c r="Q602" s="350">
        <f t="shared" si="261"/>
        <v>15227696.578708645</v>
      </c>
      <c r="R602" s="350">
        <f t="shared" si="262"/>
        <v>14816177.011057666</v>
      </c>
      <c r="S602" s="350">
        <f t="shared" si="263"/>
        <v>14393423.340053145</v>
      </c>
      <c r="T602" s="350">
        <f t="shared" si="264"/>
        <v>13930171.543682704</v>
      </c>
      <c r="U602" s="350">
        <f t="shared" si="265"/>
        <v>13401954.801667463</v>
      </c>
      <c r="V602" s="350">
        <f t="shared" si="266"/>
        <v>71769423.275169626</v>
      </c>
      <c r="W602" s="365"/>
      <c r="X602" s="377">
        <f t="shared" si="244"/>
        <v>0</v>
      </c>
      <c r="Y602" s="377">
        <f t="shared" si="245"/>
        <v>0</v>
      </c>
      <c r="Z602" s="377">
        <f t="shared" si="246"/>
        <v>0</v>
      </c>
      <c r="AA602" s="377">
        <f t="shared" si="247"/>
        <v>0</v>
      </c>
      <c r="AB602" s="377">
        <f t="shared" si="248"/>
        <v>0</v>
      </c>
      <c r="AC602" s="377">
        <f t="shared" si="249"/>
        <v>0</v>
      </c>
      <c r="AD602" s="376"/>
      <c r="AE602" s="332">
        <v>587</v>
      </c>
      <c r="AF602" s="350">
        <v>682062.79148524313</v>
      </c>
      <c r="AG602" s="350">
        <v>679604.85425599176</v>
      </c>
      <c r="AH602" s="350">
        <v>676946.71564665914</v>
      </c>
      <c r="AI602" s="350">
        <v>673757.7093682898</v>
      </c>
      <c r="AJ602" s="350">
        <v>669744.9010993503</v>
      </c>
      <c r="AK602" s="348">
        <v>3382116.9718555342</v>
      </c>
      <c r="AL602" s="369"/>
      <c r="AM602" s="350">
        <v>17517125.640133042</v>
      </c>
      <c r="AN602" s="350">
        <v>17359228.146069854</v>
      </c>
      <c r="AO602" s="350">
        <v>17186551.790392485</v>
      </c>
      <c r="AP602" s="350">
        <v>16966149.161232475</v>
      </c>
      <c r="AQ602" s="350">
        <v>16669833.321652206</v>
      </c>
      <c r="AR602" s="348">
        <v>85698888.059480056</v>
      </c>
      <c r="AS602" s="369"/>
      <c r="AT602" s="350">
        <f t="shared" si="267"/>
        <v>16835062.848647799</v>
      </c>
      <c r="AU602" s="350">
        <f t="shared" si="250"/>
        <v>16679623.291813863</v>
      </c>
      <c r="AV602" s="350">
        <f t="shared" si="251"/>
        <v>16509605.074745825</v>
      </c>
      <c r="AW602" s="350">
        <f t="shared" si="252"/>
        <v>16292391.451864185</v>
      </c>
      <c r="AX602" s="350">
        <f t="shared" si="253"/>
        <v>16000088.420552855</v>
      </c>
      <c r="AY602" s="350">
        <f t="shared" si="254"/>
        <v>82316771.08762452</v>
      </c>
      <c r="AZ602" s="365"/>
      <c r="BA602" s="377">
        <f t="shared" si="255"/>
        <v>0</v>
      </c>
      <c r="BB602" s="377">
        <f t="shared" si="256"/>
        <v>0</v>
      </c>
      <c r="BC602" s="377">
        <f t="shared" si="257"/>
        <v>0</v>
      </c>
      <c r="BD602" s="377">
        <f t="shared" si="258"/>
        <v>0</v>
      </c>
      <c r="BE602" s="377">
        <f t="shared" si="259"/>
        <v>0</v>
      </c>
      <c r="BF602" s="377">
        <f t="shared" si="260"/>
        <v>0</v>
      </c>
      <c r="BG602" s="328"/>
    </row>
    <row r="603" spans="2:59">
      <c r="B603" s="332">
        <v>588</v>
      </c>
      <c r="C603" s="350">
        <v>6163395.014565642</v>
      </c>
      <c r="D603" s="350">
        <v>6141184.1004767874</v>
      </c>
      <c r="E603" s="350">
        <v>6117164.0858134609</v>
      </c>
      <c r="F603" s="350">
        <v>6088346.9363619871</v>
      </c>
      <c r="G603" s="350">
        <v>6052085.5792143084</v>
      </c>
      <c r="H603" s="348">
        <v>30562175.716432184</v>
      </c>
      <c r="I603" s="369"/>
      <c r="J603" s="350">
        <v>23017156.618721891</v>
      </c>
      <c r="K603" s="350">
        <v>22565304.767917387</v>
      </c>
      <c r="L603" s="350">
        <v>22099023.988424189</v>
      </c>
      <c r="M603" s="350">
        <v>21582914.574455094</v>
      </c>
      <c r="N603" s="350">
        <v>20987177.170187484</v>
      </c>
      <c r="O603" s="348">
        <v>110251577.11970606</v>
      </c>
      <c r="P603" s="369"/>
      <c r="Q603" s="350">
        <f t="shared" si="261"/>
        <v>16853761.604156248</v>
      </c>
      <c r="R603" s="350">
        <f t="shared" si="262"/>
        <v>16424120.667440601</v>
      </c>
      <c r="S603" s="350">
        <f t="shared" si="263"/>
        <v>15981859.902610729</v>
      </c>
      <c r="T603" s="350">
        <f t="shared" si="264"/>
        <v>15494567.638093106</v>
      </c>
      <c r="U603" s="350">
        <f t="shared" si="265"/>
        <v>14935091.590973176</v>
      </c>
      <c r="V603" s="350">
        <f t="shared" si="266"/>
        <v>79689401.40327388</v>
      </c>
      <c r="W603" s="365"/>
      <c r="X603" s="377">
        <f t="shared" si="244"/>
        <v>0</v>
      </c>
      <c r="Y603" s="377">
        <f t="shared" si="245"/>
        <v>0</v>
      </c>
      <c r="Z603" s="377">
        <f t="shared" si="246"/>
        <v>0</v>
      </c>
      <c r="AA603" s="377">
        <f t="shared" si="247"/>
        <v>0</v>
      </c>
      <c r="AB603" s="377">
        <f t="shared" si="248"/>
        <v>0</v>
      </c>
      <c r="AC603" s="377">
        <f t="shared" si="249"/>
        <v>0</v>
      </c>
      <c r="AD603" s="376"/>
      <c r="AE603" s="332">
        <v>588</v>
      </c>
      <c r="AF603" s="350">
        <v>339583.02084296604</v>
      </c>
      <c r="AG603" s="350">
        <v>338359.27171052323</v>
      </c>
      <c r="AH603" s="350">
        <v>337035.84701994475</v>
      </c>
      <c r="AI603" s="350">
        <v>335448.11580367695</v>
      </c>
      <c r="AJ603" s="350">
        <v>333450.23295323917</v>
      </c>
      <c r="AK603" s="348">
        <v>1683876.4883303503</v>
      </c>
      <c r="AL603" s="369"/>
      <c r="AM603" s="350">
        <v>9371643.3794426806</v>
      </c>
      <c r="AN603" s="350">
        <v>9288343.1372362655</v>
      </c>
      <c r="AO603" s="350">
        <v>9197112.2315655407</v>
      </c>
      <c r="AP603" s="350">
        <v>9080285.8922936656</v>
      </c>
      <c r="AQ603" s="350">
        <v>8922749.3460358232</v>
      </c>
      <c r="AR603" s="348">
        <v>45860133.986573979</v>
      </c>
      <c r="AS603" s="369"/>
      <c r="AT603" s="350">
        <f t="shared" si="267"/>
        <v>9032060.3585997149</v>
      </c>
      <c r="AU603" s="350">
        <f t="shared" si="250"/>
        <v>8949983.865525743</v>
      </c>
      <c r="AV603" s="350">
        <f t="shared" si="251"/>
        <v>8860076.3845455963</v>
      </c>
      <c r="AW603" s="350">
        <f t="shared" si="252"/>
        <v>8744837.776489988</v>
      </c>
      <c r="AX603" s="350">
        <f t="shared" si="253"/>
        <v>8589299.113082584</v>
      </c>
      <c r="AY603" s="350">
        <f t="shared" si="254"/>
        <v>44176257.49824363</v>
      </c>
      <c r="AZ603" s="365"/>
      <c r="BA603" s="377">
        <f t="shared" si="255"/>
        <v>0</v>
      </c>
      <c r="BB603" s="377">
        <f t="shared" si="256"/>
        <v>0</v>
      </c>
      <c r="BC603" s="377">
        <f t="shared" si="257"/>
        <v>0</v>
      </c>
      <c r="BD603" s="377">
        <f t="shared" si="258"/>
        <v>0</v>
      </c>
      <c r="BE603" s="377">
        <f t="shared" si="259"/>
        <v>0</v>
      </c>
      <c r="BF603" s="377">
        <f t="shared" si="260"/>
        <v>0</v>
      </c>
      <c r="BG603" s="328"/>
    </row>
    <row r="604" spans="2:59">
      <c r="B604" s="332">
        <v>589</v>
      </c>
      <c r="C604" s="350">
        <v>5462031.3862269018</v>
      </c>
      <c r="D604" s="350">
        <v>5442347.9634406939</v>
      </c>
      <c r="E604" s="350">
        <v>5421061.3067070786</v>
      </c>
      <c r="F604" s="350">
        <v>5395523.4052106543</v>
      </c>
      <c r="G604" s="350">
        <v>5363388.4097447228</v>
      </c>
      <c r="H604" s="348">
        <v>27084352.471330054</v>
      </c>
      <c r="I604" s="369"/>
      <c r="J604" s="350">
        <v>16147107.760335155</v>
      </c>
      <c r="K604" s="350">
        <v>15777311.538933855</v>
      </c>
      <c r="L604" s="350">
        <v>15398471.466469938</v>
      </c>
      <c r="M604" s="350">
        <v>14987459.376270752</v>
      </c>
      <c r="N604" s="350">
        <v>14524934.377440073</v>
      </c>
      <c r="O604" s="348">
        <v>76835284.51944977</v>
      </c>
      <c r="P604" s="369"/>
      <c r="Q604" s="350">
        <f t="shared" si="261"/>
        <v>10685076.374108253</v>
      </c>
      <c r="R604" s="350">
        <f t="shared" si="262"/>
        <v>10334963.575493161</v>
      </c>
      <c r="S604" s="350">
        <f t="shared" si="263"/>
        <v>9977410.1597628593</v>
      </c>
      <c r="T604" s="350">
        <f t="shared" si="264"/>
        <v>9591935.9710600972</v>
      </c>
      <c r="U604" s="350">
        <f t="shared" si="265"/>
        <v>9161545.9676953498</v>
      </c>
      <c r="V604" s="350">
        <f t="shared" si="266"/>
        <v>49750932.048119716</v>
      </c>
      <c r="W604" s="365"/>
      <c r="X604" s="377">
        <f t="shared" si="244"/>
        <v>0</v>
      </c>
      <c r="Y604" s="377">
        <f t="shared" si="245"/>
        <v>0</v>
      </c>
      <c r="Z604" s="377">
        <f t="shared" si="246"/>
        <v>0</v>
      </c>
      <c r="AA604" s="377">
        <f t="shared" si="247"/>
        <v>0</v>
      </c>
      <c r="AB604" s="377">
        <f t="shared" si="248"/>
        <v>0</v>
      </c>
      <c r="AC604" s="377">
        <f t="shared" si="249"/>
        <v>0</v>
      </c>
      <c r="AD604" s="376"/>
      <c r="AE604" s="332">
        <v>589</v>
      </c>
      <c r="AF604" s="350">
        <v>408744.23163161642</v>
      </c>
      <c r="AG604" s="350">
        <v>407271.2475065313</v>
      </c>
      <c r="AH604" s="350">
        <v>405678.28739053354</v>
      </c>
      <c r="AI604" s="350">
        <v>403767.1907331688</v>
      </c>
      <c r="AJ604" s="350">
        <v>401362.40886696993</v>
      </c>
      <c r="AK604" s="348">
        <v>2026823.36612882</v>
      </c>
      <c r="AL604" s="369"/>
      <c r="AM604" s="350">
        <v>12275849.368894679</v>
      </c>
      <c r="AN604" s="350">
        <v>12168408.632937314</v>
      </c>
      <c r="AO604" s="350">
        <v>12050545.400752667</v>
      </c>
      <c r="AP604" s="350">
        <v>11899066.661481228</v>
      </c>
      <c r="AQ604" s="350">
        <v>11694124.111616192</v>
      </c>
      <c r="AR604" s="348">
        <v>60087994.175682083</v>
      </c>
      <c r="AS604" s="369"/>
      <c r="AT604" s="350">
        <f t="shared" si="267"/>
        <v>11867105.137263063</v>
      </c>
      <c r="AU604" s="350">
        <f t="shared" si="250"/>
        <v>11761137.385430783</v>
      </c>
      <c r="AV604" s="350">
        <f t="shared" si="251"/>
        <v>11644867.113362134</v>
      </c>
      <c r="AW604" s="350">
        <f t="shared" si="252"/>
        <v>11495299.470748059</v>
      </c>
      <c r="AX604" s="350">
        <f t="shared" si="253"/>
        <v>11292761.702749223</v>
      </c>
      <c r="AY604" s="350">
        <f t="shared" si="254"/>
        <v>58061170.809553266</v>
      </c>
      <c r="AZ604" s="365"/>
      <c r="BA604" s="377">
        <f t="shared" si="255"/>
        <v>0</v>
      </c>
      <c r="BB604" s="377">
        <f t="shared" si="256"/>
        <v>0</v>
      </c>
      <c r="BC604" s="377">
        <f t="shared" si="257"/>
        <v>0</v>
      </c>
      <c r="BD604" s="377">
        <f t="shared" si="258"/>
        <v>0</v>
      </c>
      <c r="BE604" s="377">
        <f t="shared" si="259"/>
        <v>0</v>
      </c>
      <c r="BF604" s="377">
        <f t="shared" si="260"/>
        <v>0</v>
      </c>
      <c r="BG604" s="328"/>
    </row>
    <row r="605" spans="2:59">
      <c r="B605" s="332">
        <v>590</v>
      </c>
      <c r="C605" s="350">
        <v>6235664.0201151129</v>
      </c>
      <c r="D605" s="350">
        <v>6213192.6715303762</v>
      </c>
      <c r="E605" s="350">
        <v>6188891.0097279456</v>
      </c>
      <c r="F605" s="350">
        <v>6159735.9642421119</v>
      </c>
      <c r="G605" s="350">
        <v>6123049.4238610454</v>
      </c>
      <c r="H605" s="348">
        <v>30920533.089476593</v>
      </c>
      <c r="I605" s="369"/>
      <c r="J605" s="350">
        <v>19644238.956490226</v>
      </c>
      <c r="K605" s="350">
        <v>19213343.933504157</v>
      </c>
      <c r="L605" s="350">
        <v>18771058.541205022</v>
      </c>
      <c r="M605" s="350">
        <v>18288632.170848861</v>
      </c>
      <c r="N605" s="350">
        <v>17741972.623812653</v>
      </c>
      <c r="O605" s="348">
        <v>93659246.225860924</v>
      </c>
      <c r="P605" s="369"/>
      <c r="Q605" s="350">
        <f t="shared" si="261"/>
        <v>13408574.936375113</v>
      </c>
      <c r="R605" s="350">
        <f t="shared" si="262"/>
        <v>13000151.26197378</v>
      </c>
      <c r="S605" s="350">
        <f t="shared" si="263"/>
        <v>12582167.531477077</v>
      </c>
      <c r="T605" s="350">
        <f t="shared" si="264"/>
        <v>12128896.206606749</v>
      </c>
      <c r="U605" s="350">
        <f t="shared" si="265"/>
        <v>11618923.199951608</v>
      </c>
      <c r="V605" s="350">
        <f t="shared" si="266"/>
        <v>62738713.136384331</v>
      </c>
      <c r="W605" s="365"/>
      <c r="X605" s="377">
        <f t="shared" si="244"/>
        <v>0</v>
      </c>
      <c r="Y605" s="377">
        <f t="shared" si="245"/>
        <v>0</v>
      </c>
      <c r="Z605" s="377">
        <f t="shared" si="246"/>
        <v>0</v>
      </c>
      <c r="AA605" s="377">
        <f t="shared" si="247"/>
        <v>0</v>
      </c>
      <c r="AB605" s="377">
        <f t="shared" si="248"/>
        <v>0</v>
      </c>
      <c r="AC605" s="377">
        <f t="shared" si="249"/>
        <v>0</v>
      </c>
      <c r="AD605" s="376"/>
      <c r="AE605" s="332">
        <v>590</v>
      </c>
      <c r="AF605" s="350">
        <v>390139.96528564463</v>
      </c>
      <c r="AG605" s="350">
        <v>388734.02501553221</v>
      </c>
      <c r="AH605" s="350">
        <v>387213.56954176084</v>
      </c>
      <c r="AI605" s="350">
        <v>385389.45772350818</v>
      </c>
      <c r="AJ605" s="350">
        <v>383094.1311080028</v>
      </c>
      <c r="AK605" s="348">
        <v>1934571.1486744485</v>
      </c>
      <c r="AL605" s="369"/>
      <c r="AM605" s="350">
        <v>11998350.369086308</v>
      </c>
      <c r="AN605" s="350">
        <v>11893772.83874988</v>
      </c>
      <c r="AO605" s="350">
        <v>11778999.543564359</v>
      </c>
      <c r="AP605" s="350">
        <v>11631347.725041481</v>
      </c>
      <c r="AQ605" s="350">
        <v>11431404.888203965</v>
      </c>
      <c r="AR605" s="348">
        <v>58733875.364645988</v>
      </c>
      <c r="AS605" s="369"/>
      <c r="AT605" s="350">
        <f t="shared" si="267"/>
        <v>11608210.403800664</v>
      </c>
      <c r="AU605" s="350">
        <f t="shared" si="250"/>
        <v>11505038.813734347</v>
      </c>
      <c r="AV605" s="350">
        <f t="shared" si="251"/>
        <v>11391785.974022597</v>
      </c>
      <c r="AW605" s="350">
        <f t="shared" si="252"/>
        <v>11245958.267317973</v>
      </c>
      <c r="AX605" s="350">
        <f t="shared" si="253"/>
        <v>11048310.757095963</v>
      </c>
      <c r="AY605" s="350">
        <f t="shared" si="254"/>
        <v>56799304.215971537</v>
      </c>
      <c r="AZ605" s="365"/>
      <c r="BA605" s="377">
        <f t="shared" si="255"/>
        <v>0</v>
      </c>
      <c r="BB605" s="377">
        <f t="shared" si="256"/>
        <v>0</v>
      </c>
      <c r="BC605" s="377">
        <f t="shared" si="257"/>
        <v>0</v>
      </c>
      <c r="BD605" s="377">
        <f t="shared" si="258"/>
        <v>0</v>
      </c>
      <c r="BE605" s="377">
        <f t="shared" si="259"/>
        <v>0</v>
      </c>
      <c r="BF605" s="377">
        <f t="shared" si="260"/>
        <v>0</v>
      </c>
      <c r="BG605" s="328"/>
    </row>
    <row r="606" spans="2:59">
      <c r="B606" s="332">
        <v>591</v>
      </c>
      <c r="C606" s="350">
        <v>3718190.097005005</v>
      </c>
      <c r="D606" s="350">
        <v>3704790.9232354444</v>
      </c>
      <c r="E606" s="350">
        <v>3690300.3737184927</v>
      </c>
      <c r="F606" s="350">
        <v>3672915.8576423423</v>
      </c>
      <c r="G606" s="350">
        <v>3651040.475854896</v>
      </c>
      <c r="H606" s="348">
        <v>18437237.727456179</v>
      </c>
      <c r="I606" s="369"/>
      <c r="J606" s="350">
        <v>15554985.647424102</v>
      </c>
      <c r="K606" s="350">
        <v>15270364.880763082</v>
      </c>
      <c r="L606" s="350">
        <v>14975569.526800456</v>
      </c>
      <c r="M606" s="350">
        <v>14646006.631129095</v>
      </c>
      <c r="N606" s="350">
        <v>14260923.528835615</v>
      </c>
      <c r="O606" s="348">
        <v>74707850.21495235</v>
      </c>
      <c r="P606" s="369"/>
      <c r="Q606" s="350">
        <f t="shared" si="261"/>
        <v>11836795.550419096</v>
      </c>
      <c r="R606" s="350">
        <f t="shared" si="262"/>
        <v>11565573.957527637</v>
      </c>
      <c r="S606" s="350">
        <f t="shared" si="263"/>
        <v>11285269.153081963</v>
      </c>
      <c r="T606" s="350">
        <f t="shared" si="264"/>
        <v>10973090.773486752</v>
      </c>
      <c r="U606" s="350">
        <f t="shared" si="265"/>
        <v>10609883.052980719</v>
      </c>
      <c r="V606" s="350">
        <f t="shared" si="266"/>
        <v>56270612.487496167</v>
      </c>
      <c r="W606" s="365"/>
      <c r="X606" s="377">
        <f t="shared" si="244"/>
        <v>0</v>
      </c>
      <c r="Y606" s="377">
        <f t="shared" si="245"/>
        <v>0</v>
      </c>
      <c r="Z606" s="377">
        <f t="shared" si="246"/>
        <v>0</v>
      </c>
      <c r="AA606" s="377">
        <f t="shared" si="247"/>
        <v>0</v>
      </c>
      <c r="AB606" s="377">
        <f t="shared" si="248"/>
        <v>0</v>
      </c>
      <c r="AC606" s="377">
        <f t="shared" si="249"/>
        <v>0</v>
      </c>
      <c r="AD606" s="376"/>
      <c r="AE606" s="332">
        <v>591</v>
      </c>
      <c r="AF606" s="350">
        <v>401016.01819587499</v>
      </c>
      <c r="AG606" s="350">
        <v>399570.8840924541</v>
      </c>
      <c r="AH606" s="350">
        <v>398008.04240949679</v>
      </c>
      <c r="AI606" s="350">
        <v>396133.07925988937</v>
      </c>
      <c r="AJ606" s="350">
        <v>393773.7651118628</v>
      </c>
      <c r="AK606" s="348">
        <v>1988501.7890695781</v>
      </c>
      <c r="AL606" s="369"/>
      <c r="AM606" s="350">
        <v>13316276.919324681</v>
      </c>
      <c r="AN606" s="350">
        <v>13201696.004480641</v>
      </c>
      <c r="AO606" s="350">
        <v>13075769.102131678</v>
      </c>
      <c r="AP606" s="350">
        <v>12913274.010346387</v>
      </c>
      <c r="AQ606" s="350">
        <v>12692621.979520177</v>
      </c>
      <c r="AR606" s="348">
        <v>65199638.015803568</v>
      </c>
      <c r="AS606" s="369"/>
      <c r="AT606" s="350">
        <f t="shared" si="267"/>
        <v>12915260.901128806</v>
      </c>
      <c r="AU606" s="350">
        <f t="shared" si="250"/>
        <v>12802125.120388187</v>
      </c>
      <c r="AV606" s="350">
        <f t="shared" si="251"/>
        <v>12677761.059722181</v>
      </c>
      <c r="AW606" s="350">
        <f t="shared" si="252"/>
        <v>12517140.931086497</v>
      </c>
      <c r="AX606" s="350">
        <f t="shared" si="253"/>
        <v>12298848.214408314</v>
      </c>
      <c r="AY606" s="350">
        <f t="shared" si="254"/>
        <v>63211136.22673399</v>
      </c>
      <c r="AZ606" s="365"/>
      <c r="BA606" s="377">
        <f t="shared" si="255"/>
        <v>0</v>
      </c>
      <c r="BB606" s="377">
        <f t="shared" si="256"/>
        <v>0</v>
      </c>
      <c r="BC606" s="377">
        <f t="shared" si="257"/>
        <v>0</v>
      </c>
      <c r="BD606" s="377">
        <f t="shared" si="258"/>
        <v>0</v>
      </c>
      <c r="BE606" s="377">
        <f t="shared" si="259"/>
        <v>0</v>
      </c>
      <c r="BF606" s="377">
        <f t="shared" si="260"/>
        <v>0</v>
      </c>
      <c r="BG606" s="328"/>
    </row>
    <row r="607" spans="2:59">
      <c r="B607" s="332">
        <v>592</v>
      </c>
      <c r="C607" s="350">
        <v>3723113.3370816382</v>
      </c>
      <c r="D607" s="350">
        <v>3709696.4215216972</v>
      </c>
      <c r="E607" s="350">
        <v>3695186.6851282669</v>
      </c>
      <c r="F607" s="350">
        <v>3677779.1502865269</v>
      </c>
      <c r="G607" s="350">
        <v>3655874.8033968424</v>
      </c>
      <c r="H607" s="348">
        <v>18461650.397414971</v>
      </c>
      <c r="I607" s="369"/>
      <c r="J607" s="350">
        <v>14446584.947853833</v>
      </c>
      <c r="K607" s="350">
        <v>14169724.407709289</v>
      </c>
      <c r="L607" s="350">
        <v>13883669.969193809</v>
      </c>
      <c r="M607" s="350">
        <v>13565985.480319163</v>
      </c>
      <c r="N607" s="350">
        <v>13197767.880833868</v>
      </c>
      <c r="O607" s="348">
        <v>69263732.685909972</v>
      </c>
      <c r="P607" s="369"/>
      <c r="Q607" s="350">
        <f t="shared" si="261"/>
        <v>10723471.610772196</v>
      </c>
      <c r="R607" s="350">
        <f t="shared" si="262"/>
        <v>10460027.986187592</v>
      </c>
      <c r="S607" s="350">
        <f t="shared" si="263"/>
        <v>10188483.284065541</v>
      </c>
      <c r="T607" s="350">
        <f t="shared" si="264"/>
        <v>9888206.3300326355</v>
      </c>
      <c r="U607" s="350">
        <f t="shared" si="265"/>
        <v>9541893.0774370246</v>
      </c>
      <c r="V607" s="350">
        <f t="shared" si="266"/>
        <v>50802082.288495004</v>
      </c>
      <c r="W607" s="365"/>
      <c r="X607" s="377">
        <f t="shared" si="244"/>
        <v>0</v>
      </c>
      <c r="Y607" s="377">
        <f t="shared" si="245"/>
        <v>0</v>
      </c>
      <c r="Z607" s="377">
        <f t="shared" si="246"/>
        <v>0</v>
      </c>
      <c r="AA607" s="377">
        <f t="shared" si="247"/>
        <v>0</v>
      </c>
      <c r="AB607" s="377">
        <f t="shared" si="248"/>
        <v>0</v>
      </c>
      <c r="AC607" s="377">
        <f t="shared" si="249"/>
        <v>0</v>
      </c>
      <c r="AD607" s="376"/>
      <c r="AE607" s="332">
        <v>592</v>
      </c>
      <c r="AF607" s="350">
        <v>441242.41247644479</v>
      </c>
      <c r="AG607" s="350">
        <v>439652.3152503685</v>
      </c>
      <c r="AH607" s="350">
        <v>437932.70305729652</v>
      </c>
      <c r="AI607" s="350">
        <v>435869.66012160719</v>
      </c>
      <c r="AJ607" s="350">
        <v>433273.680362124</v>
      </c>
      <c r="AK607" s="348">
        <v>2187970.7712678406</v>
      </c>
      <c r="AL607" s="369"/>
      <c r="AM607" s="350">
        <v>12777764.987074552</v>
      </c>
      <c r="AN607" s="350">
        <v>12665198.966876412</v>
      </c>
      <c r="AO607" s="350">
        <v>12541799.267797941</v>
      </c>
      <c r="AP607" s="350">
        <v>12383448.254118741</v>
      </c>
      <c r="AQ607" s="350">
        <v>12169507.788064238</v>
      </c>
      <c r="AR607" s="348">
        <v>62537719.263931885</v>
      </c>
      <c r="AS607" s="369"/>
      <c r="AT607" s="350">
        <f t="shared" si="267"/>
        <v>12336522.574598107</v>
      </c>
      <c r="AU607" s="350">
        <f t="shared" si="250"/>
        <v>12225546.651626043</v>
      </c>
      <c r="AV607" s="350">
        <f t="shared" si="251"/>
        <v>12103866.564740645</v>
      </c>
      <c r="AW607" s="350">
        <f t="shared" si="252"/>
        <v>11947578.593997134</v>
      </c>
      <c r="AX607" s="350">
        <f t="shared" si="253"/>
        <v>11736234.107702114</v>
      </c>
      <c r="AY607" s="350">
        <f t="shared" si="254"/>
        <v>60349748.492664047</v>
      </c>
      <c r="AZ607" s="365"/>
      <c r="BA607" s="377">
        <f t="shared" si="255"/>
        <v>0</v>
      </c>
      <c r="BB607" s="377">
        <f t="shared" si="256"/>
        <v>0</v>
      </c>
      <c r="BC607" s="377">
        <f t="shared" si="257"/>
        <v>0</v>
      </c>
      <c r="BD607" s="377">
        <f t="shared" si="258"/>
        <v>0</v>
      </c>
      <c r="BE607" s="377">
        <f t="shared" si="259"/>
        <v>0</v>
      </c>
      <c r="BF607" s="377">
        <f t="shared" si="260"/>
        <v>0</v>
      </c>
      <c r="BG607" s="328"/>
    </row>
    <row r="608" spans="2:59">
      <c r="B608" s="332">
        <v>593</v>
      </c>
      <c r="C608" s="350">
        <v>6659677.9721701294</v>
      </c>
      <c r="D608" s="350">
        <v>6635678.6122475993</v>
      </c>
      <c r="E608" s="350">
        <v>6609724.4810964186</v>
      </c>
      <c r="F608" s="350">
        <v>6578586.9448896404</v>
      </c>
      <c r="G608" s="350">
        <v>6539405.7856638087</v>
      </c>
      <c r="H608" s="348">
        <v>33023073.796067599</v>
      </c>
      <c r="I608" s="369"/>
      <c r="J608" s="350">
        <v>20069510.412760645</v>
      </c>
      <c r="K608" s="350">
        <v>19615877.617544062</v>
      </c>
      <c r="L608" s="350">
        <v>19150881.688816577</v>
      </c>
      <c r="M608" s="350">
        <v>18645582.6846058</v>
      </c>
      <c r="N608" s="350">
        <v>18075763.990170337</v>
      </c>
      <c r="O608" s="348">
        <v>95557616.393897414</v>
      </c>
      <c r="P608" s="369"/>
      <c r="Q608" s="350">
        <f t="shared" si="261"/>
        <v>13409832.440590516</v>
      </c>
      <c r="R608" s="350">
        <f t="shared" si="262"/>
        <v>12980199.005296463</v>
      </c>
      <c r="S608" s="350">
        <f t="shared" si="263"/>
        <v>12541157.207720159</v>
      </c>
      <c r="T608" s="350">
        <f t="shared" si="264"/>
        <v>12066995.739716159</v>
      </c>
      <c r="U608" s="350">
        <f t="shared" si="265"/>
        <v>11536358.204506528</v>
      </c>
      <c r="V608" s="350">
        <f t="shared" si="266"/>
        <v>62534542.597829819</v>
      </c>
      <c r="W608" s="365"/>
      <c r="X608" s="377">
        <f t="shared" si="244"/>
        <v>0</v>
      </c>
      <c r="Y608" s="377">
        <f t="shared" si="245"/>
        <v>0</v>
      </c>
      <c r="Z608" s="377">
        <f t="shared" si="246"/>
        <v>0</v>
      </c>
      <c r="AA608" s="377">
        <f t="shared" si="247"/>
        <v>0</v>
      </c>
      <c r="AB608" s="377">
        <f t="shared" si="248"/>
        <v>0</v>
      </c>
      <c r="AC608" s="377">
        <f t="shared" si="249"/>
        <v>0</v>
      </c>
      <c r="AD608" s="376"/>
      <c r="AE608" s="332">
        <v>593</v>
      </c>
      <c r="AF608" s="350">
        <v>481756.91414514999</v>
      </c>
      <c r="AG608" s="350">
        <v>480020.81554908352</v>
      </c>
      <c r="AH608" s="350">
        <v>478143.31003230612</v>
      </c>
      <c r="AI608" s="350">
        <v>475890.84025527694</v>
      </c>
      <c r="AJ608" s="350">
        <v>473056.49985020852</v>
      </c>
      <c r="AK608" s="348">
        <v>2388868.3798320252</v>
      </c>
      <c r="AL608" s="369"/>
      <c r="AM608" s="350">
        <v>12696519.488510776</v>
      </c>
      <c r="AN608" s="350">
        <v>12582659.310438935</v>
      </c>
      <c r="AO608" s="350">
        <v>12458075.379892731</v>
      </c>
      <c r="AP608" s="350">
        <v>12298868.321978312</v>
      </c>
      <c r="AQ608" s="350">
        <v>12084590.75029519</v>
      </c>
      <c r="AR608" s="348">
        <v>62120713.251115948</v>
      </c>
      <c r="AS608" s="369"/>
      <c r="AT608" s="350">
        <f t="shared" si="267"/>
        <v>12214762.574365627</v>
      </c>
      <c r="AU608" s="350">
        <f t="shared" si="250"/>
        <v>12102638.494889852</v>
      </c>
      <c r="AV608" s="350">
        <f t="shared" si="251"/>
        <v>11979932.069860425</v>
      </c>
      <c r="AW608" s="350">
        <f t="shared" si="252"/>
        <v>11822977.481723035</v>
      </c>
      <c r="AX608" s="350">
        <f t="shared" si="253"/>
        <v>11611534.250444982</v>
      </c>
      <c r="AY608" s="350">
        <f t="shared" si="254"/>
        <v>59731844.871283926</v>
      </c>
      <c r="AZ608" s="365"/>
      <c r="BA608" s="377">
        <f t="shared" si="255"/>
        <v>0</v>
      </c>
      <c r="BB608" s="377">
        <f t="shared" si="256"/>
        <v>0</v>
      </c>
      <c r="BC608" s="377">
        <f t="shared" si="257"/>
        <v>0</v>
      </c>
      <c r="BD608" s="377">
        <f t="shared" si="258"/>
        <v>0</v>
      </c>
      <c r="BE608" s="377">
        <f t="shared" si="259"/>
        <v>0</v>
      </c>
      <c r="BF608" s="377">
        <f t="shared" si="260"/>
        <v>0</v>
      </c>
      <c r="BG608" s="328"/>
    </row>
    <row r="609" spans="2:59">
      <c r="B609" s="332">
        <v>594</v>
      </c>
      <c r="C609" s="350">
        <v>4383588.3516860288</v>
      </c>
      <c r="D609" s="350">
        <v>4367791.2943742536</v>
      </c>
      <c r="E609" s="350">
        <v>4350707.5513662761</v>
      </c>
      <c r="F609" s="350">
        <v>4330211.9445836926</v>
      </c>
      <c r="G609" s="350">
        <v>4304421.7976868544</v>
      </c>
      <c r="H609" s="348">
        <v>21736720.939697102</v>
      </c>
      <c r="I609" s="369"/>
      <c r="J609" s="350">
        <v>13625827.812225901</v>
      </c>
      <c r="K609" s="350">
        <v>13324239.158113161</v>
      </c>
      <c r="L609" s="350">
        <v>13014805.083770916</v>
      </c>
      <c r="M609" s="350">
        <v>12677670.741387252</v>
      </c>
      <c r="N609" s="350">
        <v>12296205.241134727</v>
      </c>
      <c r="O609" s="348">
        <v>64938748.036631949</v>
      </c>
      <c r="P609" s="369"/>
      <c r="Q609" s="350">
        <f t="shared" si="261"/>
        <v>9242239.4605398718</v>
      </c>
      <c r="R609" s="350">
        <f t="shared" si="262"/>
        <v>8956447.8637389075</v>
      </c>
      <c r="S609" s="350">
        <f t="shared" si="263"/>
        <v>8664097.5324046388</v>
      </c>
      <c r="T609" s="350">
        <f t="shared" si="264"/>
        <v>8347458.7968035592</v>
      </c>
      <c r="U609" s="350">
        <f t="shared" si="265"/>
        <v>7991783.443447873</v>
      </c>
      <c r="V609" s="350">
        <f t="shared" si="266"/>
        <v>43202027.096934848</v>
      </c>
      <c r="W609" s="365"/>
      <c r="X609" s="377">
        <f t="shared" si="244"/>
        <v>0</v>
      </c>
      <c r="Y609" s="377">
        <f t="shared" si="245"/>
        <v>0</v>
      </c>
      <c r="Z609" s="377">
        <f t="shared" si="246"/>
        <v>0</v>
      </c>
      <c r="AA609" s="377">
        <f t="shared" si="247"/>
        <v>0</v>
      </c>
      <c r="AB609" s="377">
        <f t="shared" si="248"/>
        <v>0</v>
      </c>
      <c r="AC609" s="377">
        <f t="shared" si="249"/>
        <v>0</v>
      </c>
      <c r="AD609" s="376"/>
      <c r="AE609" s="332">
        <v>594</v>
      </c>
      <c r="AF609" s="350">
        <v>470194.27892548544</v>
      </c>
      <c r="AG609" s="350">
        <v>468499.84838686115</v>
      </c>
      <c r="AH609" s="350">
        <v>466667.40483136737</v>
      </c>
      <c r="AI609" s="350">
        <v>464468.99652312131</v>
      </c>
      <c r="AJ609" s="350">
        <v>461702.68304870999</v>
      </c>
      <c r="AK609" s="348">
        <v>2331533.2117155455</v>
      </c>
      <c r="AL609" s="369"/>
      <c r="AM609" s="350">
        <v>16907613.383104369</v>
      </c>
      <c r="AN609" s="350">
        <v>16763938.784364115</v>
      </c>
      <c r="AO609" s="350">
        <v>16605821.314918822</v>
      </c>
      <c r="AP609" s="350">
        <v>16401178.065189417</v>
      </c>
      <c r="AQ609" s="350">
        <v>16122544.347972605</v>
      </c>
      <c r="AR609" s="348">
        <v>82801095.895549327</v>
      </c>
      <c r="AS609" s="369"/>
      <c r="AT609" s="350">
        <f t="shared" si="267"/>
        <v>16437419.104178883</v>
      </c>
      <c r="AU609" s="350">
        <f t="shared" si="250"/>
        <v>16295438.935977254</v>
      </c>
      <c r="AV609" s="350">
        <f t="shared" si="251"/>
        <v>16139153.910087455</v>
      </c>
      <c r="AW609" s="350">
        <f t="shared" si="252"/>
        <v>15936709.068666296</v>
      </c>
      <c r="AX609" s="350">
        <f t="shared" si="253"/>
        <v>15660841.664923895</v>
      </c>
      <c r="AY609" s="350">
        <f t="shared" si="254"/>
        <v>80469562.683833778</v>
      </c>
      <c r="AZ609" s="365"/>
      <c r="BA609" s="377">
        <f t="shared" si="255"/>
        <v>0</v>
      </c>
      <c r="BB609" s="377">
        <f t="shared" si="256"/>
        <v>0</v>
      </c>
      <c r="BC609" s="377">
        <f t="shared" si="257"/>
        <v>0</v>
      </c>
      <c r="BD609" s="377">
        <f t="shared" si="258"/>
        <v>0</v>
      </c>
      <c r="BE609" s="377">
        <f t="shared" si="259"/>
        <v>0</v>
      </c>
      <c r="BF609" s="377">
        <f t="shared" si="260"/>
        <v>0</v>
      </c>
      <c r="BG609" s="328"/>
    </row>
    <row r="610" spans="2:59">
      <c r="B610" s="332">
        <v>595</v>
      </c>
      <c r="C610" s="350">
        <v>6696806.5532619767</v>
      </c>
      <c r="D610" s="350">
        <v>6672673.3937496208</v>
      </c>
      <c r="E610" s="350">
        <v>6646574.5649017738</v>
      </c>
      <c r="F610" s="350">
        <v>6615263.4328330215</v>
      </c>
      <c r="G610" s="350">
        <v>6575863.8334883638</v>
      </c>
      <c r="H610" s="348">
        <v>33207181.778234754</v>
      </c>
      <c r="I610" s="369"/>
      <c r="J610" s="350">
        <v>22689234.396602418</v>
      </c>
      <c r="K610" s="350">
        <v>22214997.668936562</v>
      </c>
      <c r="L610" s="350">
        <v>21727126.133169398</v>
      </c>
      <c r="M610" s="350">
        <v>21191655.278938781</v>
      </c>
      <c r="N610" s="350">
        <v>20580063.927785441</v>
      </c>
      <c r="O610" s="348">
        <v>108403077.4054326</v>
      </c>
      <c r="P610" s="369"/>
      <c r="Q610" s="350">
        <f t="shared" si="261"/>
        <v>15992427.843340442</v>
      </c>
      <c r="R610" s="350">
        <f t="shared" si="262"/>
        <v>15542324.275186941</v>
      </c>
      <c r="S610" s="350">
        <f t="shared" si="263"/>
        <v>15080551.568267625</v>
      </c>
      <c r="T610" s="350">
        <f t="shared" si="264"/>
        <v>14576391.84610576</v>
      </c>
      <c r="U610" s="350">
        <f t="shared" si="265"/>
        <v>14004200.094297078</v>
      </c>
      <c r="V610" s="350">
        <f t="shared" si="266"/>
        <v>75195895.627197847</v>
      </c>
      <c r="W610" s="365"/>
      <c r="X610" s="377">
        <f t="shared" si="244"/>
        <v>0</v>
      </c>
      <c r="Y610" s="377">
        <f t="shared" si="245"/>
        <v>0</v>
      </c>
      <c r="Z610" s="377">
        <f t="shared" si="246"/>
        <v>0</v>
      </c>
      <c r="AA610" s="377">
        <f t="shared" si="247"/>
        <v>0</v>
      </c>
      <c r="AB610" s="377">
        <f t="shared" si="248"/>
        <v>0</v>
      </c>
      <c r="AC610" s="377">
        <f t="shared" si="249"/>
        <v>0</v>
      </c>
      <c r="AD610" s="376"/>
      <c r="AE610" s="332">
        <v>595</v>
      </c>
      <c r="AF610" s="350">
        <v>510115.81213136873</v>
      </c>
      <c r="AG610" s="350">
        <v>508277.51709237805</v>
      </c>
      <c r="AH610" s="350">
        <v>506289.49113291351</v>
      </c>
      <c r="AI610" s="350">
        <v>503904.42842623813</v>
      </c>
      <c r="AJ610" s="350">
        <v>500903.24294215679</v>
      </c>
      <c r="AK610" s="348">
        <v>2529490.491725055</v>
      </c>
      <c r="AL610" s="369"/>
      <c r="AM610" s="350">
        <v>13531073.844181007</v>
      </c>
      <c r="AN610" s="350">
        <v>13409882.981062658</v>
      </c>
      <c r="AO610" s="350">
        <v>13277260.349452695</v>
      </c>
      <c r="AP610" s="350">
        <v>13107730.689711694</v>
      </c>
      <c r="AQ610" s="350">
        <v>12879498.04437932</v>
      </c>
      <c r="AR610" s="348">
        <v>66205445.908787385</v>
      </c>
      <c r="AS610" s="369"/>
      <c r="AT610" s="350">
        <f t="shared" si="267"/>
        <v>13020958.032049637</v>
      </c>
      <c r="AU610" s="350">
        <f t="shared" si="250"/>
        <v>12901605.463970279</v>
      </c>
      <c r="AV610" s="350">
        <f t="shared" si="251"/>
        <v>12770970.858319782</v>
      </c>
      <c r="AW610" s="350">
        <f t="shared" si="252"/>
        <v>12603826.261285456</v>
      </c>
      <c r="AX610" s="350">
        <f t="shared" si="253"/>
        <v>12378594.801437164</v>
      </c>
      <c r="AY610" s="350">
        <f t="shared" si="254"/>
        <v>63675955.417062327</v>
      </c>
      <c r="AZ610" s="365"/>
      <c r="BA610" s="377">
        <f t="shared" si="255"/>
        <v>0</v>
      </c>
      <c r="BB610" s="377">
        <f t="shared" si="256"/>
        <v>0</v>
      </c>
      <c r="BC610" s="377">
        <f t="shared" si="257"/>
        <v>0</v>
      </c>
      <c r="BD610" s="377">
        <f t="shared" si="258"/>
        <v>0</v>
      </c>
      <c r="BE610" s="377">
        <f t="shared" si="259"/>
        <v>0</v>
      </c>
      <c r="BF610" s="377">
        <f t="shared" si="260"/>
        <v>0</v>
      </c>
      <c r="BG610" s="328"/>
    </row>
    <row r="611" spans="2:59">
      <c r="B611" s="332">
        <v>596</v>
      </c>
      <c r="C611" s="350">
        <v>4524786.8459325321</v>
      </c>
      <c r="D611" s="350">
        <v>4508480.9541849019</v>
      </c>
      <c r="E611" s="350">
        <v>4490846.931680928</v>
      </c>
      <c r="F611" s="350">
        <v>4469691.146846897</v>
      </c>
      <c r="G611" s="350">
        <v>4443070.2810010873</v>
      </c>
      <c r="H611" s="348">
        <v>22436876.159646347</v>
      </c>
      <c r="I611" s="369"/>
      <c r="J611" s="350">
        <v>14783459.109376173</v>
      </c>
      <c r="K611" s="350">
        <v>14466975.895445641</v>
      </c>
      <c r="L611" s="350">
        <v>14141761.659274923</v>
      </c>
      <c r="M611" s="350">
        <v>13785928.236426417</v>
      </c>
      <c r="N611" s="350">
        <v>13381114.069503512</v>
      </c>
      <c r="O611" s="348">
        <v>70559238.970026672</v>
      </c>
      <c r="P611" s="369"/>
      <c r="Q611" s="350">
        <f t="shared" si="261"/>
        <v>10258672.263443641</v>
      </c>
      <c r="R611" s="350">
        <f t="shared" si="262"/>
        <v>9958494.9412607402</v>
      </c>
      <c r="S611" s="350">
        <f t="shared" si="263"/>
        <v>9650914.7275939956</v>
      </c>
      <c r="T611" s="350">
        <f t="shared" si="264"/>
        <v>9316237.0895795189</v>
      </c>
      <c r="U611" s="350">
        <f t="shared" si="265"/>
        <v>8938043.788502425</v>
      </c>
      <c r="V611" s="350">
        <f t="shared" si="266"/>
        <v>48122362.810380325</v>
      </c>
      <c r="W611" s="365"/>
      <c r="X611" s="377">
        <f t="shared" si="244"/>
        <v>0</v>
      </c>
      <c r="Y611" s="377">
        <f t="shared" si="245"/>
        <v>0</v>
      </c>
      <c r="Z611" s="377">
        <f t="shared" si="246"/>
        <v>0</v>
      </c>
      <c r="AA611" s="377">
        <f t="shared" si="247"/>
        <v>0</v>
      </c>
      <c r="AB611" s="377">
        <f t="shared" si="248"/>
        <v>0</v>
      </c>
      <c r="AC611" s="377">
        <f t="shared" si="249"/>
        <v>0</v>
      </c>
      <c r="AD611" s="376"/>
      <c r="AE611" s="332">
        <v>596</v>
      </c>
      <c r="AF611" s="350">
        <v>490730.88767696888</v>
      </c>
      <c r="AG611" s="350">
        <v>488962.44973632396</v>
      </c>
      <c r="AH611" s="350">
        <v>487049.97080386995</v>
      </c>
      <c r="AI611" s="350">
        <v>484755.542928126</v>
      </c>
      <c r="AJ611" s="350">
        <v>481868.40557291848</v>
      </c>
      <c r="AK611" s="348">
        <v>2433367.2567182072</v>
      </c>
      <c r="AL611" s="369"/>
      <c r="AM611" s="350">
        <v>14452236.60690167</v>
      </c>
      <c r="AN611" s="350">
        <v>14325305.978047011</v>
      </c>
      <c r="AO611" s="350">
        <v>14186114.066693809</v>
      </c>
      <c r="AP611" s="350">
        <v>14007370.235115888</v>
      </c>
      <c r="AQ611" s="350">
        <v>13765720.353049934</v>
      </c>
      <c r="AR611" s="348">
        <v>70736747.239808306</v>
      </c>
      <c r="AS611" s="369"/>
      <c r="AT611" s="350">
        <f t="shared" si="267"/>
        <v>13961505.719224701</v>
      </c>
      <c r="AU611" s="350">
        <f t="shared" si="250"/>
        <v>13836343.528310688</v>
      </c>
      <c r="AV611" s="350">
        <f t="shared" si="251"/>
        <v>13699064.095889939</v>
      </c>
      <c r="AW611" s="350">
        <f t="shared" si="252"/>
        <v>13522614.692187762</v>
      </c>
      <c r="AX611" s="350">
        <f t="shared" si="253"/>
        <v>13283851.947477015</v>
      </c>
      <c r="AY611" s="350">
        <f t="shared" si="254"/>
        <v>68303379.983090103</v>
      </c>
      <c r="AZ611" s="365"/>
      <c r="BA611" s="377">
        <f t="shared" si="255"/>
        <v>0</v>
      </c>
      <c r="BB611" s="377">
        <f t="shared" si="256"/>
        <v>0</v>
      </c>
      <c r="BC611" s="377">
        <f t="shared" si="257"/>
        <v>0</v>
      </c>
      <c r="BD611" s="377">
        <f t="shared" si="258"/>
        <v>0</v>
      </c>
      <c r="BE611" s="377">
        <f t="shared" si="259"/>
        <v>0</v>
      </c>
      <c r="BF611" s="377">
        <f t="shared" si="260"/>
        <v>0</v>
      </c>
      <c r="BG611" s="328"/>
    </row>
    <row r="612" spans="2:59">
      <c r="B612" s="332">
        <v>597</v>
      </c>
      <c r="C612" s="350">
        <v>5691673.9582800772</v>
      </c>
      <c r="D612" s="350">
        <v>5671162.9767495459</v>
      </c>
      <c r="E612" s="350">
        <v>5648981.3558062706</v>
      </c>
      <c r="F612" s="350">
        <v>5622369.7531591579</v>
      </c>
      <c r="G612" s="350">
        <v>5588883.6920383666</v>
      </c>
      <c r="H612" s="348">
        <v>28223071.736033417</v>
      </c>
      <c r="I612" s="369"/>
      <c r="J612" s="350">
        <v>20956984.508295514</v>
      </c>
      <c r="K612" s="350">
        <v>20541867.186990514</v>
      </c>
      <c r="L612" s="350">
        <v>20113688.147498842</v>
      </c>
      <c r="M612" s="350">
        <v>19640335.9520039</v>
      </c>
      <c r="N612" s="350">
        <v>19094788.309967909</v>
      </c>
      <c r="O612" s="348">
        <v>100347664.10475667</v>
      </c>
      <c r="P612" s="369"/>
      <c r="Q612" s="350">
        <f t="shared" si="261"/>
        <v>15265310.550015436</v>
      </c>
      <c r="R612" s="350">
        <f t="shared" si="262"/>
        <v>14870704.210240968</v>
      </c>
      <c r="S612" s="350">
        <f t="shared" si="263"/>
        <v>14464706.791692572</v>
      </c>
      <c r="T612" s="350">
        <f t="shared" si="264"/>
        <v>14017966.198844742</v>
      </c>
      <c r="U612" s="350">
        <f t="shared" si="265"/>
        <v>13505904.617929542</v>
      </c>
      <c r="V612" s="350">
        <f t="shared" si="266"/>
        <v>72124592.368723243</v>
      </c>
      <c r="W612" s="365"/>
      <c r="X612" s="377">
        <f t="shared" si="244"/>
        <v>0</v>
      </c>
      <c r="Y612" s="377">
        <f t="shared" si="245"/>
        <v>0</v>
      </c>
      <c r="Z612" s="377">
        <f t="shared" si="246"/>
        <v>0</v>
      </c>
      <c r="AA612" s="377">
        <f t="shared" si="247"/>
        <v>0</v>
      </c>
      <c r="AB612" s="377">
        <f t="shared" si="248"/>
        <v>0</v>
      </c>
      <c r="AC612" s="377">
        <f t="shared" si="249"/>
        <v>0</v>
      </c>
      <c r="AD612" s="376"/>
      <c r="AE612" s="332">
        <v>597</v>
      </c>
      <c r="AF612" s="350">
        <v>455489.28185857058</v>
      </c>
      <c r="AG612" s="350">
        <v>453847.8434494072</v>
      </c>
      <c r="AH612" s="350">
        <v>452072.70828390581</v>
      </c>
      <c r="AI612" s="350">
        <v>449943.05365721992</v>
      </c>
      <c r="AJ612" s="350">
        <v>447263.25470106339</v>
      </c>
      <c r="AK612" s="348">
        <v>2258616.1419501668</v>
      </c>
      <c r="AL612" s="369"/>
      <c r="AM612" s="350">
        <v>14253747.530435575</v>
      </c>
      <c r="AN612" s="350">
        <v>14129882.565262442</v>
      </c>
      <c r="AO612" s="350">
        <v>13993897.712724164</v>
      </c>
      <c r="AP612" s="350">
        <v>13818834.440352764</v>
      </c>
      <c r="AQ612" s="350">
        <v>13581620.201961022</v>
      </c>
      <c r="AR612" s="348">
        <v>69777982.450735971</v>
      </c>
      <c r="AS612" s="369"/>
      <c r="AT612" s="350">
        <f t="shared" si="267"/>
        <v>13798258.248577004</v>
      </c>
      <c r="AU612" s="350">
        <f t="shared" si="250"/>
        <v>13676034.721813036</v>
      </c>
      <c r="AV612" s="350">
        <f t="shared" si="251"/>
        <v>13541825.004440259</v>
      </c>
      <c r="AW612" s="350">
        <f t="shared" si="252"/>
        <v>13368891.386695543</v>
      </c>
      <c r="AX612" s="350">
        <f t="shared" si="253"/>
        <v>13134356.947259959</v>
      </c>
      <c r="AY612" s="350">
        <f t="shared" si="254"/>
        <v>67519366.308785811</v>
      </c>
      <c r="AZ612" s="365"/>
      <c r="BA612" s="377">
        <f t="shared" si="255"/>
        <v>0</v>
      </c>
      <c r="BB612" s="377">
        <f t="shared" si="256"/>
        <v>0</v>
      </c>
      <c r="BC612" s="377">
        <f t="shared" si="257"/>
        <v>0</v>
      </c>
      <c r="BD612" s="377">
        <f t="shared" si="258"/>
        <v>0</v>
      </c>
      <c r="BE612" s="377">
        <f t="shared" si="259"/>
        <v>0</v>
      </c>
      <c r="BF612" s="377">
        <f t="shared" si="260"/>
        <v>0</v>
      </c>
      <c r="BG612" s="328"/>
    </row>
    <row r="613" spans="2:59">
      <c r="B613" s="332">
        <v>598</v>
      </c>
      <c r="C613" s="350">
        <v>6395920.1440438423</v>
      </c>
      <c r="D613" s="350">
        <v>6372871.2833910994</v>
      </c>
      <c r="E613" s="350">
        <v>6347945.0706005283</v>
      </c>
      <c r="F613" s="350">
        <v>6318040.742509434</v>
      </c>
      <c r="G613" s="350">
        <v>6280411.3606374115</v>
      </c>
      <c r="H613" s="348">
        <v>31715188.601182312</v>
      </c>
      <c r="I613" s="369"/>
      <c r="J613" s="350">
        <v>26367504.958529346</v>
      </c>
      <c r="K613" s="350">
        <v>25880717.619525149</v>
      </c>
      <c r="L613" s="350">
        <v>25376771.432847511</v>
      </c>
      <c r="M613" s="350">
        <v>24814118.077627916</v>
      </c>
      <c r="N613" s="350">
        <v>24157707.387829378</v>
      </c>
      <c r="O613" s="348">
        <v>126596819.47635929</v>
      </c>
      <c r="P613" s="369"/>
      <c r="Q613" s="350">
        <f t="shared" si="261"/>
        <v>19971584.814485505</v>
      </c>
      <c r="R613" s="350">
        <f t="shared" si="262"/>
        <v>19507846.33613405</v>
      </c>
      <c r="S613" s="350">
        <f t="shared" si="263"/>
        <v>19028826.362246983</v>
      </c>
      <c r="T613" s="350">
        <f t="shared" si="264"/>
        <v>18496077.33511848</v>
      </c>
      <c r="U613" s="350">
        <f t="shared" si="265"/>
        <v>17877296.027191967</v>
      </c>
      <c r="V613" s="350">
        <f t="shared" si="266"/>
        <v>94881630.875176981</v>
      </c>
      <c r="W613" s="365"/>
      <c r="X613" s="377">
        <f t="shared" si="244"/>
        <v>0</v>
      </c>
      <c r="Y613" s="377">
        <f t="shared" si="245"/>
        <v>0</v>
      </c>
      <c r="Z613" s="377">
        <f t="shared" si="246"/>
        <v>0</v>
      </c>
      <c r="AA613" s="377">
        <f t="shared" si="247"/>
        <v>0</v>
      </c>
      <c r="AB613" s="377">
        <f t="shared" si="248"/>
        <v>0</v>
      </c>
      <c r="AC613" s="377">
        <f t="shared" si="249"/>
        <v>0</v>
      </c>
      <c r="AD613" s="376"/>
      <c r="AE613" s="332">
        <v>598</v>
      </c>
      <c r="AF613" s="350">
        <v>448198.0357938743</v>
      </c>
      <c r="AG613" s="350">
        <v>446582.87271503784</v>
      </c>
      <c r="AH613" s="350">
        <v>444836.15303109726</v>
      </c>
      <c r="AI613" s="350">
        <v>442740.58885732532</v>
      </c>
      <c r="AJ613" s="350">
        <v>440103.68679110979</v>
      </c>
      <c r="AK613" s="348">
        <v>2222461.3371884446</v>
      </c>
      <c r="AL613" s="369"/>
      <c r="AM613" s="350">
        <v>14516142.860259442</v>
      </c>
      <c r="AN613" s="350">
        <v>14390725.003540149</v>
      </c>
      <c r="AO613" s="350">
        <v>14252949.294123098</v>
      </c>
      <c r="AP613" s="350">
        <v>14075337.433574934</v>
      </c>
      <c r="AQ613" s="350">
        <v>13834370.595233208</v>
      </c>
      <c r="AR613" s="348">
        <v>71069525.186730817</v>
      </c>
      <c r="AS613" s="369"/>
      <c r="AT613" s="350">
        <f t="shared" si="267"/>
        <v>14067944.824465567</v>
      </c>
      <c r="AU613" s="350">
        <f t="shared" si="250"/>
        <v>13944142.130825112</v>
      </c>
      <c r="AV613" s="350">
        <f t="shared" si="251"/>
        <v>13808113.141092001</v>
      </c>
      <c r="AW613" s="350">
        <f t="shared" si="252"/>
        <v>13632596.844717609</v>
      </c>
      <c r="AX613" s="350">
        <f t="shared" si="253"/>
        <v>13394266.908442099</v>
      </c>
      <c r="AY613" s="350">
        <f t="shared" si="254"/>
        <v>68847063.849542379</v>
      </c>
      <c r="AZ613" s="365"/>
      <c r="BA613" s="377">
        <f t="shared" si="255"/>
        <v>0</v>
      </c>
      <c r="BB613" s="377">
        <f t="shared" si="256"/>
        <v>0</v>
      </c>
      <c r="BC613" s="377">
        <f t="shared" si="257"/>
        <v>0</v>
      </c>
      <c r="BD613" s="377">
        <f t="shared" si="258"/>
        <v>0</v>
      </c>
      <c r="BE613" s="377">
        <f t="shared" si="259"/>
        <v>0</v>
      </c>
      <c r="BF613" s="377">
        <f t="shared" si="260"/>
        <v>0</v>
      </c>
      <c r="BG613" s="328"/>
    </row>
    <row r="614" spans="2:59">
      <c r="B614" s="332">
        <v>599</v>
      </c>
      <c r="C614" s="350">
        <v>7714729.7904081261</v>
      </c>
      <c r="D614" s="350">
        <v>7686928.3595102951</v>
      </c>
      <c r="E614" s="350">
        <v>7656862.4750016294</v>
      </c>
      <c r="F614" s="350">
        <v>7620792.0104569197</v>
      </c>
      <c r="G614" s="350">
        <v>7575403.621173623</v>
      </c>
      <c r="H614" s="348">
        <v>38254716.256550595</v>
      </c>
      <c r="I614" s="369"/>
      <c r="J614" s="350">
        <v>26786382.441192638</v>
      </c>
      <c r="K614" s="350">
        <v>26235388.187841658</v>
      </c>
      <c r="L614" s="350">
        <v>25668115.695776582</v>
      </c>
      <c r="M614" s="350">
        <v>25044180.506401494</v>
      </c>
      <c r="N614" s="350">
        <v>24329648.22273431</v>
      </c>
      <c r="O614" s="348">
        <v>128063715.05394667</v>
      </c>
      <c r="P614" s="369"/>
      <c r="Q614" s="350">
        <f t="shared" si="261"/>
        <v>19071652.650784511</v>
      </c>
      <c r="R614" s="350">
        <f t="shared" si="262"/>
        <v>18548459.828331362</v>
      </c>
      <c r="S614" s="350">
        <f t="shared" si="263"/>
        <v>18011253.220774952</v>
      </c>
      <c r="T614" s="350">
        <f t="shared" si="264"/>
        <v>17423388.495944574</v>
      </c>
      <c r="U614" s="350">
        <f t="shared" si="265"/>
        <v>16754244.601560686</v>
      </c>
      <c r="V614" s="350">
        <f t="shared" si="266"/>
        <v>89808998.797396079</v>
      </c>
      <c r="W614" s="365"/>
      <c r="X614" s="377">
        <f t="shared" si="244"/>
        <v>0</v>
      </c>
      <c r="Y614" s="377">
        <f t="shared" si="245"/>
        <v>0</v>
      </c>
      <c r="Z614" s="377">
        <f t="shared" si="246"/>
        <v>0</v>
      </c>
      <c r="AA614" s="377">
        <f t="shared" si="247"/>
        <v>0</v>
      </c>
      <c r="AB614" s="377">
        <f t="shared" si="248"/>
        <v>0</v>
      </c>
      <c r="AC614" s="377">
        <f t="shared" si="249"/>
        <v>0</v>
      </c>
      <c r="AD614" s="376"/>
      <c r="AE614" s="332">
        <v>599</v>
      </c>
      <c r="AF614" s="350">
        <v>370402.07769933372</v>
      </c>
      <c r="AG614" s="350">
        <v>369067.26649436139</v>
      </c>
      <c r="AH614" s="350">
        <v>367623.73361732869</v>
      </c>
      <c r="AI614" s="350">
        <v>365891.90692035848</v>
      </c>
      <c r="AJ614" s="350">
        <v>363712.705036339</v>
      </c>
      <c r="AK614" s="348">
        <v>1836697.6897677211</v>
      </c>
      <c r="AL614" s="369"/>
      <c r="AM614" s="350">
        <v>13442122.12973075</v>
      </c>
      <c r="AN614" s="350">
        <v>13328054.576838728</v>
      </c>
      <c r="AO614" s="350">
        <v>13202501.216800135</v>
      </c>
      <c r="AP614" s="350">
        <v>13039949.933888884</v>
      </c>
      <c r="AQ614" s="350">
        <v>12818560.679675592</v>
      </c>
      <c r="AR614" s="348">
        <v>65831188.536934093</v>
      </c>
      <c r="AS614" s="369"/>
      <c r="AT614" s="350">
        <f t="shared" si="267"/>
        <v>13071720.052031416</v>
      </c>
      <c r="AU614" s="350">
        <f t="shared" si="250"/>
        <v>12958987.310344366</v>
      </c>
      <c r="AV614" s="350">
        <f t="shared" si="251"/>
        <v>12834877.483182807</v>
      </c>
      <c r="AW614" s="350">
        <f t="shared" si="252"/>
        <v>12674058.026968526</v>
      </c>
      <c r="AX614" s="350">
        <f t="shared" si="253"/>
        <v>12454847.974639254</v>
      </c>
      <c r="AY614" s="350">
        <f t="shared" si="254"/>
        <v>63994490.847166374</v>
      </c>
      <c r="AZ614" s="365"/>
      <c r="BA614" s="377">
        <f t="shared" si="255"/>
        <v>0</v>
      </c>
      <c r="BB614" s="377">
        <f t="shared" si="256"/>
        <v>0</v>
      </c>
      <c r="BC614" s="377">
        <f t="shared" si="257"/>
        <v>0</v>
      </c>
      <c r="BD614" s="377">
        <f t="shared" si="258"/>
        <v>0</v>
      </c>
      <c r="BE614" s="377">
        <f t="shared" si="259"/>
        <v>0</v>
      </c>
      <c r="BF614" s="377">
        <f t="shared" si="260"/>
        <v>0</v>
      </c>
      <c r="BG614" s="328"/>
    </row>
    <row r="615" spans="2:59">
      <c r="B615" s="332">
        <v>600</v>
      </c>
      <c r="C615" s="350">
        <v>4979231.9953416605</v>
      </c>
      <c r="D615" s="350">
        <v>4961288.4279059125</v>
      </c>
      <c r="E615" s="350">
        <v>4941883.3394347746</v>
      </c>
      <c r="F615" s="350">
        <v>4918602.7818485368</v>
      </c>
      <c r="G615" s="350">
        <v>4889308.2600342557</v>
      </c>
      <c r="H615" s="348">
        <v>24690314.804565139</v>
      </c>
      <c r="I615" s="369"/>
      <c r="J615" s="350">
        <v>19553691.718112193</v>
      </c>
      <c r="K615" s="350">
        <v>19181743.122075442</v>
      </c>
      <c r="L615" s="350">
        <v>18797293.52744218</v>
      </c>
      <c r="M615" s="350">
        <v>18369885.229881197</v>
      </c>
      <c r="N615" s="350">
        <v>17873850.090319175</v>
      </c>
      <c r="O615" s="348">
        <v>93776463.687830195</v>
      </c>
      <c r="P615" s="369"/>
      <c r="Q615" s="350">
        <f t="shared" si="261"/>
        <v>14574459.722770533</v>
      </c>
      <c r="R615" s="350">
        <f t="shared" si="262"/>
        <v>14220454.694169529</v>
      </c>
      <c r="S615" s="350">
        <f t="shared" si="263"/>
        <v>13855410.188007405</v>
      </c>
      <c r="T615" s="350">
        <f t="shared" si="264"/>
        <v>13451282.44803266</v>
      </c>
      <c r="U615" s="350">
        <f t="shared" si="265"/>
        <v>12984541.83028492</v>
      </c>
      <c r="V615" s="350">
        <f t="shared" si="266"/>
        <v>69086148.883265048</v>
      </c>
      <c r="W615" s="365"/>
      <c r="X615" s="377">
        <f t="shared" si="244"/>
        <v>0</v>
      </c>
      <c r="Y615" s="377">
        <f t="shared" si="245"/>
        <v>0</v>
      </c>
      <c r="Z615" s="377">
        <f t="shared" si="246"/>
        <v>0</v>
      </c>
      <c r="AA615" s="377">
        <f t="shared" si="247"/>
        <v>0</v>
      </c>
      <c r="AB615" s="377">
        <f t="shared" si="248"/>
        <v>0</v>
      </c>
      <c r="AC615" s="377">
        <f t="shared" si="249"/>
        <v>0</v>
      </c>
      <c r="AD615" s="376"/>
      <c r="AE615" s="332">
        <v>600</v>
      </c>
      <c r="AF615" s="350">
        <v>543653.63038912963</v>
      </c>
      <c r="AG615" s="350">
        <v>541694.47572678362</v>
      </c>
      <c r="AH615" s="350">
        <v>539575.74600998673</v>
      </c>
      <c r="AI615" s="350">
        <v>537033.87616719131</v>
      </c>
      <c r="AJ615" s="350">
        <v>533835.37624797726</v>
      </c>
      <c r="AK615" s="348">
        <v>2695793.1045410684</v>
      </c>
      <c r="AL615" s="369"/>
      <c r="AM615" s="350">
        <v>18394273.69417794</v>
      </c>
      <c r="AN615" s="350">
        <v>18236475.950746126</v>
      </c>
      <c r="AO615" s="350">
        <v>18062995.824391395</v>
      </c>
      <c r="AP615" s="350">
        <v>17838977.528575774</v>
      </c>
      <c r="AQ615" s="350">
        <v>17534585.579617433</v>
      </c>
      <c r="AR615" s="348">
        <v>90067308.577508658</v>
      </c>
      <c r="AS615" s="369"/>
      <c r="AT615" s="350">
        <f t="shared" si="267"/>
        <v>17850620.063788813</v>
      </c>
      <c r="AU615" s="350">
        <f t="shared" si="250"/>
        <v>17694781.475019343</v>
      </c>
      <c r="AV615" s="350">
        <f t="shared" si="251"/>
        <v>17523420.078381408</v>
      </c>
      <c r="AW615" s="350">
        <f t="shared" si="252"/>
        <v>17301943.652408581</v>
      </c>
      <c r="AX615" s="350">
        <f t="shared" si="253"/>
        <v>17000750.203369457</v>
      </c>
      <c r="AY615" s="350">
        <f t="shared" si="254"/>
        <v>87371515.472967595</v>
      </c>
      <c r="AZ615" s="365"/>
      <c r="BA615" s="377">
        <f t="shared" si="255"/>
        <v>0</v>
      </c>
      <c r="BB615" s="377">
        <f t="shared" si="256"/>
        <v>0</v>
      </c>
      <c r="BC615" s="377">
        <f t="shared" si="257"/>
        <v>0</v>
      </c>
      <c r="BD615" s="377">
        <f t="shared" si="258"/>
        <v>0</v>
      </c>
      <c r="BE615" s="377">
        <f t="shared" si="259"/>
        <v>0</v>
      </c>
      <c r="BF615" s="377">
        <f t="shared" si="260"/>
        <v>0</v>
      </c>
      <c r="BG615" s="328"/>
    </row>
    <row r="616" spans="2:59">
      <c r="B616" s="332">
        <v>601</v>
      </c>
      <c r="C616" s="350">
        <v>4886212.0742136324</v>
      </c>
      <c r="D616" s="350">
        <v>4868603.7209693883</v>
      </c>
      <c r="E616" s="350">
        <v>4849561.1502119778</v>
      </c>
      <c r="F616" s="350">
        <v>4826715.5102259889</v>
      </c>
      <c r="G616" s="350">
        <v>4797968.2563661216</v>
      </c>
      <c r="H616" s="348">
        <v>24229060.711987112</v>
      </c>
      <c r="I616" s="369"/>
      <c r="J616" s="350">
        <v>17587003.128395766</v>
      </c>
      <c r="K616" s="350">
        <v>17233544.953753747</v>
      </c>
      <c r="L616" s="350">
        <v>16869229.459334325</v>
      </c>
      <c r="M616" s="350">
        <v>16467273.38462206</v>
      </c>
      <c r="N616" s="350">
        <v>16005150.608950093</v>
      </c>
      <c r="O616" s="348">
        <v>84162201.53505598</v>
      </c>
      <c r="P616" s="369"/>
      <c r="Q616" s="350">
        <f t="shared" si="261"/>
        <v>12700791.054182135</v>
      </c>
      <c r="R616" s="350">
        <f t="shared" si="262"/>
        <v>12364941.232784359</v>
      </c>
      <c r="S616" s="350">
        <f t="shared" si="263"/>
        <v>12019668.309122346</v>
      </c>
      <c r="T616" s="350">
        <f t="shared" si="264"/>
        <v>11640557.874396071</v>
      </c>
      <c r="U616" s="350">
        <f t="shared" si="265"/>
        <v>11207182.352583971</v>
      </c>
      <c r="V616" s="350">
        <f t="shared" si="266"/>
        <v>59933140.823068872</v>
      </c>
      <c r="W616" s="365"/>
      <c r="X616" s="377">
        <f t="shared" si="244"/>
        <v>0</v>
      </c>
      <c r="Y616" s="377">
        <f t="shared" si="245"/>
        <v>0</v>
      </c>
      <c r="Z616" s="377">
        <f t="shared" si="246"/>
        <v>0</v>
      </c>
      <c r="AA616" s="377">
        <f t="shared" si="247"/>
        <v>0</v>
      </c>
      <c r="AB616" s="377">
        <f t="shared" si="248"/>
        <v>0</v>
      </c>
      <c r="AC616" s="377">
        <f t="shared" si="249"/>
        <v>0</v>
      </c>
      <c r="AD616" s="376"/>
      <c r="AE616" s="332">
        <v>601</v>
      </c>
      <c r="AF616" s="350">
        <v>255582.29653312368</v>
      </c>
      <c r="AG616" s="350">
        <v>254661.2592772746</v>
      </c>
      <c r="AH616" s="350">
        <v>253665.20264032297</v>
      </c>
      <c r="AI616" s="350">
        <v>252470.21948267368</v>
      </c>
      <c r="AJ616" s="350">
        <v>250966.54157247813</v>
      </c>
      <c r="AK616" s="348">
        <v>1267345.5195058731</v>
      </c>
      <c r="AL616" s="369"/>
      <c r="AM616" s="350">
        <v>11788727.661846215</v>
      </c>
      <c r="AN616" s="350">
        <v>11691903.938979147</v>
      </c>
      <c r="AO616" s="350">
        <v>11584941.556816936</v>
      </c>
      <c r="AP616" s="350">
        <v>11445362.633611264</v>
      </c>
      <c r="AQ616" s="350">
        <v>11253918.297414923</v>
      </c>
      <c r="AR616" s="348">
        <v>57764854.088668481</v>
      </c>
      <c r="AS616" s="369"/>
      <c r="AT616" s="350">
        <f t="shared" si="267"/>
        <v>11533145.36531309</v>
      </c>
      <c r="AU616" s="350">
        <f t="shared" si="250"/>
        <v>11437242.679701872</v>
      </c>
      <c r="AV616" s="350">
        <f t="shared" si="251"/>
        <v>11331276.354176613</v>
      </c>
      <c r="AW616" s="350">
        <f t="shared" si="252"/>
        <v>11192892.41412859</v>
      </c>
      <c r="AX616" s="350">
        <f t="shared" si="253"/>
        <v>11002951.755842445</v>
      </c>
      <c r="AY616" s="350">
        <f t="shared" si="254"/>
        <v>56497508.569162607</v>
      </c>
      <c r="AZ616" s="365"/>
      <c r="BA616" s="377">
        <f t="shared" si="255"/>
        <v>0</v>
      </c>
      <c r="BB616" s="377">
        <f t="shared" si="256"/>
        <v>0</v>
      </c>
      <c r="BC616" s="377">
        <f t="shared" si="257"/>
        <v>0</v>
      </c>
      <c r="BD616" s="377">
        <f t="shared" si="258"/>
        <v>0</v>
      </c>
      <c r="BE616" s="377">
        <f t="shared" si="259"/>
        <v>0</v>
      </c>
      <c r="BF616" s="377">
        <f t="shared" si="260"/>
        <v>0</v>
      </c>
      <c r="BG616" s="328"/>
    </row>
    <row r="617" spans="2:59">
      <c r="B617" s="332">
        <v>602</v>
      </c>
      <c r="C617" s="350">
        <v>7708527.906369824</v>
      </c>
      <c r="D617" s="350">
        <v>7680748.8250882756</v>
      </c>
      <c r="E617" s="350">
        <v>7650707.1105938936</v>
      </c>
      <c r="F617" s="350">
        <v>7614665.6431552917</v>
      </c>
      <c r="G617" s="350">
        <v>7569313.7416732106</v>
      </c>
      <c r="H617" s="348">
        <v>38223963.226880498</v>
      </c>
      <c r="I617" s="369"/>
      <c r="J617" s="350">
        <v>23979190.86247573</v>
      </c>
      <c r="K617" s="350">
        <v>23448716.803793021</v>
      </c>
      <c r="L617" s="350">
        <v>22904430.559771299</v>
      </c>
      <c r="M617" s="350">
        <v>22311382.121585824</v>
      </c>
      <c r="N617" s="350">
        <v>21640295.838635545</v>
      </c>
      <c r="O617" s="348">
        <v>114284016.18626143</v>
      </c>
      <c r="P617" s="369"/>
      <c r="Q617" s="350">
        <f t="shared" si="261"/>
        <v>16270662.956105907</v>
      </c>
      <c r="R617" s="350">
        <f t="shared" si="262"/>
        <v>15767967.978704745</v>
      </c>
      <c r="S617" s="350">
        <f t="shared" si="263"/>
        <v>15253723.449177407</v>
      </c>
      <c r="T617" s="350">
        <f t="shared" si="264"/>
        <v>14696716.478430532</v>
      </c>
      <c r="U617" s="350">
        <f t="shared" si="265"/>
        <v>14070982.096962335</v>
      </c>
      <c r="V617" s="350">
        <f t="shared" si="266"/>
        <v>76060052.959380925</v>
      </c>
      <c r="W617" s="365"/>
      <c r="X617" s="377">
        <f t="shared" si="244"/>
        <v>0</v>
      </c>
      <c r="Y617" s="377">
        <f t="shared" si="245"/>
        <v>0</v>
      </c>
      <c r="Z617" s="377">
        <f t="shared" si="246"/>
        <v>0</v>
      </c>
      <c r="AA617" s="377">
        <f t="shared" si="247"/>
        <v>0</v>
      </c>
      <c r="AB617" s="377">
        <f t="shared" si="248"/>
        <v>0</v>
      </c>
      <c r="AC617" s="377">
        <f t="shared" si="249"/>
        <v>0</v>
      </c>
      <c r="AD617" s="376"/>
      <c r="AE617" s="332">
        <v>602</v>
      </c>
      <c r="AF617" s="350">
        <v>242511.85677164761</v>
      </c>
      <c r="AG617" s="350">
        <v>241637.92122093987</v>
      </c>
      <c r="AH617" s="350">
        <v>240692.80276886607</v>
      </c>
      <c r="AI617" s="350">
        <v>239558.93086809921</v>
      </c>
      <c r="AJ617" s="350">
        <v>238132.15081746774</v>
      </c>
      <c r="AK617" s="348">
        <v>1202533.6624470206</v>
      </c>
      <c r="AL617" s="369"/>
      <c r="AM617" s="350">
        <v>8119468.8067997992</v>
      </c>
      <c r="AN617" s="350">
        <v>8049697.1865081675</v>
      </c>
      <c r="AO617" s="350">
        <v>7973005.5636421125</v>
      </c>
      <c r="AP617" s="350">
        <v>7874011.9463423667</v>
      </c>
      <c r="AQ617" s="350">
        <v>7739550.0536527382</v>
      </c>
      <c r="AR617" s="348">
        <v>39755733.556945182</v>
      </c>
      <c r="AS617" s="369"/>
      <c r="AT617" s="350">
        <f t="shared" si="267"/>
        <v>7876956.9500281513</v>
      </c>
      <c r="AU617" s="350">
        <f t="shared" si="250"/>
        <v>7808059.2652872279</v>
      </c>
      <c r="AV617" s="350">
        <f t="shared" si="251"/>
        <v>7732312.7608732469</v>
      </c>
      <c r="AW617" s="350">
        <f t="shared" si="252"/>
        <v>7634453.0154742673</v>
      </c>
      <c r="AX617" s="350">
        <f t="shared" si="253"/>
        <v>7501417.9028352704</v>
      </c>
      <c r="AY617" s="350">
        <f t="shared" si="254"/>
        <v>38553199.894498162</v>
      </c>
      <c r="AZ617" s="365"/>
      <c r="BA617" s="377">
        <f t="shared" si="255"/>
        <v>0</v>
      </c>
      <c r="BB617" s="377">
        <f t="shared" si="256"/>
        <v>0</v>
      </c>
      <c r="BC617" s="377">
        <f t="shared" si="257"/>
        <v>0</v>
      </c>
      <c r="BD617" s="377">
        <f t="shared" si="258"/>
        <v>0</v>
      </c>
      <c r="BE617" s="377">
        <f t="shared" si="259"/>
        <v>0</v>
      </c>
      <c r="BF617" s="377">
        <f t="shared" si="260"/>
        <v>0</v>
      </c>
      <c r="BG617" s="328"/>
    </row>
    <row r="618" spans="2:59">
      <c r="B618" s="332">
        <v>603</v>
      </c>
      <c r="C618" s="350">
        <v>5049618.8869063649</v>
      </c>
      <c r="D618" s="350">
        <v>5031421.6675145384</v>
      </c>
      <c r="E618" s="350">
        <v>5011742.2668885756</v>
      </c>
      <c r="F618" s="350">
        <v>4988132.6131517841</v>
      </c>
      <c r="G618" s="350">
        <v>4958423.9812232675</v>
      </c>
      <c r="H618" s="348">
        <v>25039339.415684529</v>
      </c>
      <c r="I618" s="369"/>
      <c r="J618" s="350">
        <v>19756464.41973006</v>
      </c>
      <c r="K618" s="350">
        <v>19379788.674505562</v>
      </c>
      <c r="L618" s="350">
        <v>18990500.060687695</v>
      </c>
      <c r="M618" s="350">
        <v>18557853.124870218</v>
      </c>
      <c r="N618" s="350">
        <v>18055939.315654472</v>
      </c>
      <c r="O618" s="348">
        <v>94740545.595448002</v>
      </c>
      <c r="P618" s="369"/>
      <c r="Q618" s="350">
        <f t="shared" si="261"/>
        <v>14706845.532823695</v>
      </c>
      <c r="R618" s="350">
        <f t="shared" si="262"/>
        <v>14348367.006991023</v>
      </c>
      <c r="S618" s="350">
        <f t="shared" si="263"/>
        <v>13978757.793799119</v>
      </c>
      <c r="T618" s="350">
        <f t="shared" si="264"/>
        <v>13569720.511718433</v>
      </c>
      <c r="U618" s="350">
        <f t="shared" si="265"/>
        <v>13097515.334431205</v>
      </c>
      <c r="V618" s="350">
        <f t="shared" si="266"/>
        <v>69701206.179763466</v>
      </c>
      <c r="W618" s="365"/>
      <c r="X618" s="377">
        <f t="shared" si="244"/>
        <v>0</v>
      </c>
      <c r="Y618" s="377">
        <f t="shared" si="245"/>
        <v>0</v>
      </c>
      <c r="Z618" s="377">
        <f t="shared" si="246"/>
        <v>0</v>
      </c>
      <c r="AA618" s="377">
        <f t="shared" si="247"/>
        <v>0</v>
      </c>
      <c r="AB618" s="377">
        <f t="shared" si="248"/>
        <v>0</v>
      </c>
      <c r="AC618" s="377">
        <f t="shared" si="249"/>
        <v>0</v>
      </c>
      <c r="AD618" s="376"/>
      <c r="AE618" s="332">
        <v>603</v>
      </c>
      <c r="AF618" s="350">
        <v>585885.31342060235</v>
      </c>
      <c r="AG618" s="350">
        <v>583773.96921313996</v>
      </c>
      <c r="AH618" s="350">
        <v>581490.65396462299</v>
      </c>
      <c r="AI618" s="350">
        <v>578751.32854440168</v>
      </c>
      <c r="AJ618" s="350">
        <v>575304.36521537323</v>
      </c>
      <c r="AK618" s="348">
        <v>2905205.63035814</v>
      </c>
      <c r="AL618" s="369"/>
      <c r="AM618" s="350">
        <v>17072630.988997649</v>
      </c>
      <c r="AN618" s="350">
        <v>16922399.410334218</v>
      </c>
      <c r="AO618" s="350">
        <v>16757689.25880166</v>
      </c>
      <c r="AP618" s="350">
        <v>16546270.97639234</v>
      </c>
      <c r="AQ618" s="350">
        <v>16260564.488845725</v>
      </c>
      <c r="AR618" s="348">
        <v>83559555.123371586</v>
      </c>
      <c r="AS618" s="369"/>
      <c r="AT618" s="350">
        <f t="shared" si="267"/>
        <v>16486745.675577046</v>
      </c>
      <c r="AU618" s="350">
        <f t="shared" si="250"/>
        <v>16338625.441121079</v>
      </c>
      <c r="AV618" s="350">
        <f t="shared" si="251"/>
        <v>16176198.604837036</v>
      </c>
      <c r="AW618" s="350">
        <f t="shared" si="252"/>
        <v>15967519.647847937</v>
      </c>
      <c r="AX618" s="350">
        <f t="shared" si="253"/>
        <v>15685260.123630352</v>
      </c>
      <c r="AY618" s="350">
        <f t="shared" si="254"/>
        <v>80654349.493013442</v>
      </c>
      <c r="AZ618" s="365"/>
      <c r="BA618" s="377">
        <f t="shared" si="255"/>
        <v>0</v>
      </c>
      <c r="BB618" s="377">
        <f t="shared" si="256"/>
        <v>0</v>
      </c>
      <c r="BC618" s="377">
        <f t="shared" si="257"/>
        <v>0</v>
      </c>
      <c r="BD618" s="377">
        <f t="shared" si="258"/>
        <v>0</v>
      </c>
      <c r="BE618" s="377">
        <f t="shared" si="259"/>
        <v>0</v>
      </c>
      <c r="BF618" s="377">
        <f t="shared" si="260"/>
        <v>0</v>
      </c>
      <c r="BG618" s="328"/>
    </row>
    <row r="619" spans="2:59">
      <c r="B619" s="332">
        <v>604</v>
      </c>
      <c r="C619" s="350">
        <v>7228427.7171250759</v>
      </c>
      <c r="D619" s="350">
        <v>7202378.7641303185</v>
      </c>
      <c r="E619" s="350">
        <v>7174208.0985559355</v>
      </c>
      <c r="F619" s="350">
        <v>7140411.3548243884</v>
      </c>
      <c r="G619" s="350">
        <v>7097884.0466691572</v>
      </c>
      <c r="H619" s="348">
        <v>35843309.981304869</v>
      </c>
      <c r="I619" s="369"/>
      <c r="J619" s="350">
        <v>24830781.55446896</v>
      </c>
      <c r="K619" s="350">
        <v>24316444.653303228</v>
      </c>
      <c r="L619" s="350">
        <v>23787090.827352952</v>
      </c>
      <c r="M619" s="350">
        <v>23205399.25134176</v>
      </c>
      <c r="N619" s="350">
        <v>22540018.696240455</v>
      </c>
      <c r="O619" s="348">
        <v>118679734.98270735</v>
      </c>
      <c r="P619" s="369"/>
      <c r="Q619" s="350">
        <f t="shared" si="261"/>
        <v>17602353.837343883</v>
      </c>
      <c r="R619" s="350">
        <f t="shared" si="262"/>
        <v>17114065.889172912</v>
      </c>
      <c r="S619" s="350">
        <f t="shared" si="263"/>
        <v>16612882.728797017</v>
      </c>
      <c r="T619" s="350">
        <f t="shared" si="264"/>
        <v>16064987.896517372</v>
      </c>
      <c r="U619" s="350">
        <f t="shared" si="265"/>
        <v>15442134.649571298</v>
      </c>
      <c r="V619" s="350">
        <f t="shared" si="266"/>
        <v>82836425.001402482</v>
      </c>
      <c r="W619" s="365"/>
      <c r="X619" s="377">
        <f t="shared" si="244"/>
        <v>0</v>
      </c>
      <c r="Y619" s="377">
        <f t="shared" si="245"/>
        <v>0</v>
      </c>
      <c r="Z619" s="377">
        <f t="shared" si="246"/>
        <v>0</v>
      </c>
      <c r="AA619" s="377">
        <f t="shared" si="247"/>
        <v>0</v>
      </c>
      <c r="AB619" s="377">
        <f t="shared" si="248"/>
        <v>0</v>
      </c>
      <c r="AC619" s="377">
        <f t="shared" si="249"/>
        <v>0</v>
      </c>
      <c r="AD619" s="376"/>
      <c r="AE619" s="332">
        <v>604</v>
      </c>
      <c r="AF619" s="350">
        <v>349499.54086277814</v>
      </c>
      <c r="AG619" s="350">
        <v>348240.05574818602</v>
      </c>
      <c r="AH619" s="350">
        <v>346877.98434492358</v>
      </c>
      <c r="AI619" s="350">
        <v>345243.88812385342</v>
      </c>
      <c r="AJ619" s="350">
        <v>343187.66300048807</v>
      </c>
      <c r="AK619" s="348">
        <v>1733049.132080229</v>
      </c>
      <c r="AL619" s="369"/>
      <c r="AM619" s="350">
        <v>12795267.643166423</v>
      </c>
      <c r="AN619" s="350">
        <v>12686832.006433064</v>
      </c>
      <c r="AO619" s="350">
        <v>12567460.35993492</v>
      </c>
      <c r="AP619" s="350">
        <v>12412863.655528987</v>
      </c>
      <c r="AQ619" s="350">
        <v>12202248.589835268</v>
      </c>
      <c r="AR619" s="348">
        <v>62664672.254898652</v>
      </c>
      <c r="AS619" s="369"/>
      <c r="AT619" s="350">
        <f t="shared" si="267"/>
        <v>12445768.102303645</v>
      </c>
      <c r="AU619" s="350">
        <f t="shared" si="250"/>
        <v>12338591.950684879</v>
      </c>
      <c r="AV619" s="350">
        <f t="shared" si="251"/>
        <v>12220582.375589997</v>
      </c>
      <c r="AW619" s="350">
        <f t="shared" si="252"/>
        <v>12067619.767405134</v>
      </c>
      <c r="AX619" s="350">
        <f t="shared" si="253"/>
        <v>11859060.926834779</v>
      </c>
      <c r="AY619" s="350">
        <f t="shared" si="254"/>
        <v>60931623.122818425</v>
      </c>
      <c r="AZ619" s="365"/>
      <c r="BA619" s="377">
        <f t="shared" si="255"/>
        <v>0</v>
      </c>
      <c r="BB619" s="377">
        <f t="shared" si="256"/>
        <v>0</v>
      </c>
      <c r="BC619" s="377">
        <f t="shared" si="257"/>
        <v>0</v>
      </c>
      <c r="BD619" s="377">
        <f t="shared" si="258"/>
        <v>0</v>
      </c>
      <c r="BE619" s="377">
        <f t="shared" si="259"/>
        <v>0</v>
      </c>
      <c r="BF619" s="377">
        <f t="shared" si="260"/>
        <v>0</v>
      </c>
      <c r="BG619" s="328"/>
    </row>
    <row r="620" spans="2:59">
      <c r="B620" s="332">
        <v>605</v>
      </c>
      <c r="C620" s="350">
        <v>7419590.1989881359</v>
      </c>
      <c r="D620" s="350">
        <v>7392852.3572475389</v>
      </c>
      <c r="E620" s="350">
        <v>7363936.6922683502</v>
      </c>
      <c r="F620" s="350">
        <v>7329246.162271874</v>
      </c>
      <c r="G620" s="350">
        <v>7285594.1799700577</v>
      </c>
      <c r="H620" s="348">
        <v>36791219.590745956</v>
      </c>
      <c r="I620" s="369"/>
      <c r="J620" s="350">
        <v>23353718.304007832</v>
      </c>
      <c r="K620" s="350">
        <v>22841157.89923263</v>
      </c>
      <c r="L620" s="350">
        <v>22315062.337685663</v>
      </c>
      <c r="M620" s="350">
        <v>21741261.579817966</v>
      </c>
      <c r="N620" s="350">
        <v>21091122.858406305</v>
      </c>
      <c r="O620" s="348">
        <v>111342322.9791504</v>
      </c>
      <c r="P620" s="369"/>
      <c r="Q620" s="350">
        <f t="shared" si="261"/>
        <v>15934128.105019696</v>
      </c>
      <c r="R620" s="350">
        <f t="shared" si="262"/>
        <v>15448305.541985091</v>
      </c>
      <c r="S620" s="350">
        <f t="shared" si="263"/>
        <v>14951125.645417314</v>
      </c>
      <c r="T620" s="350">
        <f t="shared" si="264"/>
        <v>14412015.417546092</v>
      </c>
      <c r="U620" s="350">
        <f t="shared" si="265"/>
        <v>13805528.678436248</v>
      </c>
      <c r="V620" s="350">
        <f t="shared" si="266"/>
        <v>74551103.388404444</v>
      </c>
      <c r="W620" s="365"/>
      <c r="X620" s="377">
        <f t="shared" si="244"/>
        <v>0</v>
      </c>
      <c r="Y620" s="377">
        <f t="shared" si="245"/>
        <v>0</v>
      </c>
      <c r="Z620" s="377">
        <f t="shared" si="246"/>
        <v>0</v>
      </c>
      <c r="AA620" s="377">
        <f t="shared" si="247"/>
        <v>0</v>
      </c>
      <c r="AB620" s="377">
        <f t="shared" si="248"/>
        <v>0</v>
      </c>
      <c r="AC620" s="377">
        <f t="shared" si="249"/>
        <v>0</v>
      </c>
      <c r="AD620" s="376"/>
      <c r="AE620" s="332">
        <v>605</v>
      </c>
      <c r="AF620" s="350">
        <v>597555.66190320754</v>
      </c>
      <c r="AG620" s="350">
        <v>595402.26147398399</v>
      </c>
      <c r="AH620" s="350">
        <v>593073.46448350232</v>
      </c>
      <c r="AI620" s="350">
        <v>590279.5739777108</v>
      </c>
      <c r="AJ620" s="350">
        <v>586763.95000412432</v>
      </c>
      <c r="AK620" s="348">
        <v>2963074.9118425287</v>
      </c>
      <c r="AL620" s="369"/>
      <c r="AM620" s="350">
        <v>23096074.422189362</v>
      </c>
      <c r="AN620" s="350">
        <v>22901888.236063253</v>
      </c>
      <c r="AO620" s="350">
        <v>22687930.469193321</v>
      </c>
      <c r="AP620" s="350">
        <v>22410308.309966922</v>
      </c>
      <c r="AQ620" s="350">
        <v>22031443.07531121</v>
      </c>
      <c r="AR620" s="348">
        <v>113127644.51272407</v>
      </c>
      <c r="AS620" s="369"/>
      <c r="AT620" s="350">
        <f t="shared" si="267"/>
        <v>22498518.760286156</v>
      </c>
      <c r="AU620" s="350">
        <f t="shared" si="250"/>
        <v>22306485.97458927</v>
      </c>
      <c r="AV620" s="350">
        <f t="shared" si="251"/>
        <v>22094857.004709817</v>
      </c>
      <c r="AW620" s="350">
        <f t="shared" si="252"/>
        <v>21820028.735989209</v>
      </c>
      <c r="AX620" s="350">
        <f t="shared" si="253"/>
        <v>21444679.125307087</v>
      </c>
      <c r="AY620" s="350">
        <f t="shared" si="254"/>
        <v>110164569.60088155</v>
      </c>
      <c r="AZ620" s="365"/>
      <c r="BA620" s="377">
        <f t="shared" si="255"/>
        <v>0</v>
      </c>
      <c r="BB620" s="377">
        <f t="shared" si="256"/>
        <v>0</v>
      </c>
      <c r="BC620" s="377">
        <f t="shared" si="257"/>
        <v>0</v>
      </c>
      <c r="BD620" s="377">
        <f t="shared" si="258"/>
        <v>0</v>
      </c>
      <c r="BE620" s="377">
        <f t="shared" si="259"/>
        <v>0</v>
      </c>
      <c r="BF620" s="377">
        <f t="shared" si="260"/>
        <v>0</v>
      </c>
      <c r="BG620" s="328"/>
    </row>
    <row r="621" spans="2:59">
      <c r="B621" s="332">
        <v>606</v>
      </c>
      <c r="C621" s="350">
        <v>4051944.9301670408</v>
      </c>
      <c r="D621" s="350">
        <v>4037343.0101985787</v>
      </c>
      <c r="E621" s="350">
        <v>4021551.7496339716</v>
      </c>
      <c r="F621" s="350">
        <v>4002606.7522184537</v>
      </c>
      <c r="G621" s="350">
        <v>3978767.7767985286</v>
      </c>
      <c r="H621" s="348">
        <v>20092214.219016574</v>
      </c>
      <c r="I621" s="369"/>
      <c r="J621" s="350">
        <v>11901268.908642365</v>
      </c>
      <c r="K621" s="350">
        <v>11627496.811133388</v>
      </c>
      <c r="L621" s="350">
        <v>11347083.68456712</v>
      </c>
      <c r="M621" s="350">
        <v>11043022.021253739</v>
      </c>
      <c r="N621" s="350">
        <v>10701092.485471796</v>
      </c>
      <c r="O621" s="348">
        <v>56619963.91106841</v>
      </c>
      <c r="P621" s="369"/>
      <c r="Q621" s="350">
        <f t="shared" si="261"/>
        <v>7849323.9784753239</v>
      </c>
      <c r="R621" s="350">
        <f t="shared" si="262"/>
        <v>7590153.8009348102</v>
      </c>
      <c r="S621" s="350">
        <f t="shared" si="263"/>
        <v>7325531.9349331483</v>
      </c>
      <c r="T621" s="350">
        <f t="shared" si="264"/>
        <v>7040415.2690352853</v>
      </c>
      <c r="U621" s="350">
        <f t="shared" si="265"/>
        <v>6722324.7086732676</v>
      </c>
      <c r="V621" s="350">
        <f t="shared" si="266"/>
        <v>36527749.692051835</v>
      </c>
      <c r="W621" s="365"/>
      <c r="X621" s="377">
        <f t="shared" si="244"/>
        <v>0</v>
      </c>
      <c r="Y621" s="377">
        <f t="shared" si="245"/>
        <v>0</v>
      </c>
      <c r="Z621" s="377">
        <f t="shared" si="246"/>
        <v>0</v>
      </c>
      <c r="AA621" s="377">
        <f t="shared" si="247"/>
        <v>0</v>
      </c>
      <c r="AB621" s="377">
        <f t="shared" si="248"/>
        <v>0</v>
      </c>
      <c r="AC621" s="377">
        <f t="shared" si="249"/>
        <v>0</v>
      </c>
      <c r="AD621" s="376"/>
      <c r="AE621" s="332">
        <v>606</v>
      </c>
      <c r="AF621" s="350">
        <v>268677.9062145651</v>
      </c>
      <c r="AG621" s="350">
        <v>267709.67654919362</v>
      </c>
      <c r="AH621" s="350">
        <v>266662.5836350231</v>
      </c>
      <c r="AI621" s="350">
        <v>265406.37153772992</v>
      </c>
      <c r="AJ621" s="350">
        <v>263825.64768473769</v>
      </c>
      <c r="AK621" s="348">
        <v>1332282.1856212495</v>
      </c>
      <c r="AL621" s="369"/>
      <c r="AM621" s="350">
        <v>8781469.8013136592</v>
      </c>
      <c r="AN621" s="350">
        <v>8705712.8908689991</v>
      </c>
      <c r="AO621" s="350">
        <v>8622477.8296357375</v>
      </c>
      <c r="AP621" s="350">
        <v>8515138.0729130227</v>
      </c>
      <c r="AQ621" s="350">
        <v>8369462.6446248423</v>
      </c>
      <c r="AR621" s="348">
        <v>42994261.239356264</v>
      </c>
      <c r="AS621" s="369"/>
      <c r="AT621" s="350">
        <f t="shared" si="267"/>
        <v>8512791.8950990941</v>
      </c>
      <c r="AU621" s="350">
        <f t="shared" si="250"/>
        <v>8438003.2143198047</v>
      </c>
      <c r="AV621" s="350">
        <f t="shared" si="251"/>
        <v>8355815.2460007146</v>
      </c>
      <c r="AW621" s="350">
        <f t="shared" si="252"/>
        <v>8249731.7013752926</v>
      </c>
      <c r="AX621" s="350">
        <f t="shared" si="253"/>
        <v>8105636.9969401043</v>
      </c>
      <c r="AY621" s="350">
        <f t="shared" si="254"/>
        <v>41661979.053735018</v>
      </c>
      <c r="AZ621" s="365"/>
      <c r="BA621" s="377">
        <f t="shared" si="255"/>
        <v>0</v>
      </c>
      <c r="BB621" s="377">
        <f t="shared" si="256"/>
        <v>0</v>
      </c>
      <c r="BC621" s="377">
        <f t="shared" si="257"/>
        <v>0</v>
      </c>
      <c r="BD621" s="377">
        <f t="shared" si="258"/>
        <v>0</v>
      </c>
      <c r="BE621" s="377">
        <f t="shared" si="259"/>
        <v>0</v>
      </c>
      <c r="BF621" s="377">
        <f t="shared" si="260"/>
        <v>0</v>
      </c>
      <c r="BG621" s="328"/>
    </row>
    <row r="622" spans="2:59">
      <c r="B622" s="332">
        <v>607</v>
      </c>
      <c r="C622" s="350">
        <v>4893167.073339222</v>
      </c>
      <c r="D622" s="350">
        <v>4875533.6564916074</v>
      </c>
      <c r="E622" s="350">
        <v>4856463.9806759302</v>
      </c>
      <c r="F622" s="350">
        <v>4833585.822370287</v>
      </c>
      <c r="G622" s="350">
        <v>4804797.6498760208</v>
      </c>
      <c r="H622" s="348">
        <v>24263548.182753067</v>
      </c>
      <c r="I622" s="369"/>
      <c r="J622" s="350">
        <v>18710177.37974672</v>
      </c>
      <c r="K622" s="350">
        <v>18348301.393664211</v>
      </c>
      <c r="L622" s="350">
        <v>17974585.643346135</v>
      </c>
      <c r="M622" s="350">
        <v>17560079.215601511</v>
      </c>
      <c r="N622" s="350">
        <v>17080398.144524276</v>
      </c>
      <c r="O622" s="348">
        <v>89673541.776882857</v>
      </c>
      <c r="P622" s="369"/>
      <c r="Q622" s="350">
        <f t="shared" si="261"/>
        <v>13817010.306407498</v>
      </c>
      <c r="R622" s="350">
        <f t="shared" si="262"/>
        <v>13472767.737172604</v>
      </c>
      <c r="S622" s="350">
        <f t="shared" si="263"/>
        <v>13118121.662670204</v>
      </c>
      <c r="T622" s="350">
        <f t="shared" si="264"/>
        <v>12726493.393231224</v>
      </c>
      <c r="U622" s="350">
        <f t="shared" si="265"/>
        <v>12275600.494648255</v>
      </c>
      <c r="V622" s="350">
        <f t="shared" si="266"/>
        <v>65409993.594129786</v>
      </c>
      <c r="W622" s="365"/>
      <c r="X622" s="377">
        <f t="shared" si="244"/>
        <v>0</v>
      </c>
      <c r="Y622" s="377">
        <f t="shared" si="245"/>
        <v>0</v>
      </c>
      <c r="Z622" s="377">
        <f t="shared" si="246"/>
        <v>0</v>
      </c>
      <c r="AA622" s="377">
        <f t="shared" si="247"/>
        <v>0</v>
      </c>
      <c r="AB622" s="377">
        <f t="shared" si="248"/>
        <v>0</v>
      </c>
      <c r="AC622" s="377">
        <f t="shared" si="249"/>
        <v>0</v>
      </c>
      <c r="AD622" s="376"/>
      <c r="AE622" s="332">
        <v>607</v>
      </c>
      <c r="AF622" s="350">
        <v>692795.86886930023</v>
      </c>
      <c r="AG622" s="350">
        <v>690299.25304503378</v>
      </c>
      <c r="AH622" s="350">
        <v>687599.28543146898</v>
      </c>
      <c r="AI622" s="350">
        <v>684360.09630836605</v>
      </c>
      <c r="AJ622" s="350">
        <v>680284.1416807397</v>
      </c>
      <c r="AK622" s="348">
        <v>3435338.6453349087</v>
      </c>
      <c r="AL622" s="369"/>
      <c r="AM622" s="350">
        <v>19590261.772812296</v>
      </c>
      <c r="AN622" s="350">
        <v>19416924.45781076</v>
      </c>
      <c r="AO622" s="350">
        <v>19226992.908060528</v>
      </c>
      <c r="AP622" s="350">
        <v>18983515.54163298</v>
      </c>
      <c r="AQ622" s="350">
        <v>18654873.350496512</v>
      </c>
      <c r="AR622" s="348">
        <v>95872568.030813083</v>
      </c>
      <c r="AS622" s="369"/>
      <c r="AT622" s="350">
        <f t="shared" si="267"/>
        <v>18897465.903942995</v>
      </c>
      <c r="AU622" s="350">
        <f t="shared" si="250"/>
        <v>18726625.204765726</v>
      </c>
      <c r="AV622" s="350">
        <f t="shared" si="251"/>
        <v>18539393.622629058</v>
      </c>
      <c r="AW622" s="350">
        <f t="shared" si="252"/>
        <v>18299155.445324615</v>
      </c>
      <c r="AX622" s="350">
        <f t="shared" si="253"/>
        <v>17974589.208815772</v>
      </c>
      <c r="AY622" s="350">
        <f t="shared" si="254"/>
        <v>92437229.385478169</v>
      </c>
      <c r="AZ622" s="365"/>
      <c r="BA622" s="377">
        <f t="shared" si="255"/>
        <v>0</v>
      </c>
      <c r="BB622" s="377">
        <f t="shared" si="256"/>
        <v>0</v>
      </c>
      <c r="BC622" s="377">
        <f t="shared" si="257"/>
        <v>0</v>
      </c>
      <c r="BD622" s="377">
        <f t="shared" si="258"/>
        <v>0</v>
      </c>
      <c r="BE622" s="377">
        <f t="shared" si="259"/>
        <v>0</v>
      </c>
      <c r="BF622" s="377">
        <f t="shared" si="260"/>
        <v>0</v>
      </c>
      <c r="BG622" s="328"/>
    </row>
    <row r="623" spans="2:59">
      <c r="B623" s="332">
        <v>608</v>
      </c>
      <c r="C623" s="350">
        <v>4225316.2168415459</v>
      </c>
      <c r="D623" s="350">
        <v>4210089.5219325349</v>
      </c>
      <c r="E623" s="350">
        <v>4193622.597900264</v>
      </c>
      <c r="F623" s="350">
        <v>4173866.9975188659</v>
      </c>
      <c r="G623" s="350">
        <v>4149008.0196278356</v>
      </c>
      <c r="H623" s="348">
        <v>20951903.353821047</v>
      </c>
      <c r="I623" s="369"/>
      <c r="J623" s="350">
        <v>13740730.325455686</v>
      </c>
      <c r="K623" s="350">
        <v>13445656.771504106</v>
      </c>
      <c r="L623" s="350">
        <v>13142486.668212593</v>
      </c>
      <c r="M623" s="350">
        <v>12810905.186257459</v>
      </c>
      <c r="N623" s="350">
        <v>12433872.913071461</v>
      </c>
      <c r="O623" s="348">
        <v>65573651.864501305</v>
      </c>
      <c r="P623" s="369"/>
      <c r="Q623" s="350">
        <f t="shared" si="261"/>
        <v>9515414.1086141393</v>
      </c>
      <c r="R623" s="350">
        <f t="shared" si="262"/>
        <v>9235567.2495715711</v>
      </c>
      <c r="S623" s="350">
        <f t="shared" si="263"/>
        <v>8948864.0703123286</v>
      </c>
      <c r="T623" s="350">
        <f t="shared" si="264"/>
        <v>8637038.1887385938</v>
      </c>
      <c r="U623" s="350">
        <f t="shared" si="265"/>
        <v>8284864.8934436254</v>
      </c>
      <c r="V623" s="350">
        <f t="shared" si="266"/>
        <v>44621748.510680258</v>
      </c>
      <c r="W623" s="365"/>
      <c r="X623" s="377">
        <f t="shared" si="244"/>
        <v>0</v>
      </c>
      <c r="Y623" s="377">
        <f t="shared" si="245"/>
        <v>0</v>
      </c>
      <c r="Z623" s="377">
        <f t="shared" si="246"/>
        <v>0</v>
      </c>
      <c r="AA623" s="377">
        <f t="shared" si="247"/>
        <v>0</v>
      </c>
      <c r="AB623" s="377">
        <f t="shared" si="248"/>
        <v>0</v>
      </c>
      <c r="AC623" s="377">
        <f t="shared" si="249"/>
        <v>0</v>
      </c>
      <c r="AD623" s="376"/>
      <c r="AE623" s="332">
        <v>608</v>
      </c>
      <c r="AF623" s="350">
        <v>326721.43401141046</v>
      </c>
      <c r="AG623" s="350">
        <v>325544.03394461854</v>
      </c>
      <c r="AH623" s="350">
        <v>324270.73349620803</v>
      </c>
      <c r="AI623" s="350">
        <v>322743.13703830523</v>
      </c>
      <c r="AJ623" s="350">
        <v>320820.92329433915</v>
      </c>
      <c r="AK623" s="348">
        <v>1620100.2617848814</v>
      </c>
      <c r="AL623" s="369"/>
      <c r="AM623" s="350">
        <v>8518333.1679497939</v>
      </c>
      <c r="AN623" s="350">
        <v>8441779.7728798427</v>
      </c>
      <c r="AO623" s="350">
        <v>8358034.928593955</v>
      </c>
      <c r="AP623" s="350">
        <v>8251069.3430698002</v>
      </c>
      <c r="AQ623" s="350">
        <v>8107169.2928080093</v>
      </c>
      <c r="AR623" s="348">
        <v>41676386.505301401</v>
      </c>
      <c r="AS623" s="369"/>
      <c r="AT623" s="350">
        <f t="shared" si="267"/>
        <v>8191611.7339383829</v>
      </c>
      <c r="AU623" s="350">
        <f t="shared" si="250"/>
        <v>8116235.7389352238</v>
      </c>
      <c r="AV623" s="350">
        <f t="shared" si="251"/>
        <v>8033764.1950977473</v>
      </c>
      <c r="AW623" s="350">
        <f t="shared" si="252"/>
        <v>7928326.2060314948</v>
      </c>
      <c r="AX623" s="350">
        <f t="shared" si="253"/>
        <v>7786348.36951367</v>
      </c>
      <c r="AY623" s="350">
        <f t="shared" si="254"/>
        <v>40056286.24351652</v>
      </c>
      <c r="AZ623" s="365"/>
      <c r="BA623" s="377">
        <f t="shared" si="255"/>
        <v>0</v>
      </c>
      <c r="BB623" s="377">
        <f t="shared" si="256"/>
        <v>0</v>
      </c>
      <c r="BC623" s="377">
        <f t="shared" si="257"/>
        <v>0</v>
      </c>
      <c r="BD623" s="377">
        <f t="shared" si="258"/>
        <v>0</v>
      </c>
      <c r="BE623" s="377">
        <f t="shared" si="259"/>
        <v>0</v>
      </c>
      <c r="BF623" s="377">
        <f t="shared" si="260"/>
        <v>0</v>
      </c>
      <c r="BG623" s="328"/>
    </row>
    <row r="624" spans="2:59">
      <c r="B624" s="332">
        <v>609</v>
      </c>
      <c r="C624" s="350">
        <v>5213898.5614906792</v>
      </c>
      <c r="D624" s="350">
        <v>5195109.3304348104</v>
      </c>
      <c r="E624" s="350">
        <v>5174789.6982184518</v>
      </c>
      <c r="F624" s="350">
        <v>5150411.9496373162</v>
      </c>
      <c r="G624" s="350">
        <v>5119736.8042956386</v>
      </c>
      <c r="H624" s="348">
        <v>25853946.344076894</v>
      </c>
      <c r="I624" s="369"/>
      <c r="J624" s="350">
        <v>16555289.724957479</v>
      </c>
      <c r="K624" s="350">
        <v>16194064.037275188</v>
      </c>
      <c r="L624" s="350">
        <v>15823199.980926234</v>
      </c>
      <c r="M624" s="350">
        <v>15418406.025640327</v>
      </c>
      <c r="N624" s="350">
        <v>14959321.668893058</v>
      </c>
      <c r="O624" s="348">
        <v>78950281.437692285</v>
      </c>
      <c r="P624" s="369"/>
      <c r="Q624" s="350">
        <f t="shared" si="261"/>
        <v>11341391.1634668</v>
      </c>
      <c r="R624" s="350">
        <f t="shared" si="262"/>
        <v>10998954.706840377</v>
      </c>
      <c r="S624" s="350">
        <f t="shared" si="263"/>
        <v>10648410.282707782</v>
      </c>
      <c r="T624" s="350">
        <f t="shared" si="264"/>
        <v>10267994.076003011</v>
      </c>
      <c r="U624" s="350">
        <f t="shared" si="265"/>
        <v>9839584.8645974193</v>
      </c>
      <c r="V624" s="350">
        <f t="shared" si="266"/>
        <v>53096335.09361539</v>
      </c>
      <c r="W624" s="365"/>
      <c r="X624" s="377">
        <f t="shared" si="244"/>
        <v>0</v>
      </c>
      <c r="Y624" s="377">
        <f t="shared" si="245"/>
        <v>0</v>
      </c>
      <c r="Z624" s="377">
        <f t="shared" si="246"/>
        <v>0</v>
      </c>
      <c r="AA624" s="377">
        <f t="shared" si="247"/>
        <v>0</v>
      </c>
      <c r="AB624" s="377">
        <f t="shared" si="248"/>
        <v>0</v>
      </c>
      <c r="AC624" s="377">
        <f t="shared" si="249"/>
        <v>0</v>
      </c>
      <c r="AD624" s="376"/>
      <c r="AE624" s="332">
        <v>609</v>
      </c>
      <c r="AF624" s="350">
        <v>755916.45297610865</v>
      </c>
      <c r="AG624" s="350">
        <v>753192.37065528939</v>
      </c>
      <c r="AH624" s="350">
        <v>750246.40917759296</v>
      </c>
      <c r="AI624" s="350">
        <v>746712.09775559895</v>
      </c>
      <c r="AJ624" s="350">
        <v>742264.78318134311</v>
      </c>
      <c r="AK624" s="348">
        <v>3748332.1137459329</v>
      </c>
      <c r="AL624" s="369"/>
      <c r="AM624" s="350">
        <v>18350061.854088288</v>
      </c>
      <c r="AN624" s="350">
        <v>18182734.547987502</v>
      </c>
      <c r="AO624" s="350">
        <v>17999964.891561538</v>
      </c>
      <c r="AP624" s="350">
        <v>17767300.897218458</v>
      </c>
      <c r="AQ624" s="350">
        <v>17455272.26245515</v>
      </c>
      <c r="AR624" s="348">
        <v>89755334.453310937</v>
      </c>
      <c r="AS624" s="369"/>
      <c r="AT624" s="350">
        <f t="shared" si="267"/>
        <v>17594145.40111218</v>
      </c>
      <c r="AU624" s="350">
        <f t="shared" si="250"/>
        <v>17429542.177332211</v>
      </c>
      <c r="AV624" s="350">
        <f t="shared" si="251"/>
        <v>17249718.482383944</v>
      </c>
      <c r="AW624" s="350">
        <f t="shared" si="252"/>
        <v>17020588.799462859</v>
      </c>
      <c r="AX624" s="350">
        <f t="shared" si="253"/>
        <v>16713007.479273807</v>
      </c>
      <c r="AY624" s="350">
        <f t="shared" si="254"/>
        <v>86007002.339565009</v>
      </c>
      <c r="AZ624" s="365"/>
      <c r="BA624" s="377">
        <f t="shared" si="255"/>
        <v>0</v>
      </c>
      <c r="BB624" s="377">
        <f t="shared" si="256"/>
        <v>0</v>
      </c>
      <c r="BC624" s="377">
        <f t="shared" si="257"/>
        <v>0</v>
      </c>
      <c r="BD624" s="377">
        <f t="shared" si="258"/>
        <v>0</v>
      </c>
      <c r="BE624" s="377">
        <f t="shared" si="259"/>
        <v>0</v>
      </c>
      <c r="BF624" s="377">
        <f t="shared" si="260"/>
        <v>0</v>
      </c>
      <c r="BG624" s="328"/>
    </row>
    <row r="625" spans="2:59">
      <c r="B625" s="332">
        <v>610</v>
      </c>
      <c r="C625" s="350">
        <v>7071662.6649203924</v>
      </c>
      <c r="D625" s="350">
        <v>7046178.643282203</v>
      </c>
      <c r="E625" s="350">
        <v>7018618.9232733333</v>
      </c>
      <c r="F625" s="350">
        <v>6985555.1395301502</v>
      </c>
      <c r="G625" s="350">
        <v>6943950.1336990166</v>
      </c>
      <c r="H625" s="348">
        <v>35065965.504705094</v>
      </c>
      <c r="I625" s="369"/>
      <c r="J625" s="350">
        <v>27984420.767543003</v>
      </c>
      <c r="K625" s="350">
        <v>27454627.763518624</v>
      </c>
      <c r="L625" s="350">
        <v>26906892.312575229</v>
      </c>
      <c r="M625" s="350">
        <v>26297543.10793183</v>
      </c>
      <c r="N625" s="350">
        <v>25589770.230689637</v>
      </c>
      <c r="O625" s="348">
        <v>134233254.18225834</v>
      </c>
      <c r="P625" s="369"/>
      <c r="Q625" s="350">
        <f t="shared" si="261"/>
        <v>20912758.10262261</v>
      </c>
      <c r="R625" s="350">
        <f t="shared" si="262"/>
        <v>20408449.120236419</v>
      </c>
      <c r="S625" s="350">
        <f t="shared" si="263"/>
        <v>19888273.389301896</v>
      </c>
      <c r="T625" s="350">
        <f t="shared" si="264"/>
        <v>19311987.968401678</v>
      </c>
      <c r="U625" s="350">
        <f t="shared" si="265"/>
        <v>18645820.096990623</v>
      </c>
      <c r="V625" s="350">
        <f t="shared" si="266"/>
        <v>99167288.677553236</v>
      </c>
      <c r="W625" s="365"/>
      <c r="X625" s="377">
        <f t="shared" si="244"/>
        <v>0</v>
      </c>
      <c r="Y625" s="377">
        <f t="shared" si="245"/>
        <v>0</v>
      </c>
      <c r="Z625" s="377">
        <f t="shared" si="246"/>
        <v>0</v>
      </c>
      <c r="AA625" s="377">
        <f t="shared" si="247"/>
        <v>0</v>
      </c>
      <c r="AB625" s="377">
        <f t="shared" si="248"/>
        <v>0</v>
      </c>
      <c r="AC625" s="377">
        <f t="shared" si="249"/>
        <v>0</v>
      </c>
      <c r="AD625" s="376"/>
      <c r="AE625" s="332">
        <v>610</v>
      </c>
      <c r="AF625" s="350">
        <v>556385.05223716155</v>
      </c>
      <c r="AG625" s="350">
        <v>554380.01758233935</v>
      </c>
      <c r="AH625" s="350">
        <v>552211.67090301577</v>
      </c>
      <c r="AI625" s="350">
        <v>549610.27489237662</v>
      </c>
      <c r="AJ625" s="350">
        <v>546336.87167172914</v>
      </c>
      <c r="AK625" s="348">
        <v>2758923.8872866225</v>
      </c>
      <c r="AL625" s="369"/>
      <c r="AM625" s="350">
        <v>15586988.764612023</v>
      </c>
      <c r="AN625" s="350">
        <v>15448833.452976402</v>
      </c>
      <c r="AO625" s="350">
        <v>15297479.831691938</v>
      </c>
      <c r="AP625" s="350">
        <v>15103535.115411429</v>
      </c>
      <c r="AQ625" s="350">
        <v>14841848.738628471</v>
      </c>
      <c r="AR625" s="348">
        <v>76278685.903320268</v>
      </c>
      <c r="AS625" s="369"/>
      <c r="AT625" s="350">
        <f t="shared" si="267"/>
        <v>15030603.71237486</v>
      </c>
      <c r="AU625" s="350">
        <f t="shared" si="250"/>
        <v>14894453.435394062</v>
      </c>
      <c r="AV625" s="350">
        <f t="shared" si="251"/>
        <v>14745268.160788922</v>
      </c>
      <c r="AW625" s="350">
        <f t="shared" si="252"/>
        <v>14553924.840519052</v>
      </c>
      <c r="AX625" s="350">
        <f t="shared" si="253"/>
        <v>14295511.866956742</v>
      </c>
      <c r="AY625" s="350">
        <f t="shared" si="254"/>
        <v>73519762.016033649</v>
      </c>
      <c r="AZ625" s="365"/>
      <c r="BA625" s="377">
        <f t="shared" si="255"/>
        <v>0</v>
      </c>
      <c r="BB625" s="377">
        <f t="shared" si="256"/>
        <v>0</v>
      </c>
      <c r="BC625" s="377">
        <f t="shared" si="257"/>
        <v>0</v>
      </c>
      <c r="BD625" s="377">
        <f t="shared" si="258"/>
        <v>0</v>
      </c>
      <c r="BE625" s="377">
        <f t="shared" si="259"/>
        <v>0</v>
      </c>
      <c r="BF625" s="377">
        <f t="shared" si="260"/>
        <v>0</v>
      </c>
      <c r="BG625" s="328"/>
    </row>
    <row r="626" spans="2:59">
      <c r="B626" s="332">
        <v>611</v>
      </c>
      <c r="C626" s="350">
        <v>5942879.8450667951</v>
      </c>
      <c r="D626" s="350">
        <v>5921463.5974683184</v>
      </c>
      <c r="E626" s="350">
        <v>5898302.9756546011</v>
      </c>
      <c r="F626" s="350">
        <v>5870516.8518928252</v>
      </c>
      <c r="G626" s="350">
        <v>5835552.8607745469</v>
      </c>
      <c r="H626" s="348">
        <v>29468716.130857088</v>
      </c>
      <c r="I626" s="369"/>
      <c r="J626" s="350">
        <v>20615698.368794143</v>
      </c>
      <c r="K626" s="350">
        <v>20191385.792477868</v>
      </c>
      <c r="L626" s="350">
        <v>19754550.020576574</v>
      </c>
      <c r="M626" s="350">
        <v>19274117.858399618</v>
      </c>
      <c r="N626" s="350">
        <v>18723979.628029741</v>
      </c>
      <c r="O626" s="348">
        <v>98559731.668277949</v>
      </c>
      <c r="P626" s="369"/>
      <c r="Q626" s="350">
        <f t="shared" si="261"/>
        <v>14672818.523727348</v>
      </c>
      <c r="R626" s="350">
        <f t="shared" si="262"/>
        <v>14269922.19500955</v>
      </c>
      <c r="S626" s="350">
        <f t="shared" si="263"/>
        <v>13856247.044921972</v>
      </c>
      <c r="T626" s="350">
        <f t="shared" si="264"/>
        <v>13403601.006506793</v>
      </c>
      <c r="U626" s="350">
        <f t="shared" si="265"/>
        <v>12888426.767255194</v>
      </c>
      <c r="V626" s="350">
        <f t="shared" si="266"/>
        <v>69091015.537420869</v>
      </c>
      <c r="W626" s="365"/>
      <c r="X626" s="377">
        <f t="shared" si="244"/>
        <v>0</v>
      </c>
      <c r="Y626" s="377">
        <f t="shared" si="245"/>
        <v>0</v>
      </c>
      <c r="Z626" s="377">
        <f t="shared" si="246"/>
        <v>0</v>
      </c>
      <c r="AA626" s="377">
        <f t="shared" si="247"/>
        <v>0</v>
      </c>
      <c r="AB626" s="377">
        <f t="shared" si="248"/>
        <v>0</v>
      </c>
      <c r="AC626" s="377">
        <f t="shared" si="249"/>
        <v>0</v>
      </c>
      <c r="AD626" s="376"/>
      <c r="AE626" s="332">
        <v>611</v>
      </c>
      <c r="AF626" s="350">
        <v>520970.22002476745</v>
      </c>
      <c r="AG626" s="350">
        <v>519092.80915422027</v>
      </c>
      <c r="AH626" s="350">
        <v>517062.48134064057</v>
      </c>
      <c r="AI626" s="350">
        <v>514626.66850457515</v>
      </c>
      <c r="AJ626" s="350">
        <v>511561.62283299665</v>
      </c>
      <c r="AK626" s="348">
        <v>2583313.8018572005</v>
      </c>
      <c r="AL626" s="369"/>
      <c r="AM626" s="350">
        <v>14966698.036595952</v>
      </c>
      <c r="AN626" s="350">
        <v>14834656.503530471</v>
      </c>
      <c r="AO626" s="350">
        <v>14689929.317779342</v>
      </c>
      <c r="AP626" s="350">
        <v>14504273.503007106</v>
      </c>
      <c r="AQ626" s="350">
        <v>14253521.131951094</v>
      </c>
      <c r="AR626" s="348">
        <v>73249078.492863953</v>
      </c>
      <c r="AS626" s="369"/>
      <c r="AT626" s="350">
        <f t="shared" si="267"/>
        <v>14445727.816571184</v>
      </c>
      <c r="AU626" s="350">
        <f t="shared" si="250"/>
        <v>14315563.694376251</v>
      </c>
      <c r="AV626" s="350">
        <f t="shared" si="251"/>
        <v>14172866.836438701</v>
      </c>
      <c r="AW626" s="350">
        <f t="shared" si="252"/>
        <v>13989646.834502531</v>
      </c>
      <c r="AX626" s="350">
        <f t="shared" si="253"/>
        <v>13741959.509118097</v>
      </c>
      <c r="AY626" s="350">
        <f t="shared" si="254"/>
        <v>70665764.69100675</v>
      </c>
      <c r="AZ626" s="365"/>
      <c r="BA626" s="377">
        <f t="shared" si="255"/>
        <v>0</v>
      </c>
      <c r="BB626" s="377">
        <f t="shared" si="256"/>
        <v>0</v>
      </c>
      <c r="BC626" s="377">
        <f t="shared" si="257"/>
        <v>0</v>
      </c>
      <c r="BD626" s="377">
        <f t="shared" si="258"/>
        <v>0</v>
      </c>
      <c r="BE626" s="377">
        <f t="shared" si="259"/>
        <v>0</v>
      </c>
      <c r="BF626" s="377">
        <f t="shared" si="260"/>
        <v>0</v>
      </c>
      <c r="BG626" s="328"/>
    </row>
    <row r="627" spans="2:59">
      <c r="B627" s="332">
        <v>612</v>
      </c>
      <c r="C627" s="350">
        <v>4924488.9823817313</v>
      </c>
      <c r="D627" s="350">
        <v>4906742.6913423436</v>
      </c>
      <c r="E627" s="350">
        <v>4887550.9476220943</v>
      </c>
      <c r="F627" s="350">
        <v>4864526.3427343564</v>
      </c>
      <c r="G627" s="350">
        <v>4835553.8927554162</v>
      </c>
      <c r="H627" s="348">
        <v>24418862.856835939</v>
      </c>
      <c r="I627" s="369"/>
      <c r="J627" s="350">
        <v>15817727.518993702</v>
      </c>
      <c r="K627" s="350">
        <v>15475245.249162283</v>
      </c>
      <c r="L627" s="350">
        <v>15123499.89497174</v>
      </c>
      <c r="M627" s="350">
        <v>14739196.554078789</v>
      </c>
      <c r="N627" s="350">
        <v>14302803.320446502</v>
      </c>
      <c r="O627" s="348">
        <v>75458472.537653014</v>
      </c>
      <c r="P627" s="369"/>
      <c r="Q627" s="350">
        <f t="shared" si="261"/>
        <v>10893238.536611971</v>
      </c>
      <c r="R627" s="350">
        <f t="shared" si="262"/>
        <v>10568502.55781994</v>
      </c>
      <c r="S627" s="350">
        <f t="shared" si="263"/>
        <v>10235948.947349645</v>
      </c>
      <c r="T627" s="350">
        <f t="shared" si="264"/>
        <v>9874670.2113444321</v>
      </c>
      <c r="U627" s="350">
        <f t="shared" si="265"/>
        <v>9467249.4276910871</v>
      </c>
      <c r="V627" s="350">
        <f t="shared" si="266"/>
        <v>51039609.680817075</v>
      </c>
      <c r="W627" s="365"/>
      <c r="X627" s="377">
        <f t="shared" si="244"/>
        <v>0</v>
      </c>
      <c r="Y627" s="377">
        <f t="shared" si="245"/>
        <v>0</v>
      </c>
      <c r="Z627" s="377">
        <f t="shared" si="246"/>
        <v>0</v>
      </c>
      <c r="AA627" s="377">
        <f t="shared" si="247"/>
        <v>0</v>
      </c>
      <c r="AB627" s="377">
        <f t="shared" si="248"/>
        <v>0</v>
      </c>
      <c r="AC627" s="377">
        <f t="shared" si="249"/>
        <v>0</v>
      </c>
      <c r="AD627" s="376"/>
      <c r="AE627" s="332">
        <v>612</v>
      </c>
      <c r="AF627" s="350">
        <v>533825.5035120307</v>
      </c>
      <c r="AG627" s="350">
        <v>531901.76629107958</v>
      </c>
      <c r="AH627" s="350">
        <v>529821.33880075731</v>
      </c>
      <c r="AI627" s="350">
        <v>527325.42067781382</v>
      </c>
      <c r="AJ627" s="350">
        <v>524184.74298449</v>
      </c>
      <c r="AK627" s="348">
        <v>2647058.7722661714</v>
      </c>
      <c r="AL627" s="369"/>
      <c r="AM627" s="350">
        <v>15396597.694169441</v>
      </c>
      <c r="AN627" s="350">
        <v>15260861.28018537</v>
      </c>
      <c r="AO627" s="350">
        <v>15112072.835993838</v>
      </c>
      <c r="AP627" s="350">
        <v>14921174.981027139</v>
      </c>
      <c r="AQ627" s="350">
        <v>14663302.696655776</v>
      </c>
      <c r="AR627" s="348">
        <v>75354009.488031566</v>
      </c>
      <c r="AS627" s="369"/>
      <c r="AT627" s="350">
        <f t="shared" si="267"/>
        <v>14862772.190657411</v>
      </c>
      <c r="AU627" s="350">
        <f t="shared" si="250"/>
        <v>14728959.51389429</v>
      </c>
      <c r="AV627" s="350">
        <f t="shared" si="251"/>
        <v>14582251.497193079</v>
      </c>
      <c r="AW627" s="350">
        <f t="shared" si="252"/>
        <v>14393849.560349325</v>
      </c>
      <c r="AX627" s="350">
        <f t="shared" si="253"/>
        <v>14139117.953671286</v>
      </c>
      <c r="AY627" s="350">
        <f t="shared" si="254"/>
        <v>72706950.715765402</v>
      </c>
      <c r="AZ627" s="365"/>
      <c r="BA627" s="377">
        <f t="shared" si="255"/>
        <v>0</v>
      </c>
      <c r="BB627" s="377">
        <f t="shared" si="256"/>
        <v>0</v>
      </c>
      <c r="BC627" s="377">
        <f t="shared" si="257"/>
        <v>0</v>
      </c>
      <c r="BD627" s="377">
        <f t="shared" si="258"/>
        <v>0</v>
      </c>
      <c r="BE627" s="377">
        <f t="shared" si="259"/>
        <v>0</v>
      </c>
      <c r="BF627" s="377">
        <f t="shared" si="260"/>
        <v>0</v>
      </c>
      <c r="BG627" s="328"/>
    </row>
    <row r="628" spans="2:59">
      <c r="B628" s="332">
        <v>613</v>
      </c>
      <c r="C628" s="350">
        <v>4592094.2861830425</v>
      </c>
      <c r="D628" s="350">
        <v>4575545.8398418138</v>
      </c>
      <c r="E628" s="350">
        <v>4557649.5064364709</v>
      </c>
      <c r="F628" s="350">
        <v>4536179.0235244622</v>
      </c>
      <c r="G628" s="350">
        <v>4509162.1650278736</v>
      </c>
      <c r="H628" s="348">
        <v>22770630.821013667</v>
      </c>
      <c r="I628" s="369"/>
      <c r="J628" s="350">
        <v>16986083.301000163</v>
      </c>
      <c r="K628" s="350">
        <v>16650602.156478636</v>
      </c>
      <c r="L628" s="350">
        <v>16304514.192658823</v>
      </c>
      <c r="M628" s="350">
        <v>15921760.743289586</v>
      </c>
      <c r="N628" s="350">
        <v>15480410.631393492</v>
      </c>
      <c r="O628" s="348">
        <v>81343371.0248207</v>
      </c>
      <c r="P628" s="369"/>
      <c r="Q628" s="350">
        <f t="shared" si="261"/>
        <v>12393989.014817121</v>
      </c>
      <c r="R628" s="350">
        <f t="shared" si="262"/>
        <v>12075056.316636823</v>
      </c>
      <c r="S628" s="350">
        <f t="shared" si="263"/>
        <v>11746864.686222352</v>
      </c>
      <c r="T628" s="350">
        <f t="shared" si="264"/>
        <v>11385581.719765123</v>
      </c>
      <c r="U628" s="350">
        <f t="shared" si="265"/>
        <v>10971248.466365619</v>
      </c>
      <c r="V628" s="350">
        <f t="shared" si="266"/>
        <v>58572740.203807034</v>
      </c>
      <c r="W628" s="365"/>
      <c r="X628" s="377">
        <f t="shared" si="244"/>
        <v>0</v>
      </c>
      <c r="Y628" s="377">
        <f t="shared" si="245"/>
        <v>0</v>
      </c>
      <c r="Z628" s="377">
        <f t="shared" si="246"/>
        <v>0</v>
      </c>
      <c r="AA628" s="377">
        <f t="shared" si="247"/>
        <v>0</v>
      </c>
      <c r="AB628" s="377">
        <f t="shared" si="248"/>
        <v>0</v>
      </c>
      <c r="AC628" s="377">
        <f t="shared" si="249"/>
        <v>0</v>
      </c>
      <c r="AD628" s="376"/>
      <c r="AE628" s="332">
        <v>613</v>
      </c>
      <c r="AF628" s="350">
        <v>492221.41275463422</v>
      </c>
      <c r="AG628" s="350">
        <v>490447.6034359794</v>
      </c>
      <c r="AH628" s="350">
        <v>488529.31562154763</v>
      </c>
      <c r="AI628" s="350">
        <v>486227.91874838865</v>
      </c>
      <c r="AJ628" s="350">
        <v>483332.01212526119</v>
      </c>
      <c r="AK628" s="348">
        <v>2440758.2626858111</v>
      </c>
      <c r="AL628" s="369"/>
      <c r="AM628" s="350">
        <v>11359720.061854236</v>
      </c>
      <c r="AN628" s="350">
        <v>11255009.168950295</v>
      </c>
      <c r="AO628" s="350">
        <v>11140761.583477058</v>
      </c>
      <c r="AP628" s="350">
        <v>10995685.950016322</v>
      </c>
      <c r="AQ628" s="350">
        <v>10801571.839479478</v>
      </c>
      <c r="AR628" s="348">
        <v>55552748.603777386</v>
      </c>
      <c r="AS628" s="369"/>
      <c r="AT628" s="350">
        <f t="shared" si="267"/>
        <v>10867498.649099601</v>
      </c>
      <c r="AU628" s="350">
        <f t="shared" si="250"/>
        <v>10764561.565514315</v>
      </c>
      <c r="AV628" s="350">
        <f t="shared" si="251"/>
        <v>10652232.26785551</v>
      </c>
      <c r="AW628" s="350">
        <f t="shared" si="252"/>
        <v>10509458.031267934</v>
      </c>
      <c r="AX628" s="350">
        <f t="shared" si="253"/>
        <v>10318239.827354217</v>
      </c>
      <c r="AY628" s="350">
        <f t="shared" si="254"/>
        <v>53111990.341091573</v>
      </c>
      <c r="AZ628" s="365"/>
      <c r="BA628" s="377">
        <f t="shared" si="255"/>
        <v>0</v>
      </c>
      <c r="BB628" s="377">
        <f t="shared" si="256"/>
        <v>0</v>
      </c>
      <c r="BC628" s="377">
        <f t="shared" si="257"/>
        <v>0</v>
      </c>
      <c r="BD628" s="377">
        <f t="shared" si="258"/>
        <v>0</v>
      </c>
      <c r="BE628" s="377">
        <f t="shared" si="259"/>
        <v>0</v>
      </c>
      <c r="BF628" s="377">
        <f t="shared" si="260"/>
        <v>0</v>
      </c>
      <c r="BG628" s="328"/>
    </row>
    <row r="629" spans="2:59">
      <c r="B629" s="332">
        <v>614</v>
      </c>
      <c r="C629" s="350">
        <v>4626890.7945639696</v>
      </c>
      <c r="D629" s="350">
        <v>4610216.9526807694</v>
      </c>
      <c r="E629" s="350">
        <v>4592185.0101444898</v>
      </c>
      <c r="F629" s="350">
        <v>4570551.8350506499</v>
      </c>
      <c r="G629" s="350">
        <v>4543330.2568151988</v>
      </c>
      <c r="H629" s="348">
        <v>22943174.849255078</v>
      </c>
      <c r="I629" s="369"/>
      <c r="J629" s="350">
        <v>20065985.96719902</v>
      </c>
      <c r="K629" s="350">
        <v>19706692.414783657</v>
      </c>
      <c r="L629" s="350">
        <v>19334112.939423915</v>
      </c>
      <c r="M629" s="350">
        <v>18916268.427444935</v>
      </c>
      <c r="N629" s="350">
        <v>18426154.835322473</v>
      </c>
      <c r="O629" s="348">
        <v>96449214.584173992</v>
      </c>
      <c r="P629" s="369"/>
      <c r="Q629" s="350">
        <f t="shared" si="261"/>
        <v>15439095.17263505</v>
      </c>
      <c r="R629" s="350">
        <f t="shared" si="262"/>
        <v>15096475.462102886</v>
      </c>
      <c r="S629" s="350">
        <f t="shared" si="263"/>
        <v>14741927.929279424</v>
      </c>
      <c r="T629" s="350">
        <f t="shared" si="264"/>
        <v>14345716.592394285</v>
      </c>
      <c r="U629" s="350">
        <f t="shared" si="265"/>
        <v>13882824.578507274</v>
      </c>
      <c r="V629" s="350">
        <f t="shared" si="266"/>
        <v>73506039.734918922</v>
      </c>
      <c r="W629" s="365"/>
      <c r="X629" s="377">
        <f t="shared" si="244"/>
        <v>0</v>
      </c>
      <c r="Y629" s="377">
        <f t="shared" si="245"/>
        <v>0</v>
      </c>
      <c r="Z629" s="377">
        <f t="shared" si="246"/>
        <v>0</v>
      </c>
      <c r="AA629" s="377">
        <f t="shared" si="247"/>
        <v>0</v>
      </c>
      <c r="AB629" s="377">
        <f t="shared" si="248"/>
        <v>0</v>
      </c>
      <c r="AC629" s="377">
        <f t="shared" si="249"/>
        <v>0</v>
      </c>
      <c r="AD629" s="376"/>
      <c r="AE629" s="332">
        <v>614</v>
      </c>
      <c r="AF629" s="350">
        <v>546037.67665847694</v>
      </c>
      <c r="AG629" s="350">
        <v>544069.93065211549</v>
      </c>
      <c r="AH629" s="350">
        <v>541941.90981796978</v>
      </c>
      <c r="AI629" s="350">
        <v>539388.89329100423</v>
      </c>
      <c r="AJ629" s="350">
        <v>536176.36721363803</v>
      </c>
      <c r="AK629" s="348">
        <v>2707614.7776332046</v>
      </c>
      <c r="AL629" s="369"/>
      <c r="AM629" s="350">
        <v>17867032.559501082</v>
      </c>
      <c r="AN629" s="350">
        <v>17712924.223602176</v>
      </c>
      <c r="AO629" s="350">
        <v>17543600.036270883</v>
      </c>
      <c r="AP629" s="350">
        <v>17325230.216273729</v>
      </c>
      <c r="AQ629" s="350">
        <v>17028859.152968276</v>
      </c>
      <c r="AR629" s="348">
        <v>87477646.188616142</v>
      </c>
      <c r="AS629" s="369"/>
      <c r="AT629" s="350">
        <f t="shared" si="267"/>
        <v>17320994.882842604</v>
      </c>
      <c r="AU629" s="350">
        <f t="shared" si="250"/>
        <v>17168854.29295006</v>
      </c>
      <c r="AV629" s="350">
        <f t="shared" si="251"/>
        <v>17001658.126452912</v>
      </c>
      <c r="AW629" s="350">
        <f t="shared" si="252"/>
        <v>16785841.322982725</v>
      </c>
      <c r="AX629" s="350">
        <f t="shared" si="253"/>
        <v>16492682.785754638</v>
      </c>
      <c r="AY629" s="350">
        <f t="shared" si="254"/>
        <v>84770031.410982937</v>
      </c>
      <c r="AZ629" s="365"/>
      <c r="BA629" s="377">
        <f t="shared" si="255"/>
        <v>0</v>
      </c>
      <c r="BB629" s="377">
        <f t="shared" si="256"/>
        <v>0</v>
      </c>
      <c r="BC629" s="377">
        <f t="shared" si="257"/>
        <v>0</v>
      </c>
      <c r="BD629" s="377">
        <f t="shared" si="258"/>
        <v>0</v>
      </c>
      <c r="BE629" s="377">
        <f t="shared" si="259"/>
        <v>0</v>
      </c>
      <c r="BF629" s="377">
        <f t="shared" si="260"/>
        <v>0</v>
      </c>
      <c r="BG629" s="328"/>
    </row>
    <row r="630" spans="2:59">
      <c r="B630" s="332">
        <v>615</v>
      </c>
      <c r="C630" s="350">
        <v>5458852.3742365381</v>
      </c>
      <c r="D630" s="350">
        <v>5439180.4075977989</v>
      </c>
      <c r="E630" s="350">
        <v>5417906.1401260188</v>
      </c>
      <c r="F630" s="350">
        <v>5392383.1022012811</v>
      </c>
      <c r="G630" s="350">
        <v>5360266.8099482525</v>
      </c>
      <c r="H630" s="348">
        <v>27068588.834109887</v>
      </c>
      <c r="I630" s="369"/>
      <c r="J630" s="350">
        <v>17059254.292626716</v>
      </c>
      <c r="K630" s="350">
        <v>16683031.394066742</v>
      </c>
      <c r="L630" s="350">
        <v>16296958.42358439</v>
      </c>
      <c r="M630" s="350">
        <v>15876133.60437455</v>
      </c>
      <c r="N630" s="350">
        <v>15399695.13205383</v>
      </c>
      <c r="O630" s="348">
        <v>81315072.846706226</v>
      </c>
      <c r="P630" s="369"/>
      <c r="Q630" s="350">
        <f t="shared" si="261"/>
        <v>11600401.918390177</v>
      </c>
      <c r="R630" s="350">
        <f t="shared" si="262"/>
        <v>11243850.986468943</v>
      </c>
      <c r="S630" s="350">
        <f t="shared" si="263"/>
        <v>10879052.283458371</v>
      </c>
      <c r="T630" s="350">
        <f t="shared" si="264"/>
        <v>10483750.502173269</v>
      </c>
      <c r="U630" s="350">
        <f t="shared" si="265"/>
        <v>10039428.322105577</v>
      </c>
      <c r="V630" s="350">
        <f t="shared" si="266"/>
        <v>54246484.012596339</v>
      </c>
      <c r="W630" s="365"/>
      <c r="X630" s="377">
        <f t="shared" si="244"/>
        <v>0</v>
      </c>
      <c r="Y630" s="377">
        <f t="shared" si="245"/>
        <v>0</v>
      </c>
      <c r="Z630" s="377">
        <f t="shared" si="246"/>
        <v>0</v>
      </c>
      <c r="AA630" s="377">
        <f t="shared" si="247"/>
        <v>0</v>
      </c>
      <c r="AB630" s="377">
        <f t="shared" si="248"/>
        <v>0</v>
      </c>
      <c r="AC630" s="377">
        <f t="shared" si="249"/>
        <v>0</v>
      </c>
      <c r="AD630" s="376"/>
      <c r="AE630" s="332">
        <v>615</v>
      </c>
      <c r="AF630" s="350">
        <v>381836.77840739262</v>
      </c>
      <c r="AG630" s="350">
        <v>380460.76018024207</v>
      </c>
      <c r="AH630" s="350">
        <v>378972.66392896045</v>
      </c>
      <c r="AI630" s="350">
        <v>377187.37392508565</v>
      </c>
      <c r="AJ630" s="350">
        <v>374940.8977928196</v>
      </c>
      <c r="AK630" s="348">
        <v>1893398.4742345004</v>
      </c>
      <c r="AL630" s="369"/>
      <c r="AM630" s="350">
        <v>9817381.2021775935</v>
      </c>
      <c r="AN630" s="350">
        <v>9728907.9466797635</v>
      </c>
      <c r="AO630" s="350">
        <v>9632151.5561339706</v>
      </c>
      <c r="AP630" s="350">
        <v>9508646.1943946853</v>
      </c>
      <c r="AQ630" s="350">
        <v>9342594.0609572902</v>
      </c>
      <c r="AR630" s="348">
        <v>48029680.960343301</v>
      </c>
      <c r="AS630" s="369"/>
      <c r="AT630" s="350">
        <f t="shared" si="267"/>
        <v>9435544.4237702005</v>
      </c>
      <c r="AU630" s="350">
        <f t="shared" si="250"/>
        <v>9348447.1864995211</v>
      </c>
      <c r="AV630" s="350">
        <f t="shared" si="251"/>
        <v>9253178.8922050111</v>
      </c>
      <c r="AW630" s="350">
        <f t="shared" si="252"/>
        <v>9131458.8204695992</v>
      </c>
      <c r="AX630" s="350">
        <f t="shared" si="253"/>
        <v>8967653.1631644703</v>
      </c>
      <c r="AY630" s="350">
        <f t="shared" si="254"/>
        <v>46136282.486108802</v>
      </c>
      <c r="AZ630" s="365"/>
      <c r="BA630" s="377">
        <f t="shared" si="255"/>
        <v>0</v>
      </c>
      <c r="BB630" s="377">
        <f t="shared" si="256"/>
        <v>0</v>
      </c>
      <c r="BC630" s="377">
        <f t="shared" si="257"/>
        <v>0</v>
      </c>
      <c r="BD630" s="377">
        <f t="shared" si="258"/>
        <v>0</v>
      </c>
      <c r="BE630" s="377">
        <f t="shared" si="259"/>
        <v>0</v>
      </c>
      <c r="BF630" s="377">
        <f t="shared" si="260"/>
        <v>0</v>
      </c>
      <c r="BG630" s="328"/>
    </row>
    <row r="631" spans="2:59">
      <c r="B631" s="332">
        <v>616</v>
      </c>
      <c r="C631" s="350">
        <v>7233159.0544753484</v>
      </c>
      <c r="D631" s="350">
        <v>7207093.0512465611</v>
      </c>
      <c r="E631" s="350">
        <v>7178903.9466799889</v>
      </c>
      <c r="F631" s="350">
        <v>7145085.0814301558</v>
      </c>
      <c r="G631" s="350">
        <v>7102529.9372019405</v>
      </c>
      <c r="H631" s="348">
        <v>35866771.071033999</v>
      </c>
      <c r="I631" s="369"/>
      <c r="J631" s="350">
        <v>23738484.055228435</v>
      </c>
      <c r="K631" s="350">
        <v>23231800.222541071</v>
      </c>
      <c r="L631" s="350">
        <v>22711065.792190678</v>
      </c>
      <c r="M631" s="350">
        <v>22141085.226227012</v>
      </c>
      <c r="N631" s="350">
        <v>21492329.863222629</v>
      </c>
      <c r="O631" s="348">
        <v>113314765.15940982</v>
      </c>
      <c r="P631" s="369"/>
      <c r="Q631" s="350">
        <f t="shared" si="261"/>
        <v>16505325.000753086</v>
      </c>
      <c r="R631" s="350">
        <f t="shared" si="262"/>
        <v>16024707.17129451</v>
      </c>
      <c r="S631" s="350">
        <f t="shared" si="263"/>
        <v>15532161.84551069</v>
      </c>
      <c r="T631" s="350">
        <f t="shared" si="264"/>
        <v>14996000.144796856</v>
      </c>
      <c r="U631" s="350">
        <f t="shared" si="265"/>
        <v>14389799.926020689</v>
      </c>
      <c r="V631" s="350">
        <f t="shared" si="266"/>
        <v>77447994.088375822</v>
      </c>
      <c r="W631" s="365"/>
      <c r="X631" s="377">
        <f t="shared" si="244"/>
        <v>0</v>
      </c>
      <c r="Y631" s="377">
        <f t="shared" si="245"/>
        <v>0</v>
      </c>
      <c r="Z631" s="377">
        <f t="shared" si="246"/>
        <v>0</v>
      </c>
      <c r="AA631" s="377">
        <f t="shared" si="247"/>
        <v>0</v>
      </c>
      <c r="AB631" s="377">
        <f t="shared" si="248"/>
        <v>0</v>
      </c>
      <c r="AC631" s="377">
        <f t="shared" si="249"/>
        <v>0</v>
      </c>
      <c r="AD631" s="376"/>
      <c r="AE631" s="332">
        <v>616</v>
      </c>
      <c r="AF631" s="350">
        <v>299461.68928597018</v>
      </c>
      <c r="AG631" s="350">
        <v>298382.52466356405</v>
      </c>
      <c r="AH631" s="350">
        <v>297215.46103211504</v>
      </c>
      <c r="AI631" s="350">
        <v>295815.31837782299</v>
      </c>
      <c r="AJ631" s="350">
        <v>294053.48301896901</v>
      </c>
      <c r="AK631" s="348">
        <v>1484928.4763784411</v>
      </c>
      <c r="AL631" s="369"/>
      <c r="AM631" s="350">
        <v>10129974.770183513</v>
      </c>
      <c r="AN631" s="350">
        <v>10043070.440069014</v>
      </c>
      <c r="AO631" s="350">
        <v>9947529.6709482353</v>
      </c>
      <c r="AP631" s="350">
        <v>9824157.0071119331</v>
      </c>
      <c r="AQ631" s="350">
        <v>9656521.7333935518</v>
      </c>
      <c r="AR631" s="348">
        <v>49601253.621706247</v>
      </c>
      <c r="AS631" s="369"/>
      <c r="AT631" s="350">
        <f t="shared" si="267"/>
        <v>9830513.0808975436</v>
      </c>
      <c r="AU631" s="350">
        <f t="shared" si="250"/>
        <v>9744687.9154054504</v>
      </c>
      <c r="AV631" s="350">
        <f t="shared" si="251"/>
        <v>9650314.2099161204</v>
      </c>
      <c r="AW631" s="350">
        <f t="shared" si="252"/>
        <v>9528341.6887341104</v>
      </c>
      <c r="AX631" s="350">
        <f t="shared" si="253"/>
        <v>9362468.2503745835</v>
      </c>
      <c r="AY631" s="350">
        <f t="shared" si="254"/>
        <v>48116325.145327806</v>
      </c>
      <c r="AZ631" s="365"/>
      <c r="BA631" s="377">
        <f t="shared" si="255"/>
        <v>0</v>
      </c>
      <c r="BB631" s="377">
        <f t="shared" si="256"/>
        <v>0</v>
      </c>
      <c r="BC631" s="377">
        <f t="shared" si="257"/>
        <v>0</v>
      </c>
      <c r="BD631" s="377">
        <f t="shared" si="258"/>
        <v>0</v>
      </c>
      <c r="BE631" s="377">
        <f t="shared" si="259"/>
        <v>0</v>
      </c>
      <c r="BF631" s="377">
        <f t="shared" si="260"/>
        <v>0</v>
      </c>
      <c r="BG631" s="328"/>
    </row>
    <row r="632" spans="2:59">
      <c r="B632" s="332">
        <v>617</v>
      </c>
      <c r="C632" s="350">
        <v>5010836.3748844843</v>
      </c>
      <c r="D632" s="350">
        <v>4992778.9153231811</v>
      </c>
      <c r="E632" s="350">
        <v>4973250.6581019852</v>
      </c>
      <c r="F632" s="350">
        <v>4949822.3332338454</v>
      </c>
      <c r="G632" s="350">
        <v>4920341.8720644955</v>
      </c>
      <c r="H632" s="348">
        <v>24847030.153607994</v>
      </c>
      <c r="I632" s="369"/>
      <c r="J632" s="350">
        <v>16658990.730915193</v>
      </c>
      <c r="K632" s="350">
        <v>16306438.970224846</v>
      </c>
      <c r="L632" s="350">
        <v>15943965.140705951</v>
      </c>
      <c r="M632" s="350">
        <v>15546772.337553775</v>
      </c>
      <c r="N632" s="350">
        <v>15094048.612460021</v>
      </c>
      <c r="O632" s="348">
        <v>79550215.791859791</v>
      </c>
      <c r="P632" s="369"/>
      <c r="Q632" s="350">
        <f t="shared" si="261"/>
        <v>11648154.356030708</v>
      </c>
      <c r="R632" s="350">
        <f t="shared" si="262"/>
        <v>11313660.054901665</v>
      </c>
      <c r="S632" s="350">
        <f t="shared" si="263"/>
        <v>10970714.482603965</v>
      </c>
      <c r="T632" s="350">
        <f t="shared" si="264"/>
        <v>10596950.004319929</v>
      </c>
      <c r="U632" s="350">
        <f t="shared" si="265"/>
        <v>10173706.740395525</v>
      </c>
      <c r="V632" s="350">
        <f t="shared" si="266"/>
        <v>54703185.638251796</v>
      </c>
      <c r="W632" s="365"/>
      <c r="X632" s="377">
        <f t="shared" si="244"/>
        <v>0</v>
      </c>
      <c r="Y632" s="377">
        <f t="shared" si="245"/>
        <v>0</v>
      </c>
      <c r="Z632" s="377">
        <f t="shared" si="246"/>
        <v>0</v>
      </c>
      <c r="AA632" s="377">
        <f t="shared" si="247"/>
        <v>0</v>
      </c>
      <c r="AB632" s="377">
        <f t="shared" si="248"/>
        <v>0</v>
      </c>
      <c r="AC632" s="377">
        <f t="shared" si="249"/>
        <v>0</v>
      </c>
      <c r="AD632" s="376"/>
      <c r="AE632" s="332">
        <v>617</v>
      </c>
      <c r="AF632" s="350">
        <v>377914.39655623015</v>
      </c>
      <c r="AG632" s="350">
        <v>376552.51334494556</v>
      </c>
      <c r="AH632" s="350">
        <v>375079.70342033246</v>
      </c>
      <c r="AI632" s="350">
        <v>373312.75263757602</v>
      </c>
      <c r="AJ632" s="350">
        <v>371089.35321690113</v>
      </c>
      <c r="AK632" s="348">
        <v>1873948.7191759853</v>
      </c>
      <c r="AL632" s="369"/>
      <c r="AM632" s="350">
        <v>11432949.651029168</v>
      </c>
      <c r="AN632" s="350">
        <v>11333014.390560661</v>
      </c>
      <c r="AO632" s="350">
        <v>11223369.657556297</v>
      </c>
      <c r="AP632" s="350">
        <v>11082410.806791499</v>
      </c>
      <c r="AQ632" s="350">
        <v>10891648.585554939</v>
      </c>
      <c r="AR632" s="348">
        <v>55963393.091492563</v>
      </c>
      <c r="AS632" s="369"/>
      <c r="AT632" s="350">
        <f t="shared" si="267"/>
        <v>11055035.254472937</v>
      </c>
      <c r="AU632" s="350">
        <f t="shared" si="250"/>
        <v>10956461.877215715</v>
      </c>
      <c r="AV632" s="350">
        <f t="shared" si="251"/>
        <v>10848289.954135966</v>
      </c>
      <c r="AW632" s="350">
        <f t="shared" si="252"/>
        <v>10709098.054153923</v>
      </c>
      <c r="AX632" s="350">
        <f t="shared" si="253"/>
        <v>10520559.232338037</v>
      </c>
      <c r="AY632" s="350">
        <f t="shared" si="254"/>
        <v>54089444.372316577</v>
      </c>
      <c r="AZ632" s="365"/>
      <c r="BA632" s="377">
        <f t="shared" si="255"/>
        <v>0</v>
      </c>
      <c r="BB632" s="377">
        <f t="shared" si="256"/>
        <v>0</v>
      </c>
      <c r="BC632" s="377">
        <f t="shared" si="257"/>
        <v>0</v>
      </c>
      <c r="BD632" s="377">
        <f t="shared" si="258"/>
        <v>0</v>
      </c>
      <c r="BE632" s="377">
        <f t="shared" si="259"/>
        <v>0</v>
      </c>
      <c r="BF632" s="377">
        <f t="shared" si="260"/>
        <v>0</v>
      </c>
      <c r="BG632" s="328"/>
    </row>
    <row r="633" spans="2:59">
      <c r="B633" s="332">
        <v>618</v>
      </c>
      <c r="C633" s="350">
        <v>6525040.7712873733</v>
      </c>
      <c r="D633" s="350">
        <v>6501526.600987589</v>
      </c>
      <c r="E633" s="350">
        <v>6476097.1786262542</v>
      </c>
      <c r="F633" s="350">
        <v>6445589.1429350842</v>
      </c>
      <c r="G633" s="350">
        <v>6407200.1003292389</v>
      </c>
      <c r="H633" s="348">
        <v>32355453.79416554</v>
      </c>
      <c r="I633" s="369"/>
      <c r="J633" s="350">
        <v>19516662.541995324</v>
      </c>
      <c r="K633" s="350">
        <v>19073260.99275719</v>
      </c>
      <c r="L633" s="350">
        <v>18618855.574048735</v>
      </c>
      <c r="M633" s="350">
        <v>18125376.688224845</v>
      </c>
      <c r="N633" s="350">
        <v>17569341.884330221</v>
      </c>
      <c r="O633" s="348">
        <v>92903497.681356311</v>
      </c>
      <c r="P633" s="369"/>
      <c r="Q633" s="350">
        <f t="shared" si="261"/>
        <v>12991621.77070795</v>
      </c>
      <c r="R633" s="350">
        <f t="shared" si="262"/>
        <v>12571734.391769601</v>
      </c>
      <c r="S633" s="350">
        <f t="shared" si="263"/>
        <v>12142758.395422481</v>
      </c>
      <c r="T633" s="350">
        <f t="shared" si="264"/>
        <v>11679787.54528976</v>
      </c>
      <c r="U633" s="350">
        <f t="shared" si="265"/>
        <v>11162141.784000982</v>
      </c>
      <c r="V633" s="350">
        <f t="shared" si="266"/>
        <v>60548043.887190774</v>
      </c>
      <c r="W633" s="365"/>
      <c r="X633" s="377">
        <f t="shared" si="244"/>
        <v>0</v>
      </c>
      <c r="Y633" s="377">
        <f t="shared" si="245"/>
        <v>0</v>
      </c>
      <c r="Z633" s="377">
        <f t="shared" si="246"/>
        <v>0</v>
      </c>
      <c r="AA633" s="377">
        <f t="shared" si="247"/>
        <v>0</v>
      </c>
      <c r="AB633" s="377">
        <f t="shared" si="248"/>
        <v>0</v>
      </c>
      <c r="AC633" s="377">
        <f t="shared" si="249"/>
        <v>0</v>
      </c>
      <c r="AD633" s="376"/>
      <c r="AE633" s="332">
        <v>618</v>
      </c>
      <c r="AF633" s="350">
        <v>381434.03166590724</v>
      </c>
      <c r="AG633" s="350">
        <v>380059.46480983595</v>
      </c>
      <c r="AH633" s="350">
        <v>378572.93814522104</v>
      </c>
      <c r="AI633" s="350">
        <v>376789.53119654773</v>
      </c>
      <c r="AJ633" s="350">
        <v>374545.42456086568</v>
      </c>
      <c r="AK633" s="348">
        <v>1891401.3903783774</v>
      </c>
      <c r="AL633" s="369"/>
      <c r="AM633" s="350">
        <v>12050627.385604562</v>
      </c>
      <c r="AN633" s="350">
        <v>11946076.999075072</v>
      </c>
      <c r="AO633" s="350">
        <v>11831276.565984154</v>
      </c>
      <c r="AP633" s="350">
        <v>11683428.906258794</v>
      </c>
      <c r="AQ633" s="350">
        <v>11483022.645585973</v>
      </c>
      <c r="AR633" s="348">
        <v>58994432.502508551</v>
      </c>
      <c r="AS633" s="369"/>
      <c r="AT633" s="350">
        <f t="shared" si="267"/>
        <v>11669193.353938654</v>
      </c>
      <c r="AU633" s="350">
        <f t="shared" si="250"/>
        <v>11566017.534265235</v>
      </c>
      <c r="AV633" s="350">
        <f t="shared" si="251"/>
        <v>11452703.627838934</v>
      </c>
      <c r="AW633" s="350">
        <f t="shared" si="252"/>
        <v>11306639.375062246</v>
      </c>
      <c r="AX633" s="350">
        <f t="shared" si="253"/>
        <v>11108477.221025107</v>
      </c>
      <c r="AY633" s="350">
        <f t="shared" si="254"/>
        <v>57103031.112130173</v>
      </c>
      <c r="AZ633" s="365"/>
      <c r="BA633" s="377">
        <f t="shared" si="255"/>
        <v>0</v>
      </c>
      <c r="BB633" s="377">
        <f t="shared" si="256"/>
        <v>0</v>
      </c>
      <c r="BC633" s="377">
        <f t="shared" si="257"/>
        <v>0</v>
      </c>
      <c r="BD633" s="377">
        <f t="shared" si="258"/>
        <v>0</v>
      </c>
      <c r="BE633" s="377">
        <f t="shared" si="259"/>
        <v>0</v>
      </c>
      <c r="BF633" s="377">
        <f t="shared" si="260"/>
        <v>0</v>
      </c>
      <c r="BG633" s="328"/>
    </row>
    <row r="634" spans="2:59">
      <c r="B634" s="332">
        <v>619</v>
      </c>
      <c r="C634" s="350">
        <v>4739742.5022855038</v>
      </c>
      <c r="D634" s="350">
        <v>4722661.9787635207</v>
      </c>
      <c r="E634" s="350">
        <v>4704190.2299730834</v>
      </c>
      <c r="F634" s="350">
        <v>4682029.4131299192</v>
      </c>
      <c r="G634" s="350">
        <v>4654143.889768648</v>
      </c>
      <c r="H634" s="348">
        <v>23502768.013920676</v>
      </c>
      <c r="I634" s="369"/>
      <c r="J634" s="350">
        <v>13691573.685171131</v>
      </c>
      <c r="K634" s="350">
        <v>13372986.935334601</v>
      </c>
      <c r="L634" s="350">
        <v>13046834.297180351</v>
      </c>
      <c r="M634" s="350">
        <v>12693667.102686467</v>
      </c>
      <c r="N634" s="350">
        <v>12297234.549866885</v>
      </c>
      <c r="O634" s="348">
        <v>65102296.570239432</v>
      </c>
      <c r="P634" s="369"/>
      <c r="Q634" s="350">
        <f t="shared" si="261"/>
        <v>8951831.1828856282</v>
      </c>
      <c r="R634" s="350">
        <f t="shared" si="262"/>
        <v>8650324.9565710798</v>
      </c>
      <c r="S634" s="350">
        <f t="shared" si="263"/>
        <v>8342644.0672072675</v>
      </c>
      <c r="T634" s="350">
        <f t="shared" si="264"/>
        <v>8011637.6895565474</v>
      </c>
      <c r="U634" s="350">
        <f t="shared" si="265"/>
        <v>7643090.660098237</v>
      </c>
      <c r="V634" s="350">
        <f t="shared" si="266"/>
        <v>41599528.55631876</v>
      </c>
      <c r="W634" s="365"/>
      <c r="X634" s="377">
        <f t="shared" si="244"/>
        <v>0</v>
      </c>
      <c r="Y634" s="377">
        <f t="shared" si="245"/>
        <v>0</v>
      </c>
      <c r="Z634" s="377">
        <f t="shared" si="246"/>
        <v>0</v>
      </c>
      <c r="AA634" s="377">
        <f t="shared" si="247"/>
        <v>0</v>
      </c>
      <c r="AB634" s="377">
        <f t="shared" si="248"/>
        <v>0</v>
      </c>
      <c r="AC634" s="377">
        <f t="shared" si="249"/>
        <v>0</v>
      </c>
      <c r="AD634" s="376"/>
      <c r="AE634" s="332">
        <v>619</v>
      </c>
      <c r="AF634" s="350">
        <v>434011.82364837331</v>
      </c>
      <c r="AG634" s="350">
        <v>432447.7831632478</v>
      </c>
      <c r="AH634" s="350">
        <v>430756.35005804285</v>
      </c>
      <c r="AI634" s="350">
        <v>428727.11397042812</v>
      </c>
      <c r="AJ634" s="350">
        <v>426173.67423365364</v>
      </c>
      <c r="AK634" s="348">
        <v>2152116.7450737455</v>
      </c>
      <c r="AL634" s="369"/>
      <c r="AM634" s="350">
        <v>15025040.036445292</v>
      </c>
      <c r="AN634" s="350">
        <v>14896612.56081379</v>
      </c>
      <c r="AO634" s="350">
        <v>14755365.672588151</v>
      </c>
      <c r="AP634" s="350">
        <v>14572812.956057986</v>
      </c>
      <c r="AQ634" s="350">
        <v>14324569.992831273</v>
      </c>
      <c r="AR634" s="348">
        <v>73574401.218736485</v>
      </c>
      <c r="AS634" s="369"/>
      <c r="AT634" s="350">
        <f t="shared" si="267"/>
        <v>14591028.212796919</v>
      </c>
      <c r="AU634" s="350">
        <f t="shared" si="250"/>
        <v>14464164.777650543</v>
      </c>
      <c r="AV634" s="350">
        <f t="shared" si="251"/>
        <v>14324609.322530108</v>
      </c>
      <c r="AW634" s="350">
        <f t="shared" si="252"/>
        <v>14144085.842087558</v>
      </c>
      <c r="AX634" s="350">
        <f t="shared" si="253"/>
        <v>13898396.318597618</v>
      </c>
      <c r="AY634" s="350">
        <f t="shared" si="254"/>
        <v>71422284.473662734</v>
      </c>
      <c r="AZ634" s="365"/>
      <c r="BA634" s="377">
        <f t="shared" si="255"/>
        <v>0</v>
      </c>
      <c r="BB634" s="377">
        <f t="shared" si="256"/>
        <v>0</v>
      </c>
      <c r="BC634" s="377">
        <f t="shared" si="257"/>
        <v>0</v>
      </c>
      <c r="BD634" s="377">
        <f t="shared" si="258"/>
        <v>0</v>
      </c>
      <c r="BE634" s="377">
        <f t="shared" si="259"/>
        <v>0</v>
      </c>
      <c r="BF634" s="377">
        <f t="shared" si="260"/>
        <v>0</v>
      </c>
      <c r="BG634" s="328"/>
    </row>
    <row r="635" spans="2:59">
      <c r="B635" s="332">
        <v>620</v>
      </c>
      <c r="C635" s="350">
        <v>3125679.6245720368</v>
      </c>
      <c r="D635" s="350">
        <v>3114415.6699745161</v>
      </c>
      <c r="E635" s="350">
        <v>3102234.2553097652</v>
      </c>
      <c r="F635" s="350">
        <v>3087620.0407955484</v>
      </c>
      <c r="G635" s="350">
        <v>3069230.600409531</v>
      </c>
      <c r="H635" s="348">
        <v>15499180.191061396</v>
      </c>
      <c r="I635" s="369"/>
      <c r="J635" s="350">
        <v>10161087.475390218</v>
      </c>
      <c r="K635" s="350">
        <v>9942832.7979110703</v>
      </c>
      <c r="L635" s="350">
        <v>9718591.8856197931</v>
      </c>
      <c r="M635" s="350">
        <v>9473343.8621031009</v>
      </c>
      <c r="N635" s="350">
        <v>9194489.8395650052</v>
      </c>
      <c r="O635" s="348">
        <v>48490345.860589191</v>
      </c>
      <c r="P635" s="369"/>
      <c r="Q635" s="350">
        <f t="shared" si="261"/>
        <v>7035407.8508181814</v>
      </c>
      <c r="R635" s="350">
        <f t="shared" si="262"/>
        <v>6828417.1279365541</v>
      </c>
      <c r="S635" s="350">
        <f t="shared" si="263"/>
        <v>6616357.6303100279</v>
      </c>
      <c r="T635" s="350">
        <f t="shared" si="264"/>
        <v>6385723.821307553</v>
      </c>
      <c r="U635" s="350">
        <f t="shared" si="265"/>
        <v>6125259.2391554741</v>
      </c>
      <c r="V635" s="350">
        <f t="shared" si="266"/>
        <v>32991165.669527795</v>
      </c>
      <c r="W635" s="365"/>
      <c r="X635" s="377">
        <f t="shared" si="244"/>
        <v>0</v>
      </c>
      <c r="Y635" s="377">
        <f t="shared" si="245"/>
        <v>0</v>
      </c>
      <c r="Z635" s="377">
        <f t="shared" si="246"/>
        <v>0</v>
      </c>
      <c r="AA635" s="377">
        <f t="shared" si="247"/>
        <v>0</v>
      </c>
      <c r="AB635" s="377">
        <f t="shared" si="248"/>
        <v>0</v>
      </c>
      <c r="AC635" s="377">
        <f t="shared" si="249"/>
        <v>0</v>
      </c>
      <c r="AD635" s="376"/>
      <c r="AE635" s="332">
        <v>620</v>
      </c>
      <c r="AF635" s="350">
        <v>453496.33801730914</v>
      </c>
      <c r="AG635" s="350">
        <v>451862.08154348133</v>
      </c>
      <c r="AH635" s="350">
        <v>450094.71328894014</v>
      </c>
      <c r="AI635" s="350">
        <v>447974.37673458055</v>
      </c>
      <c r="AJ635" s="350">
        <v>445306.30294746358</v>
      </c>
      <c r="AK635" s="348">
        <v>2248733.8125317749</v>
      </c>
      <c r="AL635" s="369"/>
      <c r="AM635" s="350">
        <v>11978340.142413916</v>
      </c>
      <c r="AN635" s="350">
        <v>11870967.330621693</v>
      </c>
      <c r="AO635" s="350">
        <v>11753476.399163321</v>
      </c>
      <c r="AP635" s="350">
        <v>11603318.329267252</v>
      </c>
      <c r="AQ635" s="350">
        <v>11401200.95429025</v>
      </c>
      <c r="AR635" s="348">
        <v>58607303.155756436</v>
      </c>
      <c r="AS635" s="369"/>
      <c r="AT635" s="350">
        <f t="shared" si="267"/>
        <v>11524843.804396607</v>
      </c>
      <c r="AU635" s="350">
        <f t="shared" si="250"/>
        <v>11419105.249078212</v>
      </c>
      <c r="AV635" s="350">
        <f t="shared" si="251"/>
        <v>11303381.68587438</v>
      </c>
      <c r="AW635" s="350">
        <f t="shared" si="252"/>
        <v>11155343.952532671</v>
      </c>
      <c r="AX635" s="350">
        <f t="shared" si="253"/>
        <v>10955894.651342787</v>
      </c>
      <c r="AY635" s="350">
        <f t="shared" si="254"/>
        <v>56358569.34322466</v>
      </c>
      <c r="AZ635" s="365"/>
      <c r="BA635" s="377">
        <f t="shared" si="255"/>
        <v>0</v>
      </c>
      <c r="BB635" s="377">
        <f t="shared" si="256"/>
        <v>0</v>
      </c>
      <c r="BC635" s="377">
        <f t="shared" si="257"/>
        <v>0</v>
      </c>
      <c r="BD635" s="377">
        <f t="shared" si="258"/>
        <v>0</v>
      </c>
      <c r="BE635" s="377">
        <f t="shared" si="259"/>
        <v>0</v>
      </c>
      <c r="BF635" s="377">
        <f t="shared" si="260"/>
        <v>0</v>
      </c>
      <c r="BG635" s="328"/>
    </row>
    <row r="636" spans="2:59">
      <c r="B636" s="332">
        <v>621</v>
      </c>
      <c r="C636" s="350">
        <v>6259638.4023628077</v>
      </c>
      <c r="D636" s="350">
        <v>6237080.6577344649</v>
      </c>
      <c r="E636" s="350">
        <v>6212685.5628465731</v>
      </c>
      <c r="F636" s="350">
        <v>6183418.4243739024</v>
      </c>
      <c r="G636" s="350">
        <v>6146590.8345168522</v>
      </c>
      <c r="H636" s="348">
        <v>31039413.881834604</v>
      </c>
      <c r="I636" s="369"/>
      <c r="J636" s="350">
        <v>19230806.440866765</v>
      </c>
      <c r="K636" s="350">
        <v>18801778.853228938</v>
      </c>
      <c r="L636" s="350">
        <v>18361747.666301854</v>
      </c>
      <c r="M636" s="350">
        <v>17882799.929260261</v>
      </c>
      <c r="N636" s="350">
        <v>17341563.764681868</v>
      </c>
      <c r="O636" s="348">
        <v>91618696.654339701</v>
      </c>
      <c r="P636" s="369"/>
      <c r="Q636" s="350">
        <f t="shared" si="261"/>
        <v>12971168.038503956</v>
      </c>
      <c r="R636" s="350">
        <f t="shared" si="262"/>
        <v>12564698.195494473</v>
      </c>
      <c r="S636" s="350">
        <f t="shared" si="263"/>
        <v>12149062.103455281</v>
      </c>
      <c r="T636" s="350">
        <f t="shared" si="264"/>
        <v>11699381.504886359</v>
      </c>
      <c r="U636" s="350">
        <f t="shared" si="265"/>
        <v>11194972.930165015</v>
      </c>
      <c r="V636" s="350">
        <f t="shared" si="266"/>
        <v>60579282.772505097</v>
      </c>
      <c r="W636" s="365"/>
      <c r="X636" s="377">
        <f t="shared" si="244"/>
        <v>0</v>
      </c>
      <c r="Y636" s="377">
        <f t="shared" si="245"/>
        <v>0</v>
      </c>
      <c r="Z636" s="377">
        <f t="shared" si="246"/>
        <v>0</v>
      </c>
      <c r="AA636" s="377">
        <f t="shared" si="247"/>
        <v>0</v>
      </c>
      <c r="AB636" s="377">
        <f t="shared" si="248"/>
        <v>0</v>
      </c>
      <c r="AC636" s="377">
        <f t="shared" si="249"/>
        <v>0</v>
      </c>
      <c r="AD636" s="376"/>
      <c r="AE636" s="332">
        <v>621</v>
      </c>
      <c r="AF636" s="350">
        <v>269065.30056704435</v>
      </c>
      <c r="AG636" s="350">
        <v>268095.67485571757</v>
      </c>
      <c r="AH636" s="350">
        <v>267047.07218628947</v>
      </c>
      <c r="AI636" s="350">
        <v>265789.04881437804</v>
      </c>
      <c r="AJ636" s="350">
        <v>264206.04578814789</v>
      </c>
      <c r="AK636" s="348">
        <v>1334203.1422115774</v>
      </c>
      <c r="AL636" s="369"/>
      <c r="AM636" s="350">
        <v>10288899.657876782</v>
      </c>
      <c r="AN636" s="350">
        <v>10202260.178854574</v>
      </c>
      <c r="AO636" s="350">
        <v>10106815.51831959</v>
      </c>
      <c r="AP636" s="350">
        <v>9983016.4842096046</v>
      </c>
      <c r="AQ636" s="350">
        <v>9814126.362828983</v>
      </c>
      <c r="AR636" s="348">
        <v>50395118.202089533</v>
      </c>
      <c r="AS636" s="369"/>
      <c r="AT636" s="350">
        <f t="shared" si="267"/>
        <v>10019834.357309738</v>
      </c>
      <c r="AU636" s="350">
        <f t="shared" si="250"/>
        <v>9934164.5039988551</v>
      </c>
      <c r="AV636" s="350">
        <f t="shared" si="251"/>
        <v>9839768.4461333007</v>
      </c>
      <c r="AW636" s="350">
        <f t="shared" si="252"/>
        <v>9717227.4353952259</v>
      </c>
      <c r="AX636" s="350">
        <f t="shared" si="253"/>
        <v>9549920.3170408346</v>
      </c>
      <c r="AY636" s="350">
        <f t="shared" si="254"/>
        <v>49060915.059877954</v>
      </c>
      <c r="AZ636" s="365"/>
      <c r="BA636" s="377">
        <f t="shared" si="255"/>
        <v>0</v>
      </c>
      <c r="BB636" s="377">
        <f t="shared" si="256"/>
        <v>0</v>
      </c>
      <c r="BC636" s="377">
        <f t="shared" si="257"/>
        <v>0</v>
      </c>
      <c r="BD636" s="377">
        <f t="shared" si="258"/>
        <v>0</v>
      </c>
      <c r="BE636" s="377">
        <f t="shared" si="259"/>
        <v>0</v>
      </c>
      <c r="BF636" s="377">
        <f t="shared" si="260"/>
        <v>0</v>
      </c>
      <c r="BG636" s="328"/>
    </row>
    <row r="637" spans="2:59">
      <c r="B637" s="332">
        <v>622</v>
      </c>
      <c r="C637" s="350">
        <v>7766104.1415397553</v>
      </c>
      <c r="D637" s="350">
        <v>7738117.5738306921</v>
      </c>
      <c r="E637" s="350">
        <v>7707851.4729372952</v>
      </c>
      <c r="F637" s="350">
        <v>7671540.8059796244</v>
      </c>
      <c r="G637" s="350">
        <v>7625850.1638486357</v>
      </c>
      <c r="H637" s="348">
        <v>38509464.158136003</v>
      </c>
      <c r="I637" s="369"/>
      <c r="J637" s="350">
        <v>26284849.230575226</v>
      </c>
      <c r="K637" s="350">
        <v>25735086.12862812</v>
      </c>
      <c r="L637" s="350">
        <v>25169535.095973682</v>
      </c>
      <c r="M637" s="350">
        <v>24548861.23512917</v>
      </c>
      <c r="N637" s="350">
        <v>23840034.598304585</v>
      </c>
      <c r="O637" s="348">
        <v>125578366.28861077</v>
      </c>
      <c r="P637" s="369"/>
      <c r="Q637" s="350">
        <f t="shared" si="261"/>
        <v>18518745.08903547</v>
      </c>
      <c r="R637" s="350">
        <f t="shared" si="262"/>
        <v>17996968.554797426</v>
      </c>
      <c r="S637" s="350">
        <f t="shared" si="263"/>
        <v>17461683.623036385</v>
      </c>
      <c r="T637" s="350">
        <f t="shared" si="264"/>
        <v>16877320.429149546</v>
      </c>
      <c r="U637" s="350">
        <f t="shared" si="265"/>
        <v>16214184.43445595</v>
      </c>
      <c r="V637" s="350">
        <f t="shared" si="266"/>
        <v>87068902.130474776</v>
      </c>
      <c r="W637" s="365"/>
      <c r="X637" s="377">
        <f t="shared" si="244"/>
        <v>0</v>
      </c>
      <c r="Y637" s="377">
        <f t="shared" si="245"/>
        <v>0</v>
      </c>
      <c r="Z637" s="377">
        <f t="shared" si="246"/>
        <v>0</v>
      </c>
      <c r="AA637" s="377">
        <f t="shared" si="247"/>
        <v>0</v>
      </c>
      <c r="AB637" s="377">
        <f t="shared" si="248"/>
        <v>0</v>
      </c>
      <c r="AC637" s="377">
        <f t="shared" si="249"/>
        <v>0</v>
      </c>
      <c r="AD637" s="376"/>
      <c r="AE637" s="332">
        <v>622</v>
      </c>
      <c r="AF637" s="350">
        <v>452172.95312537416</v>
      </c>
      <c r="AG637" s="350">
        <v>450543.46570952021</v>
      </c>
      <c r="AH637" s="350">
        <v>448781.25495736772</v>
      </c>
      <c r="AI637" s="350">
        <v>446667.10593116801</v>
      </c>
      <c r="AJ637" s="350">
        <v>444006.81806919398</v>
      </c>
      <c r="AK637" s="348">
        <v>2242171.597792624</v>
      </c>
      <c r="AL637" s="369"/>
      <c r="AM637" s="350">
        <v>12714127.250053391</v>
      </c>
      <c r="AN637" s="350">
        <v>12601512.753314719</v>
      </c>
      <c r="AO637" s="350">
        <v>12478130.97094547</v>
      </c>
      <c r="AP637" s="350">
        <v>12320004.05310547</v>
      </c>
      <c r="AQ637" s="350">
        <v>12106614.686690057</v>
      </c>
      <c r="AR637" s="348">
        <v>62220389.7141091</v>
      </c>
      <c r="AS637" s="369"/>
      <c r="AT637" s="350">
        <f t="shared" si="267"/>
        <v>12261954.296928016</v>
      </c>
      <c r="AU637" s="350">
        <f t="shared" si="250"/>
        <v>12150969.287605198</v>
      </c>
      <c r="AV637" s="350">
        <f t="shared" si="251"/>
        <v>12029349.715988101</v>
      </c>
      <c r="AW637" s="350">
        <f t="shared" si="252"/>
        <v>11873336.947174301</v>
      </c>
      <c r="AX637" s="350">
        <f t="shared" si="253"/>
        <v>11662607.868620863</v>
      </c>
      <c r="AY637" s="350">
        <f t="shared" si="254"/>
        <v>59978218.116316475</v>
      </c>
      <c r="AZ637" s="365"/>
      <c r="BA637" s="377">
        <f t="shared" si="255"/>
        <v>0</v>
      </c>
      <c r="BB637" s="377">
        <f t="shared" si="256"/>
        <v>0</v>
      </c>
      <c r="BC637" s="377">
        <f t="shared" si="257"/>
        <v>0</v>
      </c>
      <c r="BD637" s="377">
        <f t="shared" si="258"/>
        <v>0</v>
      </c>
      <c r="BE637" s="377">
        <f t="shared" si="259"/>
        <v>0</v>
      </c>
      <c r="BF637" s="377">
        <f t="shared" si="260"/>
        <v>0</v>
      </c>
      <c r="BG637" s="328"/>
    </row>
    <row r="638" spans="2:59">
      <c r="B638" s="332">
        <v>623</v>
      </c>
      <c r="C638" s="350">
        <v>5167282.7684949916</v>
      </c>
      <c r="D638" s="350">
        <v>5148661.5259212749</v>
      </c>
      <c r="E638" s="350">
        <v>5128523.5650124755</v>
      </c>
      <c r="F638" s="350">
        <v>5104363.7700543664</v>
      </c>
      <c r="G638" s="350">
        <v>5073962.881338222</v>
      </c>
      <c r="H638" s="348">
        <v>25622794.510821335</v>
      </c>
      <c r="I638" s="369"/>
      <c r="J638" s="350">
        <v>18202894.30227752</v>
      </c>
      <c r="K638" s="350">
        <v>17831956.530692931</v>
      </c>
      <c r="L638" s="350">
        <v>17449885.394519255</v>
      </c>
      <c r="M638" s="350">
        <v>17029124.45607806</v>
      </c>
      <c r="N638" s="350">
        <v>16546509.831242254</v>
      </c>
      <c r="O638" s="348">
        <v>87060370.514810011</v>
      </c>
      <c r="P638" s="369"/>
      <c r="Q638" s="350">
        <f t="shared" si="261"/>
        <v>13035611.533782529</v>
      </c>
      <c r="R638" s="350">
        <f t="shared" si="262"/>
        <v>12683295.004771657</v>
      </c>
      <c r="S638" s="350">
        <f t="shared" si="263"/>
        <v>12321361.829506779</v>
      </c>
      <c r="T638" s="350">
        <f t="shared" si="264"/>
        <v>11924760.686023694</v>
      </c>
      <c r="U638" s="350">
        <f t="shared" si="265"/>
        <v>11472546.949904032</v>
      </c>
      <c r="V638" s="350">
        <f t="shared" si="266"/>
        <v>61437576.003988676</v>
      </c>
      <c r="W638" s="365"/>
      <c r="X638" s="377">
        <f t="shared" si="244"/>
        <v>0</v>
      </c>
      <c r="Y638" s="377">
        <f t="shared" si="245"/>
        <v>0</v>
      </c>
      <c r="Z638" s="377">
        <f t="shared" si="246"/>
        <v>0</v>
      </c>
      <c r="AA638" s="377">
        <f t="shared" si="247"/>
        <v>0</v>
      </c>
      <c r="AB638" s="377">
        <f t="shared" si="248"/>
        <v>0</v>
      </c>
      <c r="AC638" s="377">
        <f t="shared" si="249"/>
        <v>0</v>
      </c>
      <c r="AD638" s="376"/>
      <c r="AE638" s="332">
        <v>623</v>
      </c>
      <c r="AF638" s="350">
        <v>465641.95758741349</v>
      </c>
      <c r="AG638" s="350">
        <v>463963.93216608354</v>
      </c>
      <c r="AH638" s="350">
        <v>462149.22994065762</v>
      </c>
      <c r="AI638" s="350">
        <v>459972.10615563963</v>
      </c>
      <c r="AJ638" s="350">
        <v>457232.57554189209</v>
      </c>
      <c r="AK638" s="348">
        <v>2308959.8013916863</v>
      </c>
      <c r="AL638" s="369"/>
      <c r="AM638" s="350">
        <v>12679595.860837439</v>
      </c>
      <c r="AN638" s="350">
        <v>12566605.332154902</v>
      </c>
      <c r="AO638" s="350">
        <v>12442890.685888767</v>
      </c>
      <c r="AP638" s="350">
        <v>12284561.218397489</v>
      </c>
      <c r="AQ638" s="350">
        <v>12071175.536850605</v>
      </c>
      <c r="AR638" s="348">
        <v>62044828.634129211</v>
      </c>
      <c r="AS638" s="369"/>
      <c r="AT638" s="350">
        <f t="shared" si="267"/>
        <v>12213953.903250026</v>
      </c>
      <c r="AU638" s="350">
        <f t="shared" si="250"/>
        <v>12102641.399988819</v>
      </c>
      <c r="AV638" s="350">
        <f t="shared" si="251"/>
        <v>11980741.455948109</v>
      </c>
      <c r="AW638" s="350">
        <f t="shared" si="252"/>
        <v>11824589.112241849</v>
      </c>
      <c r="AX638" s="350">
        <f t="shared" si="253"/>
        <v>11613942.961308714</v>
      </c>
      <c r="AY638" s="350">
        <f t="shared" si="254"/>
        <v>59735868.832737528</v>
      </c>
      <c r="AZ638" s="365"/>
      <c r="BA638" s="377">
        <f t="shared" si="255"/>
        <v>0</v>
      </c>
      <c r="BB638" s="377">
        <f t="shared" si="256"/>
        <v>0</v>
      </c>
      <c r="BC638" s="377">
        <f t="shared" si="257"/>
        <v>0</v>
      </c>
      <c r="BD638" s="377">
        <f t="shared" si="258"/>
        <v>0</v>
      </c>
      <c r="BE638" s="377">
        <f t="shared" si="259"/>
        <v>0</v>
      </c>
      <c r="BF638" s="377">
        <f t="shared" si="260"/>
        <v>0</v>
      </c>
      <c r="BG638" s="328"/>
    </row>
    <row r="639" spans="2:59">
      <c r="B639" s="332">
        <v>624</v>
      </c>
      <c r="C639" s="350">
        <v>4924956.8689172808</v>
      </c>
      <c r="D639" s="350">
        <v>4907208.891763729</v>
      </c>
      <c r="E639" s="350">
        <v>4888015.3245936744</v>
      </c>
      <c r="F639" s="350">
        <v>4864988.5320875552</v>
      </c>
      <c r="G639" s="350">
        <v>4836013.3293723818</v>
      </c>
      <c r="H639" s="348">
        <v>24421182.946734622</v>
      </c>
      <c r="I639" s="369"/>
      <c r="J639" s="350">
        <v>14099792.65189082</v>
      </c>
      <c r="K639" s="350">
        <v>13769670.454879258</v>
      </c>
      <c r="L639" s="350">
        <v>13431798.378969079</v>
      </c>
      <c r="M639" s="350">
        <v>13066213.66485529</v>
      </c>
      <c r="N639" s="350">
        <v>12656241.307390762</v>
      </c>
      <c r="O639" s="348">
        <v>67023716.457985207</v>
      </c>
      <c r="P639" s="369"/>
      <c r="Q639" s="350">
        <f t="shared" si="261"/>
        <v>9174835.7829735391</v>
      </c>
      <c r="R639" s="350">
        <f t="shared" si="262"/>
        <v>8862461.5631155297</v>
      </c>
      <c r="S639" s="350">
        <f t="shared" si="263"/>
        <v>8543783.0543754045</v>
      </c>
      <c r="T639" s="350">
        <f t="shared" si="264"/>
        <v>8201225.132767735</v>
      </c>
      <c r="U639" s="350">
        <f t="shared" si="265"/>
        <v>7820227.9780183807</v>
      </c>
      <c r="V639" s="350">
        <f t="shared" si="266"/>
        <v>42602533.511250585</v>
      </c>
      <c r="W639" s="365"/>
      <c r="X639" s="377">
        <f t="shared" si="244"/>
        <v>0</v>
      </c>
      <c r="Y639" s="377">
        <f t="shared" si="245"/>
        <v>0</v>
      </c>
      <c r="Z639" s="377">
        <f t="shared" si="246"/>
        <v>0</v>
      </c>
      <c r="AA639" s="377">
        <f t="shared" si="247"/>
        <v>0</v>
      </c>
      <c r="AB639" s="377">
        <f t="shared" si="248"/>
        <v>0</v>
      </c>
      <c r="AC639" s="377">
        <f t="shared" si="249"/>
        <v>0</v>
      </c>
      <c r="AD639" s="376"/>
      <c r="AE639" s="332">
        <v>624</v>
      </c>
      <c r="AF639" s="350">
        <v>429392.13018047682</v>
      </c>
      <c r="AG639" s="350">
        <v>427844.73760035983</v>
      </c>
      <c r="AH639" s="350">
        <v>426171.30838823278</v>
      </c>
      <c r="AI639" s="350">
        <v>424163.67182438209</v>
      </c>
      <c r="AJ639" s="350">
        <v>421637.41132151301</v>
      </c>
      <c r="AK639" s="348">
        <v>2129209.2593149645</v>
      </c>
      <c r="AL639" s="369"/>
      <c r="AM639" s="350">
        <v>11152100.901382713</v>
      </c>
      <c r="AN639" s="350">
        <v>11051801.442625111</v>
      </c>
      <c r="AO639" s="350">
        <v>10942088.589133833</v>
      </c>
      <c r="AP639" s="350">
        <v>10801979.457494086</v>
      </c>
      <c r="AQ639" s="350">
        <v>10613522.473763155</v>
      </c>
      <c r="AR639" s="348">
        <v>54561492.864398897</v>
      </c>
      <c r="AS639" s="369"/>
      <c r="AT639" s="350">
        <f t="shared" si="267"/>
        <v>10722708.771202236</v>
      </c>
      <c r="AU639" s="350">
        <f t="shared" si="250"/>
        <v>10623956.705024751</v>
      </c>
      <c r="AV639" s="350">
        <f t="shared" si="251"/>
        <v>10515917.280745599</v>
      </c>
      <c r="AW639" s="350">
        <f t="shared" si="252"/>
        <v>10377815.785669703</v>
      </c>
      <c r="AX639" s="350">
        <f t="shared" si="253"/>
        <v>10191885.062441641</v>
      </c>
      <c r="AY639" s="350">
        <f t="shared" si="254"/>
        <v>52432283.605083935</v>
      </c>
      <c r="AZ639" s="365"/>
      <c r="BA639" s="377">
        <f t="shared" si="255"/>
        <v>0</v>
      </c>
      <c r="BB639" s="377">
        <f t="shared" si="256"/>
        <v>0</v>
      </c>
      <c r="BC639" s="377">
        <f t="shared" si="257"/>
        <v>0</v>
      </c>
      <c r="BD639" s="377">
        <f t="shared" si="258"/>
        <v>0</v>
      </c>
      <c r="BE639" s="377">
        <f t="shared" si="259"/>
        <v>0</v>
      </c>
      <c r="BF639" s="377">
        <f t="shared" si="260"/>
        <v>0</v>
      </c>
      <c r="BG639" s="328"/>
    </row>
    <row r="640" spans="2:59">
      <c r="B640" s="332">
        <v>625</v>
      </c>
      <c r="C640" s="350">
        <v>6091242.6194867603</v>
      </c>
      <c r="D640" s="350">
        <v>6069291.719666766</v>
      </c>
      <c r="E640" s="350">
        <v>6045552.897687614</v>
      </c>
      <c r="F640" s="350">
        <v>6017073.0990545405</v>
      </c>
      <c r="G640" s="350">
        <v>5981236.2390810363</v>
      </c>
      <c r="H640" s="348">
        <v>30204396.57497672</v>
      </c>
      <c r="I640" s="369"/>
      <c r="J640" s="350">
        <v>17205754.435026918</v>
      </c>
      <c r="K640" s="350">
        <v>16799135.077608667</v>
      </c>
      <c r="L640" s="350">
        <v>16383135.78058481</v>
      </c>
      <c r="M640" s="350">
        <v>15933518.269966494</v>
      </c>
      <c r="N640" s="350">
        <v>15430046.147118736</v>
      </c>
      <c r="O640" s="348">
        <v>81751589.710305631</v>
      </c>
      <c r="P640" s="369"/>
      <c r="Q640" s="350">
        <f t="shared" si="261"/>
        <v>11114511.815540157</v>
      </c>
      <c r="R640" s="350">
        <f t="shared" si="262"/>
        <v>10729843.357941901</v>
      </c>
      <c r="S640" s="350">
        <f t="shared" si="263"/>
        <v>10337582.882897196</v>
      </c>
      <c r="T640" s="350">
        <f t="shared" si="264"/>
        <v>9916445.1709119529</v>
      </c>
      <c r="U640" s="350">
        <f t="shared" si="265"/>
        <v>9448809.9080376998</v>
      </c>
      <c r="V640" s="350">
        <f t="shared" si="266"/>
        <v>51547193.135328911</v>
      </c>
      <c r="W640" s="365"/>
      <c r="X640" s="377">
        <f t="shared" si="244"/>
        <v>0</v>
      </c>
      <c r="Y640" s="377">
        <f t="shared" si="245"/>
        <v>0</v>
      </c>
      <c r="Z640" s="377">
        <f t="shared" si="246"/>
        <v>0</v>
      </c>
      <c r="AA640" s="377">
        <f t="shared" si="247"/>
        <v>0</v>
      </c>
      <c r="AB640" s="377">
        <f t="shared" si="248"/>
        <v>0</v>
      </c>
      <c r="AC640" s="377">
        <f t="shared" si="249"/>
        <v>0</v>
      </c>
      <c r="AD640" s="376"/>
      <c r="AE640" s="332">
        <v>625</v>
      </c>
      <c r="AF640" s="350">
        <v>552702.83539529168</v>
      </c>
      <c r="AG640" s="350">
        <v>550711.07027807634</v>
      </c>
      <c r="AH640" s="350">
        <v>548557.07395311515</v>
      </c>
      <c r="AI640" s="350">
        <v>545972.89426445356</v>
      </c>
      <c r="AJ640" s="350">
        <v>542721.15478265181</v>
      </c>
      <c r="AK640" s="348">
        <v>2740665.0286735883</v>
      </c>
      <c r="AL640" s="369"/>
      <c r="AM640" s="350">
        <v>16390820.863200216</v>
      </c>
      <c r="AN640" s="350">
        <v>16247042.882752845</v>
      </c>
      <c r="AO640" s="350">
        <v>16089355.273511088</v>
      </c>
      <c r="AP640" s="350">
        <v>15886800.93075143</v>
      </c>
      <c r="AQ640" s="350">
        <v>15612887.768821327</v>
      </c>
      <c r="AR640" s="348">
        <v>80226907.719036907</v>
      </c>
      <c r="AS640" s="369"/>
      <c r="AT640" s="350">
        <f t="shared" si="267"/>
        <v>15838118.027804924</v>
      </c>
      <c r="AU640" s="350">
        <f t="shared" si="250"/>
        <v>15696331.812474769</v>
      </c>
      <c r="AV640" s="350">
        <f t="shared" si="251"/>
        <v>15540798.199557973</v>
      </c>
      <c r="AW640" s="350">
        <f t="shared" si="252"/>
        <v>15340828.036486976</v>
      </c>
      <c r="AX640" s="350">
        <f t="shared" si="253"/>
        <v>15070166.614038676</v>
      </c>
      <c r="AY640" s="350">
        <f t="shared" si="254"/>
        <v>77486242.690363318</v>
      </c>
      <c r="AZ640" s="365"/>
      <c r="BA640" s="377">
        <f t="shared" si="255"/>
        <v>0</v>
      </c>
      <c r="BB640" s="377">
        <f t="shared" si="256"/>
        <v>0</v>
      </c>
      <c r="BC640" s="377">
        <f t="shared" si="257"/>
        <v>0</v>
      </c>
      <c r="BD640" s="377">
        <f t="shared" si="258"/>
        <v>0</v>
      </c>
      <c r="BE640" s="377">
        <f t="shared" si="259"/>
        <v>0</v>
      </c>
      <c r="BF640" s="377">
        <f t="shared" si="260"/>
        <v>0</v>
      </c>
      <c r="BG640" s="328"/>
    </row>
    <row r="641" spans="2:59">
      <c r="B641" s="332">
        <v>626</v>
      </c>
      <c r="C641" s="350">
        <v>5734356.723185624</v>
      </c>
      <c r="D641" s="350">
        <v>5713691.9265544629</v>
      </c>
      <c r="E641" s="350">
        <v>5691343.962120872</v>
      </c>
      <c r="F641" s="350">
        <v>5664532.7948486842</v>
      </c>
      <c r="G641" s="350">
        <v>5630795.6164494054</v>
      </c>
      <c r="H641" s="348">
        <v>28434721.023159049</v>
      </c>
      <c r="I641" s="369"/>
      <c r="J641" s="350">
        <v>19844457.177994024</v>
      </c>
      <c r="K641" s="350">
        <v>19435377.922401961</v>
      </c>
      <c r="L641" s="350">
        <v>19014257.045279954</v>
      </c>
      <c r="M641" s="350">
        <v>18551204.493968796</v>
      </c>
      <c r="N641" s="350">
        <v>18021106.329601787</v>
      </c>
      <c r="O641" s="348">
        <v>94866402.969246536</v>
      </c>
      <c r="P641" s="369"/>
      <c r="Q641" s="350">
        <f t="shared" si="261"/>
        <v>14110100.454808399</v>
      </c>
      <c r="R641" s="350">
        <f t="shared" si="262"/>
        <v>13721685.995847497</v>
      </c>
      <c r="S641" s="350">
        <f t="shared" si="263"/>
        <v>13322913.083159082</v>
      </c>
      <c r="T641" s="350">
        <f t="shared" si="264"/>
        <v>12886671.699120112</v>
      </c>
      <c r="U641" s="350">
        <f t="shared" si="265"/>
        <v>12390310.713152383</v>
      </c>
      <c r="V641" s="350">
        <f t="shared" si="266"/>
        <v>66431681.946087487</v>
      </c>
      <c r="W641" s="365"/>
      <c r="X641" s="377">
        <f t="shared" si="244"/>
        <v>0</v>
      </c>
      <c r="Y641" s="377">
        <f t="shared" si="245"/>
        <v>0</v>
      </c>
      <c r="Z641" s="377">
        <f t="shared" si="246"/>
        <v>0</v>
      </c>
      <c r="AA641" s="377">
        <f t="shared" si="247"/>
        <v>0</v>
      </c>
      <c r="AB641" s="377">
        <f t="shared" si="248"/>
        <v>0</v>
      </c>
      <c r="AC641" s="377">
        <f t="shared" si="249"/>
        <v>0</v>
      </c>
      <c r="AD641" s="376"/>
      <c r="AE641" s="332">
        <v>626</v>
      </c>
      <c r="AF641" s="350">
        <v>301490.66701649176</v>
      </c>
      <c r="AG641" s="350">
        <v>300404.19060408114</v>
      </c>
      <c r="AH641" s="350">
        <v>299229.21963021392</v>
      </c>
      <c r="AI641" s="350">
        <v>297819.59042599989</v>
      </c>
      <c r="AJ641" s="350">
        <v>296045.81789843348</v>
      </c>
      <c r="AK641" s="348">
        <v>1494989.4855752201</v>
      </c>
      <c r="AL641" s="369"/>
      <c r="AM641" s="350">
        <v>7914112.136021317</v>
      </c>
      <c r="AN641" s="350">
        <v>7843084.1962497188</v>
      </c>
      <c r="AO641" s="350">
        <v>7765372.9622661406</v>
      </c>
      <c r="AP641" s="350">
        <v>7666083.0486878669</v>
      </c>
      <c r="AQ641" s="350">
        <v>7532470.6467035338</v>
      </c>
      <c r="AR641" s="348">
        <v>38721122.989928573</v>
      </c>
      <c r="AS641" s="369"/>
      <c r="AT641" s="350">
        <f t="shared" si="267"/>
        <v>7612621.4690048248</v>
      </c>
      <c r="AU641" s="350">
        <f t="shared" si="250"/>
        <v>7542680.0056456374</v>
      </c>
      <c r="AV641" s="350">
        <f t="shared" si="251"/>
        <v>7466143.7426359262</v>
      </c>
      <c r="AW641" s="350">
        <f t="shared" si="252"/>
        <v>7368263.4582618671</v>
      </c>
      <c r="AX641" s="350">
        <f t="shared" si="253"/>
        <v>7236424.8288051002</v>
      </c>
      <c r="AY641" s="350">
        <f t="shared" si="254"/>
        <v>37226133.504353352</v>
      </c>
      <c r="AZ641" s="365"/>
      <c r="BA641" s="377">
        <f t="shared" si="255"/>
        <v>0</v>
      </c>
      <c r="BB641" s="377">
        <f t="shared" si="256"/>
        <v>0</v>
      </c>
      <c r="BC641" s="377">
        <f t="shared" si="257"/>
        <v>0</v>
      </c>
      <c r="BD641" s="377">
        <f t="shared" si="258"/>
        <v>0</v>
      </c>
      <c r="BE641" s="377">
        <f t="shared" si="259"/>
        <v>0</v>
      </c>
      <c r="BF641" s="377">
        <f t="shared" si="260"/>
        <v>0</v>
      </c>
      <c r="BG641" s="328"/>
    </row>
    <row r="642" spans="2:59">
      <c r="B642" s="332">
        <v>627</v>
      </c>
      <c r="C642" s="350">
        <v>5915646.8425419815</v>
      </c>
      <c r="D642" s="350">
        <v>5894328.734017509</v>
      </c>
      <c r="E642" s="350">
        <v>5871274.2448009122</v>
      </c>
      <c r="F642" s="350">
        <v>5843615.4498087382</v>
      </c>
      <c r="G642" s="350">
        <v>5808811.6797420755</v>
      </c>
      <c r="H642" s="348">
        <v>29333676.950911216</v>
      </c>
      <c r="I642" s="369"/>
      <c r="J642" s="350">
        <v>18823361.822916076</v>
      </c>
      <c r="K642" s="350">
        <v>18413230.778627396</v>
      </c>
      <c r="L642" s="350">
        <v>17992129.015875939</v>
      </c>
      <c r="M642" s="350">
        <v>17532418.25564985</v>
      </c>
      <c r="N642" s="350">
        <v>17010931.357716843</v>
      </c>
      <c r="O642" s="348">
        <v>89772071.2307861</v>
      </c>
      <c r="P642" s="369"/>
      <c r="Q642" s="350">
        <f t="shared" si="261"/>
        <v>12907714.980374094</v>
      </c>
      <c r="R642" s="350">
        <f t="shared" si="262"/>
        <v>12518902.044609886</v>
      </c>
      <c r="S642" s="350">
        <f t="shared" si="263"/>
        <v>12120854.771075027</v>
      </c>
      <c r="T642" s="350">
        <f t="shared" si="264"/>
        <v>11688802.805841111</v>
      </c>
      <c r="U642" s="350">
        <f t="shared" si="265"/>
        <v>11202119.677974768</v>
      </c>
      <c r="V642" s="350">
        <f t="shared" si="266"/>
        <v>60438394.279874884</v>
      </c>
      <c r="W642" s="365"/>
      <c r="X642" s="377">
        <f t="shared" si="244"/>
        <v>0</v>
      </c>
      <c r="Y642" s="377">
        <f t="shared" si="245"/>
        <v>0</v>
      </c>
      <c r="Z642" s="377">
        <f t="shared" si="246"/>
        <v>0</v>
      </c>
      <c r="AA642" s="377">
        <f t="shared" si="247"/>
        <v>0</v>
      </c>
      <c r="AB642" s="377">
        <f t="shared" si="248"/>
        <v>0</v>
      </c>
      <c r="AC642" s="377">
        <f t="shared" si="249"/>
        <v>0</v>
      </c>
      <c r="AD642" s="376"/>
      <c r="AE642" s="332">
        <v>627</v>
      </c>
      <c r="AF642" s="350">
        <v>354933.00584826403</v>
      </c>
      <c r="AG642" s="350">
        <v>353653.94025510247</v>
      </c>
      <c r="AH642" s="350">
        <v>352270.69352422986</v>
      </c>
      <c r="AI642" s="350">
        <v>350611.19296477886</v>
      </c>
      <c r="AJ642" s="350">
        <v>348523.00091183599</v>
      </c>
      <c r="AK642" s="348">
        <v>1759991.8335042112</v>
      </c>
      <c r="AL642" s="369"/>
      <c r="AM642" s="350">
        <v>10219463.332979446</v>
      </c>
      <c r="AN642" s="350">
        <v>10129340.361407675</v>
      </c>
      <c r="AO642" s="350">
        <v>10030554.704226134</v>
      </c>
      <c r="AP642" s="350">
        <v>9903820.4886755366</v>
      </c>
      <c r="AQ642" s="350">
        <v>9732634.4390020929</v>
      </c>
      <c r="AR642" s="348">
        <v>50015813.326290891</v>
      </c>
      <c r="AS642" s="369"/>
      <c r="AT642" s="350">
        <f t="shared" si="267"/>
        <v>9864530.327131182</v>
      </c>
      <c r="AU642" s="350">
        <f t="shared" si="250"/>
        <v>9775686.4211525731</v>
      </c>
      <c r="AV642" s="350">
        <f t="shared" si="251"/>
        <v>9678284.0107019041</v>
      </c>
      <c r="AW642" s="350">
        <f t="shared" si="252"/>
        <v>9553209.2957107574</v>
      </c>
      <c r="AX642" s="350">
        <f t="shared" si="253"/>
        <v>9384111.4380902573</v>
      </c>
      <c r="AY642" s="350">
        <f t="shared" si="254"/>
        <v>48255821.492786676</v>
      </c>
      <c r="AZ642" s="365"/>
      <c r="BA642" s="377">
        <f t="shared" si="255"/>
        <v>0</v>
      </c>
      <c r="BB642" s="377">
        <f t="shared" si="256"/>
        <v>0</v>
      </c>
      <c r="BC642" s="377">
        <f t="shared" si="257"/>
        <v>0</v>
      </c>
      <c r="BD642" s="377">
        <f t="shared" si="258"/>
        <v>0</v>
      </c>
      <c r="BE642" s="377">
        <f t="shared" si="259"/>
        <v>0</v>
      </c>
      <c r="BF642" s="377">
        <f t="shared" si="260"/>
        <v>0</v>
      </c>
      <c r="BG642" s="328"/>
    </row>
    <row r="643" spans="2:59">
      <c r="B643" s="332">
        <v>628</v>
      </c>
      <c r="C643" s="350">
        <v>4428175.1154085333</v>
      </c>
      <c r="D643" s="350">
        <v>4412217.3815903515</v>
      </c>
      <c r="E643" s="350">
        <v>4394959.8748181053</v>
      </c>
      <c r="F643" s="350">
        <v>4374255.8012034083</v>
      </c>
      <c r="G643" s="350">
        <v>4348203.3351529893</v>
      </c>
      <c r="H643" s="348">
        <v>21957811.508173384</v>
      </c>
      <c r="I643" s="369"/>
      <c r="J643" s="350">
        <v>13871177.497220879</v>
      </c>
      <c r="K643" s="350">
        <v>13565751.857067488</v>
      </c>
      <c r="L643" s="350">
        <v>13252306.991240006</v>
      </c>
      <c r="M643" s="350">
        <v>12910579.077101957</v>
      </c>
      <c r="N643" s="350">
        <v>12523590.571117189</v>
      </c>
      <c r="O643" s="348">
        <v>66123405.993747532</v>
      </c>
      <c r="P643" s="369"/>
      <c r="Q643" s="350">
        <f t="shared" si="261"/>
        <v>9443002.3818123452</v>
      </c>
      <c r="R643" s="350">
        <f t="shared" si="262"/>
        <v>9153534.4754771367</v>
      </c>
      <c r="S643" s="350">
        <f t="shared" si="263"/>
        <v>8857347.1164219007</v>
      </c>
      <c r="T643" s="350">
        <f t="shared" si="264"/>
        <v>8536323.2758985497</v>
      </c>
      <c r="U643" s="350">
        <f t="shared" si="265"/>
        <v>8175387.2359641995</v>
      </c>
      <c r="V643" s="350">
        <f t="shared" si="266"/>
        <v>44165594.485574149</v>
      </c>
      <c r="W643" s="365"/>
      <c r="X643" s="377">
        <f t="shared" si="244"/>
        <v>0</v>
      </c>
      <c r="Y643" s="377">
        <f t="shared" si="245"/>
        <v>0</v>
      </c>
      <c r="Z643" s="377">
        <f t="shared" si="246"/>
        <v>0</v>
      </c>
      <c r="AA643" s="377">
        <f t="shared" si="247"/>
        <v>0</v>
      </c>
      <c r="AB643" s="377">
        <f t="shared" si="248"/>
        <v>0</v>
      </c>
      <c r="AC643" s="377">
        <f t="shared" si="249"/>
        <v>0</v>
      </c>
      <c r="AD643" s="376"/>
      <c r="AE643" s="332">
        <v>628</v>
      </c>
      <c r="AF643" s="350">
        <v>420457.07329522446</v>
      </c>
      <c r="AG643" s="350">
        <v>418941.87981647742</v>
      </c>
      <c r="AH643" s="350">
        <v>417303.27235387225</v>
      </c>
      <c r="AI643" s="350">
        <v>415337.41193271743</v>
      </c>
      <c r="AJ643" s="350">
        <v>412863.71942006896</v>
      </c>
      <c r="AK643" s="348">
        <v>2084903.3568183603</v>
      </c>
      <c r="AL643" s="369"/>
      <c r="AM643" s="350">
        <v>14256694.654056305</v>
      </c>
      <c r="AN643" s="350">
        <v>14134433.813389745</v>
      </c>
      <c r="AO643" s="350">
        <v>14000017.300170939</v>
      </c>
      <c r="AP643" s="350">
        <v>13826428.373224566</v>
      </c>
      <c r="AQ643" s="350">
        <v>13590541.448069233</v>
      </c>
      <c r="AR643" s="348">
        <v>69808115.588910788</v>
      </c>
      <c r="AS643" s="369"/>
      <c r="AT643" s="350">
        <f t="shared" si="267"/>
        <v>13836237.580761081</v>
      </c>
      <c r="AU643" s="350">
        <f t="shared" si="250"/>
        <v>13715491.933573266</v>
      </c>
      <c r="AV643" s="350">
        <f t="shared" si="251"/>
        <v>13582714.027817067</v>
      </c>
      <c r="AW643" s="350">
        <f t="shared" si="252"/>
        <v>13411090.961291848</v>
      </c>
      <c r="AX643" s="350">
        <f t="shared" si="253"/>
        <v>13177677.728649164</v>
      </c>
      <c r="AY643" s="350">
        <f t="shared" si="254"/>
        <v>67723212.232092425</v>
      </c>
      <c r="AZ643" s="365"/>
      <c r="BA643" s="377">
        <f t="shared" si="255"/>
        <v>0</v>
      </c>
      <c r="BB643" s="377">
        <f t="shared" si="256"/>
        <v>0</v>
      </c>
      <c r="BC643" s="377">
        <f t="shared" si="257"/>
        <v>0</v>
      </c>
      <c r="BD643" s="377">
        <f t="shared" si="258"/>
        <v>0</v>
      </c>
      <c r="BE643" s="377">
        <f t="shared" si="259"/>
        <v>0</v>
      </c>
      <c r="BF643" s="377">
        <f t="shared" si="260"/>
        <v>0</v>
      </c>
      <c r="BG643" s="328"/>
    </row>
    <row r="644" spans="2:59">
      <c r="B644" s="332">
        <v>629</v>
      </c>
      <c r="C644" s="350">
        <v>9432533.7293429952</v>
      </c>
      <c r="D644" s="350">
        <v>9398541.8797523845</v>
      </c>
      <c r="E644" s="350">
        <v>9361781.3609221429</v>
      </c>
      <c r="F644" s="350">
        <v>9317679.2494166885</v>
      </c>
      <c r="G644" s="350">
        <v>9262184.4330761954</v>
      </c>
      <c r="H644" s="348">
        <v>46772720.652510405</v>
      </c>
      <c r="I644" s="369"/>
      <c r="J644" s="350">
        <v>26652872.994379297</v>
      </c>
      <c r="K644" s="350">
        <v>26023141.213886388</v>
      </c>
      <c r="L644" s="350">
        <v>25378876.232240893</v>
      </c>
      <c r="M644" s="350">
        <v>24682526.517501555</v>
      </c>
      <c r="N644" s="350">
        <v>23902740.111569151</v>
      </c>
      <c r="O644" s="348">
        <v>126640157.06957729</v>
      </c>
      <c r="P644" s="369"/>
      <c r="Q644" s="350">
        <f t="shared" si="261"/>
        <v>17220339.2650363</v>
      </c>
      <c r="R644" s="350">
        <f t="shared" si="262"/>
        <v>16624599.334134003</v>
      </c>
      <c r="S644" s="350">
        <f t="shared" si="263"/>
        <v>16017094.87131875</v>
      </c>
      <c r="T644" s="350">
        <f t="shared" si="264"/>
        <v>15364847.268084867</v>
      </c>
      <c r="U644" s="350">
        <f t="shared" si="265"/>
        <v>14640555.678492956</v>
      </c>
      <c r="V644" s="350">
        <f t="shared" si="266"/>
        <v>79867436.417066887</v>
      </c>
      <c r="W644" s="365"/>
      <c r="X644" s="377">
        <f t="shared" si="244"/>
        <v>0</v>
      </c>
      <c r="Y644" s="377">
        <f t="shared" si="245"/>
        <v>0</v>
      </c>
      <c r="Z644" s="377">
        <f t="shared" si="246"/>
        <v>0</v>
      </c>
      <c r="AA644" s="377">
        <f t="shared" si="247"/>
        <v>0</v>
      </c>
      <c r="AB644" s="377">
        <f t="shared" si="248"/>
        <v>0</v>
      </c>
      <c r="AC644" s="377">
        <f t="shared" si="249"/>
        <v>0</v>
      </c>
      <c r="AD644" s="376"/>
      <c r="AE644" s="332">
        <v>629</v>
      </c>
      <c r="AF644" s="350">
        <v>514504.88800800574</v>
      </c>
      <c r="AG644" s="350">
        <v>512650.77613640972</v>
      </c>
      <c r="AH644" s="350">
        <v>510645.64504792693</v>
      </c>
      <c r="AI644" s="350">
        <v>508240.06107737153</v>
      </c>
      <c r="AJ644" s="350">
        <v>505213.05316141061</v>
      </c>
      <c r="AK644" s="348">
        <v>2551254.4234311245</v>
      </c>
      <c r="AL644" s="369"/>
      <c r="AM644" s="350">
        <v>14951266.362133358</v>
      </c>
      <c r="AN644" s="350">
        <v>14819636.018356811</v>
      </c>
      <c r="AO644" s="350">
        <v>14675327.485214453</v>
      </c>
      <c r="AP644" s="350">
        <v>14490118.023775643</v>
      </c>
      <c r="AQ644" s="350">
        <v>14239856.47952806</v>
      </c>
      <c r="AR644" s="348">
        <v>73176204.369008332</v>
      </c>
      <c r="AS644" s="369"/>
      <c r="AT644" s="350">
        <f t="shared" si="267"/>
        <v>14436761.474125352</v>
      </c>
      <c r="AU644" s="350">
        <f t="shared" si="250"/>
        <v>14306985.242220402</v>
      </c>
      <c r="AV644" s="350">
        <f t="shared" si="251"/>
        <v>14164681.840166526</v>
      </c>
      <c r="AW644" s="350">
        <f t="shared" si="252"/>
        <v>13981877.962698271</v>
      </c>
      <c r="AX644" s="350">
        <f t="shared" si="253"/>
        <v>13734643.42636665</v>
      </c>
      <c r="AY644" s="350">
        <f t="shared" si="254"/>
        <v>70624949.945577204</v>
      </c>
      <c r="AZ644" s="365"/>
      <c r="BA644" s="377">
        <f t="shared" si="255"/>
        <v>0</v>
      </c>
      <c r="BB644" s="377">
        <f t="shared" si="256"/>
        <v>0</v>
      </c>
      <c r="BC644" s="377">
        <f t="shared" si="257"/>
        <v>0</v>
      </c>
      <c r="BD644" s="377">
        <f t="shared" si="258"/>
        <v>0</v>
      </c>
      <c r="BE644" s="377">
        <f t="shared" si="259"/>
        <v>0</v>
      </c>
      <c r="BF644" s="377">
        <f t="shared" si="260"/>
        <v>0</v>
      </c>
      <c r="BG644" s="328"/>
    </row>
    <row r="645" spans="2:59">
      <c r="B645" s="332">
        <v>630</v>
      </c>
      <c r="C645" s="350">
        <v>5300779.3514890522</v>
      </c>
      <c r="D645" s="350">
        <v>5281677.0297164479</v>
      </c>
      <c r="E645" s="350">
        <v>5261018.8052396886</v>
      </c>
      <c r="F645" s="350">
        <v>5236234.8427611943</v>
      </c>
      <c r="G645" s="350">
        <v>5205048.5480695292</v>
      </c>
      <c r="H645" s="348">
        <v>26284758.577275909</v>
      </c>
      <c r="I645" s="369"/>
      <c r="J645" s="350">
        <v>15170454.679957405</v>
      </c>
      <c r="K645" s="350">
        <v>14815179.053029377</v>
      </c>
      <c r="L645" s="350">
        <v>14451566.814008441</v>
      </c>
      <c r="M645" s="350">
        <v>14058142.108509138</v>
      </c>
      <c r="N645" s="350">
        <v>13616966.260850037</v>
      </c>
      <c r="O645" s="348">
        <v>72112308.916354403</v>
      </c>
      <c r="P645" s="369"/>
      <c r="Q645" s="350">
        <f t="shared" si="261"/>
        <v>9869675.3284683526</v>
      </c>
      <c r="R645" s="350">
        <f t="shared" si="262"/>
        <v>9533502.02331293</v>
      </c>
      <c r="S645" s="350">
        <f t="shared" si="263"/>
        <v>9190548.0087687522</v>
      </c>
      <c r="T645" s="350">
        <f t="shared" si="264"/>
        <v>8821907.2657479439</v>
      </c>
      <c r="U645" s="350">
        <f t="shared" si="265"/>
        <v>8411917.7127805073</v>
      </c>
      <c r="V645" s="350">
        <f t="shared" si="266"/>
        <v>45827550.339078493</v>
      </c>
      <c r="W645" s="365"/>
      <c r="X645" s="377">
        <f t="shared" si="244"/>
        <v>0</v>
      </c>
      <c r="Y645" s="377">
        <f t="shared" si="245"/>
        <v>0</v>
      </c>
      <c r="Z645" s="377">
        <f t="shared" si="246"/>
        <v>0</v>
      </c>
      <c r="AA645" s="377">
        <f t="shared" si="247"/>
        <v>0</v>
      </c>
      <c r="AB645" s="377">
        <f t="shared" si="248"/>
        <v>0</v>
      </c>
      <c r="AC645" s="377">
        <f t="shared" si="249"/>
        <v>0</v>
      </c>
      <c r="AD645" s="376"/>
      <c r="AE645" s="332">
        <v>630</v>
      </c>
      <c r="AF645" s="350">
        <v>617912.58096659882</v>
      </c>
      <c r="AG645" s="350">
        <v>615685.8206798028</v>
      </c>
      <c r="AH645" s="350">
        <v>613277.68859993503</v>
      </c>
      <c r="AI645" s="350">
        <v>610388.61867149803</v>
      </c>
      <c r="AJ645" s="350">
        <v>606753.22799289925</v>
      </c>
      <c r="AK645" s="348">
        <v>3064017.936910734</v>
      </c>
      <c r="AL645" s="369"/>
      <c r="AM645" s="350">
        <v>15686998.434628602</v>
      </c>
      <c r="AN645" s="350">
        <v>15545267.666144557</v>
      </c>
      <c r="AO645" s="350">
        <v>15390308.814581057</v>
      </c>
      <c r="AP645" s="350">
        <v>15192627.349731859</v>
      </c>
      <c r="AQ645" s="350">
        <v>14926990.974938925</v>
      </c>
      <c r="AR645" s="348">
        <v>76742193.240024999</v>
      </c>
      <c r="AS645" s="369"/>
      <c r="AT645" s="350">
        <f t="shared" si="267"/>
        <v>15069085.853662003</v>
      </c>
      <c r="AU645" s="350">
        <f t="shared" si="250"/>
        <v>14929581.845464755</v>
      </c>
      <c r="AV645" s="350">
        <f t="shared" si="251"/>
        <v>14777031.125981122</v>
      </c>
      <c r="AW645" s="350">
        <f t="shared" si="252"/>
        <v>14582238.731060361</v>
      </c>
      <c r="AX645" s="350">
        <f t="shared" si="253"/>
        <v>14320237.746946026</v>
      </c>
      <c r="AY645" s="350">
        <f t="shared" si="254"/>
        <v>73678175.303114265</v>
      </c>
      <c r="AZ645" s="365"/>
      <c r="BA645" s="377">
        <f t="shared" si="255"/>
        <v>0</v>
      </c>
      <c r="BB645" s="377">
        <f t="shared" si="256"/>
        <v>0</v>
      </c>
      <c r="BC645" s="377">
        <f t="shared" si="257"/>
        <v>0</v>
      </c>
      <c r="BD645" s="377">
        <f t="shared" si="258"/>
        <v>0</v>
      </c>
      <c r="BE645" s="377">
        <f t="shared" si="259"/>
        <v>0</v>
      </c>
      <c r="BF645" s="377">
        <f t="shared" si="260"/>
        <v>0</v>
      </c>
      <c r="BG645" s="328"/>
    </row>
    <row r="646" spans="2:59">
      <c r="B646" s="332">
        <v>631</v>
      </c>
      <c r="C646" s="350">
        <v>4489185.5763989408</v>
      </c>
      <c r="D646" s="350">
        <v>4473007.9802963585</v>
      </c>
      <c r="E646" s="350">
        <v>4455512.703242613</v>
      </c>
      <c r="F646" s="350">
        <v>4434523.3732767804</v>
      </c>
      <c r="G646" s="350">
        <v>4408111.9618544532</v>
      </c>
      <c r="H646" s="348">
        <v>22260341.595069148</v>
      </c>
      <c r="I646" s="369"/>
      <c r="J646" s="350">
        <v>14344102.311355338</v>
      </c>
      <c r="K646" s="350">
        <v>14032437.469399827</v>
      </c>
      <c r="L646" s="350">
        <v>13712394.760514423</v>
      </c>
      <c r="M646" s="350">
        <v>13362884.680446425</v>
      </c>
      <c r="N646" s="350">
        <v>12966227.231055854</v>
      </c>
      <c r="O646" s="348">
        <v>68418046.452771857</v>
      </c>
      <c r="P646" s="369"/>
      <c r="Q646" s="350">
        <f t="shared" si="261"/>
        <v>9854916.7349563967</v>
      </c>
      <c r="R646" s="350">
        <f t="shared" si="262"/>
        <v>9559429.4891034681</v>
      </c>
      <c r="S646" s="350">
        <f t="shared" si="263"/>
        <v>9256882.0572718102</v>
      </c>
      <c r="T646" s="350">
        <f t="shared" si="264"/>
        <v>8928361.307169646</v>
      </c>
      <c r="U646" s="350">
        <f t="shared" si="265"/>
        <v>8558115.2692014016</v>
      </c>
      <c r="V646" s="350">
        <f t="shared" si="266"/>
        <v>46157704.85770271</v>
      </c>
      <c r="W646" s="365"/>
      <c r="X646" s="377">
        <f t="shared" si="244"/>
        <v>0</v>
      </c>
      <c r="Y646" s="377">
        <f t="shared" si="245"/>
        <v>0</v>
      </c>
      <c r="Z646" s="377">
        <f t="shared" si="246"/>
        <v>0</v>
      </c>
      <c r="AA646" s="377">
        <f t="shared" si="247"/>
        <v>0</v>
      </c>
      <c r="AB646" s="377">
        <f t="shared" si="248"/>
        <v>0</v>
      </c>
      <c r="AC646" s="377">
        <f t="shared" si="249"/>
        <v>0</v>
      </c>
      <c r="AD646" s="376"/>
      <c r="AE646" s="332">
        <v>631</v>
      </c>
      <c r="AF646" s="350">
        <v>455517.72182419873</v>
      </c>
      <c r="AG646" s="350">
        <v>453876.18092645024</v>
      </c>
      <c r="AH646" s="350">
        <v>452100.93492456886</v>
      </c>
      <c r="AI646" s="350">
        <v>449971.14732591907</v>
      </c>
      <c r="AJ646" s="350">
        <v>447291.18104773486</v>
      </c>
      <c r="AK646" s="348">
        <v>2258757.1660488718</v>
      </c>
      <c r="AL646" s="369"/>
      <c r="AM646" s="350">
        <v>12431929.11258664</v>
      </c>
      <c r="AN646" s="350">
        <v>12321193.335446708</v>
      </c>
      <c r="AO646" s="350">
        <v>12199941.93681862</v>
      </c>
      <c r="AP646" s="350">
        <v>12044749.321140025</v>
      </c>
      <c r="AQ646" s="350">
        <v>11835571.957229758</v>
      </c>
      <c r="AR646" s="348">
        <v>60833385.663221754</v>
      </c>
      <c r="AS646" s="369"/>
      <c r="AT646" s="350">
        <f t="shared" si="267"/>
        <v>11976411.390762441</v>
      </c>
      <c r="AU646" s="350">
        <f t="shared" si="250"/>
        <v>11867317.154520258</v>
      </c>
      <c r="AV646" s="350">
        <f t="shared" si="251"/>
        <v>11747841.001894051</v>
      </c>
      <c r="AW646" s="350">
        <f t="shared" si="252"/>
        <v>11594778.173814105</v>
      </c>
      <c r="AX646" s="350">
        <f t="shared" si="253"/>
        <v>11388280.776182022</v>
      </c>
      <c r="AY646" s="350">
        <f t="shared" si="254"/>
        <v>58574628.497172885</v>
      </c>
      <c r="AZ646" s="365"/>
      <c r="BA646" s="377">
        <f t="shared" si="255"/>
        <v>0</v>
      </c>
      <c r="BB646" s="377">
        <f t="shared" si="256"/>
        <v>0</v>
      </c>
      <c r="BC646" s="377">
        <f t="shared" si="257"/>
        <v>0</v>
      </c>
      <c r="BD646" s="377">
        <f t="shared" si="258"/>
        <v>0</v>
      </c>
      <c r="BE646" s="377">
        <f t="shared" si="259"/>
        <v>0</v>
      </c>
      <c r="BF646" s="377">
        <f t="shared" si="260"/>
        <v>0</v>
      </c>
      <c r="BG646" s="328"/>
    </row>
    <row r="647" spans="2:59">
      <c r="B647" s="332">
        <v>632</v>
      </c>
      <c r="C647" s="350">
        <v>5491657.9423971632</v>
      </c>
      <c r="D647" s="350">
        <v>5471867.7549313745</v>
      </c>
      <c r="E647" s="350">
        <v>5450465.6374310972</v>
      </c>
      <c r="F647" s="350">
        <v>5424789.2160288608</v>
      </c>
      <c r="G647" s="350">
        <v>5392479.9174180236</v>
      </c>
      <c r="H647" s="348">
        <v>27231260.468206517</v>
      </c>
      <c r="I647" s="369"/>
      <c r="J647" s="350">
        <v>19038878.837885171</v>
      </c>
      <c r="K647" s="350">
        <v>18646866.008080751</v>
      </c>
      <c r="L647" s="350">
        <v>18243290.988540441</v>
      </c>
      <c r="M647" s="350">
        <v>17799462.245569505</v>
      </c>
      <c r="N647" s="350">
        <v>17291271.70731185</v>
      </c>
      <c r="O647" s="348">
        <v>91019769.787387714</v>
      </c>
      <c r="P647" s="369"/>
      <c r="Q647" s="350">
        <f t="shared" si="261"/>
        <v>13547220.895488009</v>
      </c>
      <c r="R647" s="350">
        <f t="shared" si="262"/>
        <v>13174998.253149375</v>
      </c>
      <c r="S647" s="350">
        <f t="shared" si="263"/>
        <v>12792825.351109345</v>
      </c>
      <c r="T647" s="350">
        <f t="shared" si="264"/>
        <v>12374673.029540643</v>
      </c>
      <c r="U647" s="350">
        <f t="shared" si="265"/>
        <v>11898791.789893826</v>
      </c>
      <c r="V647" s="350">
        <f t="shared" si="266"/>
        <v>63788509.319181196</v>
      </c>
      <c r="W647" s="365"/>
      <c r="X647" s="377">
        <f t="shared" si="244"/>
        <v>0</v>
      </c>
      <c r="Y647" s="377">
        <f t="shared" si="245"/>
        <v>0</v>
      </c>
      <c r="Z647" s="377">
        <f t="shared" si="246"/>
        <v>0</v>
      </c>
      <c r="AA647" s="377">
        <f t="shared" si="247"/>
        <v>0</v>
      </c>
      <c r="AB647" s="377">
        <f t="shared" si="248"/>
        <v>0</v>
      </c>
      <c r="AC647" s="377">
        <f t="shared" si="249"/>
        <v>0</v>
      </c>
      <c r="AD647" s="376"/>
      <c r="AE647" s="332">
        <v>632</v>
      </c>
      <c r="AF647" s="350">
        <v>618393.28064220166</v>
      </c>
      <c r="AG647" s="350">
        <v>616164.78806676075</v>
      </c>
      <c r="AH647" s="350">
        <v>613754.78260165197</v>
      </c>
      <c r="AI647" s="350">
        <v>610863.46514659026</v>
      </c>
      <c r="AJ647" s="350">
        <v>607225.24634768162</v>
      </c>
      <c r="AK647" s="348">
        <v>3066401.5628048861</v>
      </c>
      <c r="AL647" s="369"/>
      <c r="AM647" s="350">
        <v>16963217.759230331</v>
      </c>
      <c r="AN647" s="350">
        <v>16812266.5114909</v>
      </c>
      <c r="AO647" s="350">
        <v>16646963.835441446</v>
      </c>
      <c r="AP647" s="350">
        <v>16435341.059837861</v>
      </c>
      <c r="AQ647" s="350">
        <v>16150044.69186289</v>
      </c>
      <c r="AR647" s="348">
        <v>83007833.857863426</v>
      </c>
      <c r="AS647" s="369"/>
      <c r="AT647" s="350">
        <f t="shared" si="267"/>
        <v>16344824.478588128</v>
      </c>
      <c r="AU647" s="350">
        <f t="shared" si="250"/>
        <v>16196101.723424139</v>
      </c>
      <c r="AV647" s="350">
        <f t="shared" si="251"/>
        <v>16033209.052839793</v>
      </c>
      <c r="AW647" s="350">
        <f t="shared" si="252"/>
        <v>15824477.594691271</v>
      </c>
      <c r="AX647" s="350">
        <f t="shared" si="253"/>
        <v>15542819.445515208</v>
      </c>
      <c r="AY647" s="350">
        <f t="shared" si="254"/>
        <v>79941432.295058534</v>
      </c>
      <c r="AZ647" s="365"/>
      <c r="BA647" s="377">
        <f t="shared" si="255"/>
        <v>0</v>
      </c>
      <c r="BB647" s="377">
        <f t="shared" si="256"/>
        <v>0</v>
      </c>
      <c r="BC647" s="377">
        <f t="shared" si="257"/>
        <v>0</v>
      </c>
      <c r="BD647" s="377">
        <f t="shared" si="258"/>
        <v>0</v>
      </c>
      <c r="BE647" s="377">
        <f t="shared" si="259"/>
        <v>0</v>
      </c>
      <c r="BF647" s="377">
        <f t="shared" si="260"/>
        <v>0</v>
      </c>
      <c r="BG647" s="328"/>
    </row>
    <row r="648" spans="2:59">
      <c r="B648" s="332">
        <v>633</v>
      </c>
      <c r="C648" s="350">
        <v>4078532.0031364071</v>
      </c>
      <c r="D648" s="350">
        <v>4063834.2718184851</v>
      </c>
      <c r="E648" s="350">
        <v>4047939.3959767343</v>
      </c>
      <c r="F648" s="350">
        <v>4028870.0898557985</v>
      </c>
      <c r="G648" s="350">
        <v>4004874.6936083641</v>
      </c>
      <c r="H648" s="348">
        <v>20224050.454395786</v>
      </c>
      <c r="I648" s="369"/>
      <c r="J648" s="350">
        <v>12391888.194108587</v>
      </c>
      <c r="K648" s="350">
        <v>12113346.482777014</v>
      </c>
      <c r="L648" s="350">
        <v>11827756.906676602</v>
      </c>
      <c r="M648" s="350">
        <v>11517200.381823024</v>
      </c>
      <c r="N648" s="350">
        <v>11166678.397080496</v>
      </c>
      <c r="O648" s="348">
        <v>59016870.362465724</v>
      </c>
      <c r="P648" s="369"/>
      <c r="Q648" s="350">
        <f t="shared" si="261"/>
        <v>8313356.1909721792</v>
      </c>
      <c r="R648" s="350">
        <f t="shared" si="262"/>
        <v>8049512.2109585293</v>
      </c>
      <c r="S648" s="350">
        <f t="shared" si="263"/>
        <v>7779817.5106998673</v>
      </c>
      <c r="T648" s="350">
        <f t="shared" si="264"/>
        <v>7488330.2919672253</v>
      </c>
      <c r="U648" s="350">
        <f t="shared" si="265"/>
        <v>7161803.7034721319</v>
      </c>
      <c r="V648" s="350">
        <f t="shared" si="266"/>
        <v>38792819.908069938</v>
      </c>
      <c r="W648" s="365"/>
      <c r="X648" s="377">
        <f t="shared" si="244"/>
        <v>0</v>
      </c>
      <c r="Y648" s="377">
        <f t="shared" si="245"/>
        <v>0</v>
      </c>
      <c r="Z648" s="377">
        <f t="shared" si="246"/>
        <v>0</v>
      </c>
      <c r="AA648" s="377">
        <f t="shared" si="247"/>
        <v>0</v>
      </c>
      <c r="AB648" s="377">
        <f t="shared" si="248"/>
        <v>0</v>
      </c>
      <c r="AC648" s="377">
        <f t="shared" si="249"/>
        <v>0</v>
      </c>
      <c r="AD648" s="376"/>
      <c r="AE648" s="332">
        <v>633</v>
      </c>
      <c r="AF648" s="350">
        <v>405957.75820643594</v>
      </c>
      <c r="AG648" s="350">
        <v>404494.8156447605</v>
      </c>
      <c r="AH648" s="350">
        <v>402912.71498728741</v>
      </c>
      <c r="AI648" s="350">
        <v>401014.64657506126</v>
      </c>
      <c r="AJ648" s="350">
        <v>398626.25848336716</v>
      </c>
      <c r="AK648" s="348">
        <v>2013006.193896912</v>
      </c>
      <c r="AL648" s="369"/>
      <c r="AM648" s="350">
        <v>15697579.034530211</v>
      </c>
      <c r="AN648" s="350">
        <v>15565605.93122967</v>
      </c>
      <c r="AO648" s="350">
        <v>15420194.618722064</v>
      </c>
      <c r="AP648" s="350">
        <v>15231512.447518194</v>
      </c>
      <c r="AQ648" s="350">
        <v>14974018.278689882</v>
      </c>
      <c r="AR648" s="348">
        <v>76888910.310690016</v>
      </c>
      <c r="AS648" s="369"/>
      <c r="AT648" s="350">
        <f t="shared" si="267"/>
        <v>15291621.276323775</v>
      </c>
      <c r="AU648" s="350">
        <f t="shared" si="250"/>
        <v>15161111.11558491</v>
      </c>
      <c r="AV648" s="350">
        <f t="shared" si="251"/>
        <v>15017281.903734777</v>
      </c>
      <c r="AW648" s="350">
        <f t="shared" si="252"/>
        <v>14830497.800943132</v>
      </c>
      <c r="AX648" s="350">
        <f t="shared" si="253"/>
        <v>14575392.020206515</v>
      </c>
      <c r="AY648" s="350">
        <f t="shared" si="254"/>
        <v>74875904.116793096</v>
      </c>
      <c r="AZ648" s="365"/>
      <c r="BA648" s="377">
        <f t="shared" si="255"/>
        <v>0</v>
      </c>
      <c r="BB648" s="377">
        <f t="shared" si="256"/>
        <v>0</v>
      </c>
      <c r="BC648" s="377">
        <f t="shared" si="257"/>
        <v>0</v>
      </c>
      <c r="BD648" s="377">
        <f t="shared" si="258"/>
        <v>0</v>
      </c>
      <c r="BE648" s="377">
        <f t="shared" si="259"/>
        <v>0</v>
      </c>
      <c r="BF648" s="377">
        <f t="shared" si="260"/>
        <v>0</v>
      </c>
      <c r="BG648" s="328"/>
    </row>
    <row r="649" spans="2:59">
      <c r="B649" s="332">
        <v>634</v>
      </c>
      <c r="C649" s="350">
        <v>4170038.1330172308</v>
      </c>
      <c r="D649" s="350">
        <v>4155010.6427296861</v>
      </c>
      <c r="E649" s="350">
        <v>4138759.14872922</v>
      </c>
      <c r="F649" s="350">
        <v>4119262.00278717</v>
      </c>
      <c r="G649" s="350">
        <v>4094728.2447360582</v>
      </c>
      <c r="H649" s="348">
        <v>20677798.171999365</v>
      </c>
      <c r="I649" s="369"/>
      <c r="J649" s="350">
        <v>12917203.145214546</v>
      </c>
      <c r="K649" s="350">
        <v>12630629.750561308</v>
      </c>
      <c r="L649" s="350">
        <v>12336632.60874474</v>
      </c>
      <c r="M649" s="350">
        <v>12016411.054401241</v>
      </c>
      <c r="N649" s="350">
        <v>11654218.921990551</v>
      </c>
      <c r="O649" s="348">
        <v>61555095.480912387</v>
      </c>
      <c r="P649" s="369"/>
      <c r="Q649" s="350">
        <f t="shared" si="261"/>
        <v>8747165.0121973157</v>
      </c>
      <c r="R649" s="350">
        <f t="shared" si="262"/>
        <v>8475619.1078316215</v>
      </c>
      <c r="S649" s="350">
        <f t="shared" si="263"/>
        <v>8197873.4600155205</v>
      </c>
      <c r="T649" s="350">
        <f t="shared" si="264"/>
        <v>7897149.0516140712</v>
      </c>
      <c r="U649" s="350">
        <f t="shared" si="265"/>
        <v>7559490.6772544924</v>
      </c>
      <c r="V649" s="350">
        <f t="shared" si="266"/>
        <v>40877297.308913022</v>
      </c>
      <c r="W649" s="365"/>
      <c r="X649" s="377">
        <f t="shared" si="244"/>
        <v>0</v>
      </c>
      <c r="Y649" s="377">
        <f t="shared" si="245"/>
        <v>0</v>
      </c>
      <c r="Z649" s="377">
        <f t="shared" si="246"/>
        <v>0</v>
      </c>
      <c r="AA649" s="377">
        <f t="shared" si="247"/>
        <v>0</v>
      </c>
      <c r="AB649" s="377">
        <f t="shared" si="248"/>
        <v>0</v>
      </c>
      <c r="AC649" s="377">
        <f t="shared" si="249"/>
        <v>0</v>
      </c>
      <c r="AD649" s="376"/>
      <c r="AE649" s="332">
        <v>634</v>
      </c>
      <c r="AF649" s="350">
        <v>480500.65473543952</v>
      </c>
      <c r="AG649" s="350">
        <v>478769.08329847245</v>
      </c>
      <c r="AH649" s="350">
        <v>476896.47368230991</v>
      </c>
      <c r="AI649" s="350">
        <v>474649.87758611317</v>
      </c>
      <c r="AJ649" s="350">
        <v>471822.92818405828</v>
      </c>
      <c r="AK649" s="348">
        <v>2382639.0174863935</v>
      </c>
      <c r="AL649" s="369"/>
      <c r="AM649" s="350">
        <v>13155221.343839888</v>
      </c>
      <c r="AN649" s="350">
        <v>13038113.420576382</v>
      </c>
      <c r="AO649" s="350">
        <v>12909876.63547422</v>
      </c>
      <c r="AP649" s="350">
        <v>12745720.210528031</v>
      </c>
      <c r="AQ649" s="350">
        <v>12524432.390191589</v>
      </c>
      <c r="AR649" s="348">
        <v>64373364.000610113</v>
      </c>
      <c r="AS649" s="369"/>
      <c r="AT649" s="350">
        <f t="shared" si="267"/>
        <v>12674720.689104447</v>
      </c>
      <c r="AU649" s="350">
        <f t="shared" si="250"/>
        <v>12559344.33727791</v>
      </c>
      <c r="AV649" s="350">
        <f t="shared" si="251"/>
        <v>12432980.161791909</v>
      </c>
      <c r="AW649" s="350">
        <f t="shared" si="252"/>
        <v>12271070.332941918</v>
      </c>
      <c r="AX649" s="350">
        <f t="shared" si="253"/>
        <v>12052609.46200753</v>
      </c>
      <c r="AY649" s="350">
        <f t="shared" si="254"/>
        <v>61990724.98312372</v>
      </c>
      <c r="AZ649" s="365"/>
      <c r="BA649" s="377">
        <f t="shared" si="255"/>
        <v>0</v>
      </c>
      <c r="BB649" s="377">
        <f t="shared" si="256"/>
        <v>0</v>
      </c>
      <c r="BC649" s="377">
        <f t="shared" si="257"/>
        <v>0</v>
      </c>
      <c r="BD649" s="377">
        <f t="shared" si="258"/>
        <v>0</v>
      </c>
      <c r="BE649" s="377">
        <f t="shared" si="259"/>
        <v>0</v>
      </c>
      <c r="BF649" s="377">
        <f t="shared" si="260"/>
        <v>0</v>
      </c>
      <c r="BG649" s="328"/>
    </row>
    <row r="650" spans="2:59">
      <c r="B650" s="332">
        <v>635</v>
      </c>
      <c r="C650" s="350">
        <v>3012000.7569346437</v>
      </c>
      <c r="D650" s="350">
        <v>3001146.464796992</v>
      </c>
      <c r="E650" s="350">
        <v>2989408.079998265</v>
      </c>
      <c r="F650" s="350">
        <v>2975325.374645872</v>
      </c>
      <c r="G650" s="350">
        <v>2957604.7458498636</v>
      </c>
      <c r="H650" s="348">
        <v>14935485.422225635</v>
      </c>
      <c r="I650" s="369"/>
      <c r="J650" s="350">
        <v>11043444.278531341</v>
      </c>
      <c r="K650" s="350">
        <v>10824104.415769616</v>
      </c>
      <c r="L650" s="350">
        <v>10597893.640067674</v>
      </c>
      <c r="M650" s="350">
        <v>10347909.656289004</v>
      </c>
      <c r="N650" s="350">
        <v>10059930.352098836</v>
      </c>
      <c r="O650" s="348">
        <v>52873282.342756473</v>
      </c>
      <c r="P650" s="369"/>
      <c r="Q650" s="350">
        <f t="shared" si="261"/>
        <v>8031443.5215966972</v>
      </c>
      <c r="R650" s="350">
        <f t="shared" si="262"/>
        <v>7822957.9509726241</v>
      </c>
      <c r="S650" s="350">
        <f t="shared" si="263"/>
        <v>7608485.5600694092</v>
      </c>
      <c r="T650" s="350">
        <f t="shared" si="264"/>
        <v>7372584.2816431317</v>
      </c>
      <c r="U650" s="350">
        <f t="shared" si="265"/>
        <v>7102325.606248972</v>
      </c>
      <c r="V650" s="350">
        <f t="shared" si="266"/>
        <v>37937796.920530841</v>
      </c>
      <c r="W650" s="365"/>
      <c r="X650" s="377">
        <f t="shared" si="244"/>
        <v>0</v>
      </c>
      <c r="Y650" s="377">
        <f t="shared" si="245"/>
        <v>0</v>
      </c>
      <c r="Z650" s="377">
        <f t="shared" si="246"/>
        <v>0</v>
      </c>
      <c r="AA650" s="377">
        <f t="shared" si="247"/>
        <v>0</v>
      </c>
      <c r="AB650" s="377">
        <f t="shared" si="248"/>
        <v>0</v>
      </c>
      <c r="AC650" s="377">
        <f t="shared" si="249"/>
        <v>0</v>
      </c>
      <c r="AD650" s="376"/>
      <c r="AE650" s="332">
        <v>635</v>
      </c>
      <c r="AF650" s="350">
        <v>362703.386514129</v>
      </c>
      <c r="AG650" s="350">
        <v>361396.31894202559</v>
      </c>
      <c r="AH650" s="350">
        <v>359982.78944376716</v>
      </c>
      <c r="AI650" s="350">
        <v>358286.95822233282</v>
      </c>
      <c r="AJ650" s="350">
        <v>356153.05036700639</v>
      </c>
      <c r="AK650" s="348">
        <v>1798522.503489261</v>
      </c>
      <c r="AL650" s="369"/>
      <c r="AM650" s="350">
        <v>9143097.7567398734</v>
      </c>
      <c r="AN650" s="350">
        <v>9060372.0260655098</v>
      </c>
      <c r="AO650" s="350">
        <v>8969938.7869619969</v>
      </c>
      <c r="AP650" s="350">
        <v>8854611.1124202218</v>
      </c>
      <c r="AQ650" s="350">
        <v>8699685.9816955384</v>
      </c>
      <c r="AR650" s="348">
        <v>44727705.663883142</v>
      </c>
      <c r="AS650" s="369"/>
      <c r="AT650" s="350">
        <f t="shared" si="267"/>
        <v>8780394.3702257443</v>
      </c>
      <c r="AU650" s="350">
        <f t="shared" si="250"/>
        <v>8698975.7071234845</v>
      </c>
      <c r="AV650" s="350">
        <f t="shared" si="251"/>
        <v>8609955.9975182302</v>
      </c>
      <c r="AW650" s="350">
        <f t="shared" si="252"/>
        <v>8496324.1541978884</v>
      </c>
      <c r="AX650" s="350">
        <f t="shared" si="253"/>
        <v>8343532.9313285323</v>
      </c>
      <c r="AY650" s="350">
        <f t="shared" si="254"/>
        <v>42929183.160393879</v>
      </c>
      <c r="AZ650" s="365"/>
      <c r="BA650" s="377">
        <f t="shared" si="255"/>
        <v>0</v>
      </c>
      <c r="BB650" s="377">
        <f t="shared" si="256"/>
        <v>0</v>
      </c>
      <c r="BC650" s="377">
        <f t="shared" si="257"/>
        <v>0</v>
      </c>
      <c r="BD650" s="377">
        <f t="shared" si="258"/>
        <v>0</v>
      </c>
      <c r="BE650" s="377">
        <f t="shared" si="259"/>
        <v>0</v>
      </c>
      <c r="BF650" s="377">
        <f t="shared" si="260"/>
        <v>0</v>
      </c>
      <c r="BG650" s="328"/>
    </row>
    <row r="651" spans="2:59">
      <c r="B651" s="332">
        <v>636</v>
      </c>
      <c r="C651" s="350">
        <v>6762483.2186128087</v>
      </c>
      <c r="D651" s="350">
        <v>6738113.3813005881</v>
      </c>
      <c r="E651" s="350">
        <v>6711758.5970156752</v>
      </c>
      <c r="F651" s="350">
        <v>6680140.3916088641</v>
      </c>
      <c r="G651" s="350">
        <v>6640354.3940189332</v>
      </c>
      <c r="H651" s="348">
        <v>33532849.982556868</v>
      </c>
      <c r="I651" s="369"/>
      <c r="J651" s="350">
        <v>19711556.953270901</v>
      </c>
      <c r="K651" s="350">
        <v>19255734.273815483</v>
      </c>
      <c r="L651" s="350">
        <v>18788961.063210696</v>
      </c>
      <c r="M651" s="350">
        <v>18283145.57487949</v>
      </c>
      <c r="N651" s="350">
        <v>17714807.598049521</v>
      </c>
      <c r="O651" s="348">
        <v>93754205.46322608</v>
      </c>
      <c r="P651" s="369"/>
      <c r="Q651" s="350">
        <f t="shared" si="261"/>
        <v>12949073.734658092</v>
      </c>
      <c r="R651" s="350">
        <f t="shared" si="262"/>
        <v>12517620.892514896</v>
      </c>
      <c r="S651" s="350">
        <f t="shared" si="263"/>
        <v>12077202.466195021</v>
      </c>
      <c r="T651" s="350">
        <f t="shared" si="264"/>
        <v>11603005.183270626</v>
      </c>
      <c r="U651" s="350">
        <f t="shared" si="265"/>
        <v>11074453.204030588</v>
      </c>
      <c r="V651" s="350">
        <f t="shared" si="266"/>
        <v>60221355.480669215</v>
      </c>
      <c r="W651" s="365"/>
      <c r="X651" s="377">
        <f t="shared" si="244"/>
        <v>0</v>
      </c>
      <c r="Y651" s="377">
        <f t="shared" si="245"/>
        <v>0</v>
      </c>
      <c r="Z651" s="377">
        <f t="shared" si="246"/>
        <v>0</v>
      </c>
      <c r="AA651" s="377">
        <f t="shared" si="247"/>
        <v>0</v>
      </c>
      <c r="AB651" s="377">
        <f t="shared" si="248"/>
        <v>0</v>
      </c>
      <c r="AC651" s="377">
        <f t="shared" si="249"/>
        <v>0</v>
      </c>
      <c r="AD651" s="376"/>
      <c r="AE651" s="332">
        <v>636</v>
      </c>
      <c r="AF651" s="350">
        <v>300376.22879403544</v>
      </c>
      <c r="AG651" s="350">
        <v>299293.76846230071</v>
      </c>
      <c r="AH651" s="350">
        <v>298123.14068279014</v>
      </c>
      <c r="AI651" s="350">
        <v>296718.72206993611</v>
      </c>
      <c r="AJ651" s="350">
        <v>294951.50616291846</v>
      </c>
      <c r="AK651" s="348">
        <v>1489463.3661719807</v>
      </c>
      <c r="AL651" s="369"/>
      <c r="AM651" s="350">
        <v>11124163.799106164</v>
      </c>
      <c r="AN651" s="350">
        <v>11030051.556020351</v>
      </c>
      <c r="AO651" s="350">
        <v>10926428.287186138</v>
      </c>
      <c r="AP651" s="350">
        <v>10792171.96280561</v>
      </c>
      <c r="AQ651" s="350">
        <v>10609200.174462421</v>
      </c>
      <c r="AR651" s="348">
        <v>54482015.779580683</v>
      </c>
      <c r="AS651" s="369"/>
      <c r="AT651" s="350">
        <f t="shared" si="267"/>
        <v>10823787.570312129</v>
      </c>
      <c r="AU651" s="350">
        <f t="shared" si="250"/>
        <v>10730757.787558051</v>
      </c>
      <c r="AV651" s="350">
        <f t="shared" si="251"/>
        <v>10628305.146503348</v>
      </c>
      <c r="AW651" s="350">
        <f t="shared" si="252"/>
        <v>10495453.240735674</v>
      </c>
      <c r="AX651" s="350">
        <f t="shared" si="253"/>
        <v>10314248.668299502</v>
      </c>
      <c r="AY651" s="350">
        <f t="shared" si="254"/>
        <v>52992552.413408704</v>
      </c>
      <c r="AZ651" s="365"/>
      <c r="BA651" s="377">
        <f t="shared" si="255"/>
        <v>0</v>
      </c>
      <c r="BB651" s="377">
        <f t="shared" si="256"/>
        <v>0</v>
      </c>
      <c r="BC651" s="377">
        <f t="shared" si="257"/>
        <v>0</v>
      </c>
      <c r="BD651" s="377">
        <f t="shared" si="258"/>
        <v>0</v>
      </c>
      <c r="BE651" s="377">
        <f t="shared" si="259"/>
        <v>0</v>
      </c>
      <c r="BF651" s="377">
        <f t="shared" si="260"/>
        <v>0</v>
      </c>
      <c r="BG651" s="328"/>
    </row>
    <row r="652" spans="2:59">
      <c r="B652" s="332">
        <v>637</v>
      </c>
      <c r="C652" s="350">
        <v>5201884.9090780672</v>
      </c>
      <c r="D652" s="350">
        <v>5183138.9714020649</v>
      </c>
      <c r="E652" s="350">
        <v>5162866.1588535076</v>
      </c>
      <c r="F652" s="350">
        <v>5138544.5804863879</v>
      </c>
      <c r="G652" s="350">
        <v>5107940.115563496</v>
      </c>
      <c r="H652" s="348">
        <v>25794374.735383525</v>
      </c>
      <c r="I652" s="369"/>
      <c r="J652" s="350">
        <v>16850515.556451485</v>
      </c>
      <c r="K652" s="350">
        <v>16487719.458131932</v>
      </c>
      <c r="L652" s="350">
        <v>16115013.642174691</v>
      </c>
      <c r="M652" s="350">
        <v>15707516.070767505</v>
      </c>
      <c r="N652" s="350">
        <v>15244358.887405511</v>
      </c>
      <c r="O652" s="348">
        <v>80405123.614931121</v>
      </c>
      <c r="P652" s="369"/>
      <c r="Q652" s="350">
        <f t="shared" si="261"/>
        <v>11648630.647373417</v>
      </c>
      <c r="R652" s="350">
        <f t="shared" si="262"/>
        <v>11304580.486729868</v>
      </c>
      <c r="S652" s="350">
        <f t="shared" si="263"/>
        <v>10952147.483321182</v>
      </c>
      <c r="T652" s="350">
        <f t="shared" si="264"/>
        <v>10568971.490281116</v>
      </c>
      <c r="U652" s="350">
        <f t="shared" si="265"/>
        <v>10136418.771842014</v>
      </c>
      <c r="V652" s="350">
        <f t="shared" si="266"/>
        <v>54610748.879547596</v>
      </c>
      <c r="W652" s="365"/>
      <c r="X652" s="377">
        <f t="shared" si="244"/>
        <v>0</v>
      </c>
      <c r="Y652" s="377">
        <f t="shared" si="245"/>
        <v>0</v>
      </c>
      <c r="Z652" s="377">
        <f t="shared" si="246"/>
        <v>0</v>
      </c>
      <c r="AA652" s="377">
        <f t="shared" si="247"/>
        <v>0</v>
      </c>
      <c r="AB652" s="377">
        <f t="shared" si="248"/>
        <v>0</v>
      </c>
      <c r="AC652" s="377">
        <f t="shared" si="249"/>
        <v>0</v>
      </c>
      <c r="AD652" s="376"/>
      <c r="AE652" s="332">
        <v>637</v>
      </c>
      <c r="AF652" s="350">
        <v>411429.82732033153</v>
      </c>
      <c r="AG652" s="350">
        <v>409947.16516309383</v>
      </c>
      <c r="AH652" s="350">
        <v>408343.73872980342</v>
      </c>
      <c r="AI652" s="350">
        <v>406420.08548436576</v>
      </c>
      <c r="AJ652" s="350">
        <v>403999.5033418269</v>
      </c>
      <c r="AK652" s="348">
        <v>2040140.3200394213</v>
      </c>
      <c r="AL652" s="369"/>
      <c r="AM652" s="350">
        <v>13080882.488117164</v>
      </c>
      <c r="AN652" s="350">
        <v>12967514.984099016</v>
      </c>
      <c r="AO652" s="350">
        <v>12843018.640085891</v>
      </c>
      <c r="AP652" s="350">
        <v>12682643.33858165</v>
      </c>
      <c r="AQ652" s="350">
        <v>12465206.009225968</v>
      </c>
      <c r="AR652" s="348">
        <v>64039265.460109696</v>
      </c>
      <c r="AS652" s="369"/>
      <c r="AT652" s="350">
        <f t="shared" si="267"/>
        <v>12669452.660796832</v>
      </c>
      <c r="AU652" s="350">
        <f t="shared" si="250"/>
        <v>12557567.818935921</v>
      </c>
      <c r="AV652" s="350">
        <f t="shared" si="251"/>
        <v>12434674.901356088</v>
      </c>
      <c r="AW652" s="350">
        <f t="shared" si="252"/>
        <v>12276223.253097285</v>
      </c>
      <c r="AX652" s="350">
        <f t="shared" si="253"/>
        <v>12061206.505884141</v>
      </c>
      <c r="AY652" s="350">
        <f t="shared" si="254"/>
        <v>61999125.140070274</v>
      </c>
      <c r="AZ652" s="365"/>
      <c r="BA652" s="377">
        <f t="shared" si="255"/>
        <v>0</v>
      </c>
      <c r="BB652" s="377">
        <f t="shared" si="256"/>
        <v>0</v>
      </c>
      <c r="BC652" s="377">
        <f t="shared" si="257"/>
        <v>0</v>
      </c>
      <c r="BD652" s="377">
        <f t="shared" si="258"/>
        <v>0</v>
      </c>
      <c r="BE652" s="377">
        <f t="shared" si="259"/>
        <v>0</v>
      </c>
      <c r="BF652" s="377">
        <f t="shared" si="260"/>
        <v>0</v>
      </c>
      <c r="BG652" s="328"/>
    </row>
    <row r="653" spans="2:59">
      <c r="B653" s="332">
        <v>638</v>
      </c>
      <c r="C653" s="350">
        <v>5702745.5629913369</v>
      </c>
      <c r="D653" s="350">
        <v>5682194.6829210408</v>
      </c>
      <c r="E653" s="350">
        <v>5659969.9136630977</v>
      </c>
      <c r="F653" s="350">
        <v>5633306.5453759637</v>
      </c>
      <c r="G653" s="350">
        <v>5599755.3462246396</v>
      </c>
      <c r="H653" s="348">
        <v>28277972.051176075</v>
      </c>
      <c r="I653" s="369"/>
      <c r="J653" s="350">
        <v>17833343.705182027</v>
      </c>
      <c r="K653" s="350">
        <v>17440225.916848928</v>
      </c>
      <c r="L653" s="350">
        <v>17036807.484609306</v>
      </c>
      <c r="M653" s="350">
        <v>16597050.966183648</v>
      </c>
      <c r="N653" s="350">
        <v>16099142.685282409</v>
      </c>
      <c r="O653" s="348">
        <v>85006570.758106321</v>
      </c>
      <c r="P653" s="369"/>
      <c r="Q653" s="350">
        <f t="shared" si="261"/>
        <v>12130598.142190691</v>
      </c>
      <c r="R653" s="350">
        <f t="shared" si="262"/>
        <v>11758031.233927887</v>
      </c>
      <c r="S653" s="350">
        <f t="shared" si="263"/>
        <v>11376837.570946209</v>
      </c>
      <c r="T653" s="350">
        <f t="shared" si="264"/>
        <v>10963744.420807684</v>
      </c>
      <c r="U653" s="350">
        <f t="shared" si="265"/>
        <v>10499387.33905777</v>
      </c>
      <c r="V653" s="350">
        <f t="shared" si="266"/>
        <v>56728598.70693025</v>
      </c>
      <c r="W653" s="365"/>
      <c r="X653" s="377">
        <f t="shared" si="244"/>
        <v>0</v>
      </c>
      <c r="Y653" s="377">
        <f t="shared" si="245"/>
        <v>0</v>
      </c>
      <c r="Z653" s="377">
        <f t="shared" si="246"/>
        <v>0</v>
      </c>
      <c r="AA653" s="377">
        <f t="shared" si="247"/>
        <v>0</v>
      </c>
      <c r="AB653" s="377">
        <f t="shared" si="248"/>
        <v>0</v>
      </c>
      <c r="AC653" s="377">
        <f t="shared" si="249"/>
        <v>0</v>
      </c>
      <c r="AD653" s="376"/>
      <c r="AE653" s="332">
        <v>638</v>
      </c>
      <c r="AF653" s="350">
        <v>371636.35367046</v>
      </c>
      <c r="AG653" s="350">
        <v>370297.0945277047</v>
      </c>
      <c r="AH653" s="350">
        <v>368848.75142402662</v>
      </c>
      <c r="AI653" s="350">
        <v>367111.15383049042</v>
      </c>
      <c r="AJ653" s="350">
        <v>364924.69027953211</v>
      </c>
      <c r="AK653" s="348">
        <v>1842818.0437322138</v>
      </c>
      <c r="AL653" s="369"/>
      <c r="AM653" s="350">
        <v>10836536.932174984</v>
      </c>
      <c r="AN653" s="350">
        <v>10741191.513034685</v>
      </c>
      <c r="AO653" s="350">
        <v>10636655.856689105</v>
      </c>
      <c r="AP653" s="350">
        <v>10502472.482059123</v>
      </c>
      <c r="AQ653" s="350">
        <v>10321135.112202773</v>
      </c>
      <c r="AR653" s="348">
        <v>53037991.896160662</v>
      </c>
      <c r="AS653" s="369"/>
      <c r="AT653" s="350">
        <f t="shared" si="267"/>
        <v>10464900.578504525</v>
      </c>
      <c r="AU653" s="350">
        <f t="shared" si="250"/>
        <v>10370894.41850698</v>
      </c>
      <c r="AV653" s="350">
        <f t="shared" si="251"/>
        <v>10267807.105265079</v>
      </c>
      <c r="AW653" s="350">
        <f t="shared" si="252"/>
        <v>10135361.328228632</v>
      </c>
      <c r="AX653" s="350">
        <f t="shared" si="253"/>
        <v>9956210.4219232406</v>
      </c>
      <c r="AY653" s="350">
        <f t="shared" si="254"/>
        <v>51195173.852428451</v>
      </c>
      <c r="AZ653" s="365"/>
      <c r="BA653" s="377">
        <f t="shared" si="255"/>
        <v>0</v>
      </c>
      <c r="BB653" s="377">
        <f t="shared" si="256"/>
        <v>0</v>
      </c>
      <c r="BC653" s="377">
        <f t="shared" si="257"/>
        <v>0</v>
      </c>
      <c r="BD653" s="377">
        <f t="shared" si="258"/>
        <v>0</v>
      </c>
      <c r="BE653" s="377">
        <f t="shared" si="259"/>
        <v>0</v>
      </c>
      <c r="BF653" s="377">
        <f t="shared" si="260"/>
        <v>0</v>
      </c>
      <c r="BG653" s="328"/>
    </row>
    <row r="654" spans="2:59">
      <c r="B654" s="332">
        <v>639</v>
      </c>
      <c r="C654" s="350">
        <v>4721036.8691462902</v>
      </c>
      <c r="D654" s="350">
        <v>4704023.7547729434</v>
      </c>
      <c r="E654" s="350">
        <v>4685624.9056719188</v>
      </c>
      <c r="F654" s="350">
        <v>4663551.5476115327</v>
      </c>
      <c r="G654" s="350">
        <v>4635776.0758764083</v>
      </c>
      <c r="H654" s="348">
        <v>23410013.153079093</v>
      </c>
      <c r="I654" s="369"/>
      <c r="J654" s="350">
        <v>16004389.970725397</v>
      </c>
      <c r="K654" s="350">
        <v>15670001.785750894</v>
      </c>
      <c r="L654" s="350">
        <v>15325993.393459631</v>
      </c>
      <c r="M654" s="350">
        <v>14948403.052763641</v>
      </c>
      <c r="N654" s="350">
        <v>14517108.943398166</v>
      </c>
      <c r="O654" s="348">
        <v>76465897.146097735</v>
      </c>
      <c r="P654" s="369"/>
      <c r="Q654" s="350">
        <f t="shared" si="261"/>
        <v>11283353.101579107</v>
      </c>
      <c r="R654" s="350">
        <f t="shared" si="262"/>
        <v>10965978.03097795</v>
      </c>
      <c r="S654" s="350">
        <f t="shared" si="263"/>
        <v>10640368.487787712</v>
      </c>
      <c r="T654" s="350">
        <f t="shared" si="264"/>
        <v>10284851.505152108</v>
      </c>
      <c r="U654" s="350">
        <f t="shared" si="265"/>
        <v>9881332.8675217591</v>
      </c>
      <c r="V654" s="350">
        <f t="shared" si="266"/>
        <v>53055883.993018642</v>
      </c>
      <c r="W654" s="365"/>
      <c r="X654" s="377">
        <f t="shared" si="244"/>
        <v>0</v>
      </c>
      <c r="Y654" s="377">
        <f t="shared" si="245"/>
        <v>0</v>
      </c>
      <c r="Z654" s="377">
        <f t="shared" si="246"/>
        <v>0</v>
      </c>
      <c r="AA654" s="377">
        <f t="shared" si="247"/>
        <v>0</v>
      </c>
      <c r="AB654" s="377">
        <f t="shared" si="248"/>
        <v>0</v>
      </c>
      <c r="AC654" s="377">
        <f t="shared" si="249"/>
        <v>0</v>
      </c>
      <c r="AD654" s="376"/>
      <c r="AE654" s="332">
        <v>639</v>
      </c>
      <c r="AF654" s="350">
        <v>157467.77041333111</v>
      </c>
      <c r="AG654" s="350">
        <v>156900.30668398252</v>
      </c>
      <c r="AH654" s="350">
        <v>156286.62248146246</v>
      </c>
      <c r="AI654" s="350">
        <v>155550.3769117615</v>
      </c>
      <c r="AJ654" s="350">
        <v>154623.94025652317</v>
      </c>
      <c r="AK654" s="348">
        <v>780829.0167470607</v>
      </c>
      <c r="AL654" s="369"/>
      <c r="AM654" s="350">
        <v>4353512.8453440014</v>
      </c>
      <c r="AN654" s="350">
        <v>4314829.5710353656</v>
      </c>
      <c r="AO654" s="350">
        <v>4272461.9105507778</v>
      </c>
      <c r="AP654" s="350">
        <v>4218203.4301479748</v>
      </c>
      <c r="AQ654" s="350">
        <v>4145032.3093136079</v>
      </c>
      <c r="AR654" s="348">
        <v>21304040.066391725</v>
      </c>
      <c r="AS654" s="369"/>
      <c r="AT654" s="350">
        <f t="shared" si="267"/>
        <v>4196045.0749306707</v>
      </c>
      <c r="AU654" s="350">
        <f t="shared" si="250"/>
        <v>4157929.2643513829</v>
      </c>
      <c r="AV654" s="350">
        <f t="shared" si="251"/>
        <v>4116175.2880693153</v>
      </c>
      <c r="AW654" s="350">
        <f t="shared" si="252"/>
        <v>4062653.053236213</v>
      </c>
      <c r="AX654" s="350">
        <f t="shared" si="253"/>
        <v>3990408.3690570849</v>
      </c>
      <c r="AY654" s="350">
        <f t="shared" si="254"/>
        <v>20523211.049644664</v>
      </c>
      <c r="AZ654" s="365"/>
      <c r="BA654" s="377">
        <f t="shared" si="255"/>
        <v>0</v>
      </c>
      <c r="BB654" s="377">
        <f t="shared" si="256"/>
        <v>0</v>
      </c>
      <c r="BC654" s="377">
        <f t="shared" si="257"/>
        <v>0</v>
      </c>
      <c r="BD654" s="377">
        <f t="shared" si="258"/>
        <v>0</v>
      </c>
      <c r="BE654" s="377">
        <f t="shared" si="259"/>
        <v>0</v>
      </c>
      <c r="BF654" s="377">
        <f t="shared" si="260"/>
        <v>0</v>
      </c>
      <c r="BG654" s="328"/>
    </row>
    <row r="655" spans="2:59">
      <c r="B655" s="332">
        <v>640</v>
      </c>
      <c r="C655" s="350">
        <v>1672474.1966529437</v>
      </c>
      <c r="D655" s="350">
        <v>1666447.131924836</v>
      </c>
      <c r="E655" s="350">
        <v>1659929.156907381</v>
      </c>
      <c r="F655" s="350">
        <v>1652109.4505986376</v>
      </c>
      <c r="G655" s="350">
        <v>1642269.7138915486</v>
      </c>
      <c r="H655" s="348">
        <v>8293229.6499753464</v>
      </c>
      <c r="I655" s="369"/>
      <c r="J655" s="350">
        <v>5540745.0722709084</v>
      </c>
      <c r="K655" s="350">
        <v>5423214.2634473089</v>
      </c>
      <c r="L655" s="350">
        <v>5302388.9669100167</v>
      </c>
      <c r="M655" s="350">
        <v>5170030.5963291209</v>
      </c>
      <c r="N655" s="350">
        <v>5019225.2223910643</v>
      </c>
      <c r="O655" s="348">
        <v>26455604.121348422</v>
      </c>
      <c r="P655" s="369"/>
      <c r="Q655" s="350">
        <f t="shared" si="261"/>
        <v>3868270.8756179647</v>
      </c>
      <c r="R655" s="350">
        <f t="shared" si="262"/>
        <v>3756767.1315224729</v>
      </c>
      <c r="S655" s="350">
        <f t="shared" si="263"/>
        <v>3642459.8100026357</v>
      </c>
      <c r="T655" s="350">
        <f t="shared" si="264"/>
        <v>3517921.1457304833</v>
      </c>
      <c r="U655" s="350">
        <f t="shared" si="265"/>
        <v>3376955.5084995157</v>
      </c>
      <c r="V655" s="350">
        <f t="shared" si="266"/>
        <v>18162374.471373074</v>
      </c>
      <c r="W655" s="365"/>
      <c r="X655" s="377">
        <f t="shared" si="244"/>
        <v>0</v>
      </c>
      <c r="Y655" s="377">
        <f t="shared" si="245"/>
        <v>0</v>
      </c>
      <c r="Z655" s="377">
        <f t="shared" si="246"/>
        <v>0</v>
      </c>
      <c r="AA655" s="377">
        <f t="shared" si="247"/>
        <v>0</v>
      </c>
      <c r="AB655" s="377">
        <f t="shared" si="248"/>
        <v>0</v>
      </c>
      <c r="AC655" s="377">
        <f t="shared" si="249"/>
        <v>0</v>
      </c>
      <c r="AD655" s="376"/>
      <c r="AE655" s="332">
        <v>640</v>
      </c>
      <c r="AF655" s="350">
        <v>436982.90890830068</v>
      </c>
      <c r="AG655" s="350">
        <v>435408.16157746711</v>
      </c>
      <c r="AH655" s="350">
        <v>433705.14954354824</v>
      </c>
      <c r="AI655" s="350">
        <v>431662.02205228887</v>
      </c>
      <c r="AJ655" s="350">
        <v>429091.10240655654</v>
      </c>
      <c r="AK655" s="348">
        <v>2166849.3444881616</v>
      </c>
      <c r="AL655" s="369"/>
      <c r="AM655" s="350">
        <v>12307918.030969188</v>
      </c>
      <c r="AN655" s="350">
        <v>12198935.993849646</v>
      </c>
      <c r="AO655" s="350">
        <v>12079529.975540929</v>
      </c>
      <c r="AP655" s="350">
        <v>11926487.091129493</v>
      </c>
      <c r="AQ655" s="350">
        <v>11719944.522650428</v>
      </c>
      <c r="AR655" s="348">
        <v>60232815.614139684</v>
      </c>
      <c r="AS655" s="369"/>
      <c r="AT655" s="350">
        <f t="shared" si="267"/>
        <v>11870935.122060888</v>
      </c>
      <c r="AU655" s="350">
        <f t="shared" si="250"/>
        <v>11763527.832272179</v>
      </c>
      <c r="AV655" s="350">
        <f t="shared" si="251"/>
        <v>11645824.825997381</v>
      </c>
      <c r="AW655" s="350">
        <f t="shared" si="252"/>
        <v>11494825.069077205</v>
      </c>
      <c r="AX655" s="350">
        <f t="shared" si="253"/>
        <v>11290853.420243872</v>
      </c>
      <c r="AY655" s="350">
        <f t="shared" si="254"/>
        <v>58065966.269651525</v>
      </c>
      <c r="AZ655" s="365"/>
      <c r="BA655" s="377">
        <f t="shared" si="255"/>
        <v>0</v>
      </c>
      <c r="BB655" s="377">
        <f t="shared" si="256"/>
        <v>0</v>
      </c>
      <c r="BC655" s="377">
        <f t="shared" si="257"/>
        <v>0</v>
      </c>
      <c r="BD655" s="377">
        <f t="shared" si="258"/>
        <v>0</v>
      </c>
      <c r="BE655" s="377">
        <f t="shared" si="259"/>
        <v>0</v>
      </c>
      <c r="BF655" s="377">
        <f t="shared" si="260"/>
        <v>0</v>
      </c>
      <c r="BG655" s="328"/>
    </row>
    <row r="656" spans="2:59">
      <c r="B656" s="332">
        <v>641</v>
      </c>
      <c r="C656" s="350">
        <v>6503305.4764583148</v>
      </c>
      <c r="D656" s="350">
        <v>6479869.6332436837</v>
      </c>
      <c r="E656" s="350">
        <v>6454524.9177848389</v>
      </c>
      <c r="F656" s="350">
        <v>6424118.5061560543</v>
      </c>
      <c r="G656" s="350">
        <v>6385857.3397104498</v>
      </c>
      <c r="H656" s="348">
        <v>32247675.87335334</v>
      </c>
      <c r="I656" s="369"/>
      <c r="J656" s="350">
        <v>18404362.301510178</v>
      </c>
      <c r="K656" s="350">
        <v>17969985.942067064</v>
      </c>
      <c r="L656" s="350">
        <v>17525564.579209261</v>
      </c>
      <c r="M656" s="350">
        <v>17045153.03357942</v>
      </c>
      <c r="N656" s="350">
        <v>16507088.310343975</v>
      </c>
      <c r="O656" s="348">
        <v>87452154.1667099</v>
      </c>
      <c r="P656" s="369"/>
      <c r="Q656" s="350">
        <f t="shared" si="261"/>
        <v>11901056.825051863</v>
      </c>
      <c r="R656" s="350">
        <f t="shared" si="262"/>
        <v>11490116.308823381</v>
      </c>
      <c r="S656" s="350">
        <f t="shared" si="263"/>
        <v>11071039.661424421</v>
      </c>
      <c r="T656" s="350">
        <f t="shared" si="264"/>
        <v>10621034.527423367</v>
      </c>
      <c r="U656" s="350">
        <f t="shared" si="265"/>
        <v>10121230.970633525</v>
      </c>
      <c r="V656" s="350">
        <f t="shared" si="266"/>
        <v>55204478.29335656</v>
      </c>
      <c r="W656" s="365"/>
      <c r="X656" s="377">
        <f t="shared" ref="X656:X719" si="268">IF(Q656&lt;Q$8,1,0)</f>
        <v>0</v>
      </c>
      <c r="Y656" s="377">
        <f t="shared" ref="Y656:Y719" si="269">IF(R656&lt;R$8,1,0)</f>
        <v>0</v>
      </c>
      <c r="Z656" s="377">
        <f t="shared" ref="Z656:Z719" si="270">IF(S656&lt;S$8,1,0)</f>
        <v>0</v>
      </c>
      <c r="AA656" s="377">
        <f t="shared" ref="AA656:AA719" si="271">IF(T656&lt;T$8,1,0)</f>
        <v>0</v>
      </c>
      <c r="AB656" s="377">
        <f t="shared" ref="AB656:AB719" si="272">IF(U656&lt;U$8,1,0)</f>
        <v>0</v>
      </c>
      <c r="AC656" s="377">
        <f t="shared" ref="AC656:AC719" si="273">IF(V656&lt;V$8,1,0)</f>
        <v>0</v>
      </c>
      <c r="AD656" s="376"/>
      <c r="AE656" s="332">
        <v>641</v>
      </c>
      <c r="AF656" s="350">
        <v>777797.44404216087</v>
      </c>
      <c r="AG656" s="350">
        <v>774994.50959331845</v>
      </c>
      <c r="AH656" s="350">
        <v>771963.27340500988</v>
      </c>
      <c r="AI656" s="350">
        <v>768326.65671324055</v>
      </c>
      <c r="AJ656" s="350">
        <v>763750.6087980395</v>
      </c>
      <c r="AK656" s="348">
        <v>3856832.4925517696</v>
      </c>
      <c r="AL656" s="369"/>
      <c r="AM656" s="350">
        <v>18821720.772017192</v>
      </c>
      <c r="AN656" s="350">
        <v>18649978.851228219</v>
      </c>
      <c r="AO656" s="350">
        <v>18462399.981724016</v>
      </c>
      <c r="AP656" s="350">
        <v>18223650.316038981</v>
      </c>
      <c r="AQ656" s="350">
        <v>17903505.433267646</v>
      </c>
      <c r="AR656" s="348">
        <v>92061255.354276061</v>
      </c>
      <c r="AS656" s="369"/>
      <c r="AT656" s="350">
        <f t="shared" si="267"/>
        <v>18043923.327975031</v>
      </c>
      <c r="AU656" s="350">
        <f t="shared" ref="AU656:AU719" si="274">AN656-AG656</f>
        <v>17874984.341634899</v>
      </c>
      <c r="AV656" s="350">
        <f t="shared" ref="AV656:AV719" si="275">AO656-AH656</f>
        <v>17690436.708319008</v>
      </c>
      <c r="AW656" s="350">
        <f t="shared" ref="AW656:AW719" si="276">AP656-AI656</f>
        <v>17455323.659325741</v>
      </c>
      <c r="AX656" s="350">
        <f t="shared" ref="AX656:AX719" si="277">AQ656-AJ656</f>
        <v>17139754.824469607</v>
      </c>
      <c r="AY656" s="350">
        <f t="shared" ref="AY656:AY719" si="278">AR656-AK656</f>
        <v>88204422.861724287</v>
      </c>
      <c r="AZ656" s="365"/>
      <c r="BA656" s="377">
        <f t="shared" ref="BA656:BA719" si="279">IF(AT656&lt;AT$8,1,0)</f>
        <v>0</v>
      </c>
      <c r="BB656" s="377">
        <f t="shared" ref="BB656:BB719" si="280">IF(AU656&lt;AU$8,1,0)</f>
        <v>0</v>
      </c>
      <c r="BC656" s="377">
        <f t="shared" ref="BC656:BC719" si="281">IF(AV656&lt;AV$8,1,0)</f>
        <v>0</v>
      </c>
      <c r="BD656" s="377">
        <f t="shared" ref="BD656:BD719" si="282">IF(AW656&lt;AW$8,1,0)</f>
        <v>0</v>
      </c>
      <c r="BE656" s="377">
        <f t="shared" ref="BE656:BE719" si="283">IF(AX656&lt;AX$8,1,0)</f>
        <v>0</v>
      </c>
      <c r="BF656" s="377">
        <f t="shared" ref="BF656:BF719" si="284">IF(AY656&lt;AY$8,1,0)</f>
        <v>0</v>
      </c>
      <c r="BG656" s="328"/>
    </row>
    <row r="657" spans="2:59">
      <c r="B657" s="332">
        <v>642</v>
      </c>
      <c r="C657" s="350">
        <v>5771144.0186450938</v>
      </c>
      <c r="D657" s="350">
        <v>5750346.6523089092</v>
      </c>
      <c r="E657" s="350">
        <v>5727855.3202387718</v>
      </c>
      <c r="F657" s="350">
        <v>5700872.1527964389</v>
      </c>
      <c r="G657" s="350">
        <v>5666918.5421782285</v>
      </c>
      <c r="H657" s="348">
        <v>28617136.686167445</v>
      </c>
      <c r="I657" s="369"/>
      <c r="J657" s="350">
        <v>19379751.555474926</v>
      </c>
      <c r="K657" s="350">
        <v>18972314.807150375</v>
      </c>
      <c r="L657" s="350">
        <v>18553280.496033046</v>
      </c>
      <c r="M657" s="350">
        <v>18093714.856228255</v>
      </c>
      <c r="N657" s="350">
        <v>17569327.123767119</v>
      </c>
      <c r="O657" s="348">
        <v>92568388.838653728</v>
      </c>
      <c r="P657" s="369"/>
      <c r="Q657" s="350">
        <f t="shared" ref="Q657:Q720" si="285">J657-C657</f>
        <v>13608607.536829833</v>
      </c>
      <c r="R657" s="350">
        <f t="shared" ref="R657:R720" si="286">K657-D657</f>
        <v>13221968.154841466</v>
      </c>
      <c r="S657" s="350">
        <f t="shared" ref="S657:S720" si="287">L657-E657</f>
        <v>12825425.175794274</v>
      </c>
      <c r="T657" s="350">
        <f t="shared" ref="T657:T720" si="288">M657-F657</f>
        <v>12392842.703431815</v>
      </c>
      <c r="U657" s="350">
        <f t="shared" ref="U657:U720" si="289">N657-G657</f>
        <v>11902408.58158889</v>
      </c>
      <c r="V657" s="350">
        <f t="shared" ref="V657:V720" si="290">O657-H657</f>
        <v>63951252.15248628</v>
      </c>
      <c r="W657" s="365"/>
      <c r="X657" s="377">
        <f t="shared" si="268"/>
        <v>0</v>
      </c>
      <c r="Y657" s="377">
        <f t="shared" si="269"/>
        <v>0</v>
      </c>
      <c r="Z657" s="377">
        <f t="shared" si="270"/>
        <v>0</v>
      </c>
      <c r="AA657" s="377">
        <f t="shared" si="271"/>
        <v>0</v>
      </c>
      <c r="AB657" s="377">
        <f t="shared" si="272"/>
        <v>0</v>
      </c>
      <c r="AC657" s="377">
        <f t="shared" si="273"/>
        <v>0</v>
      </c>
      <c r="AD657" s="376"/>
      <c r="AE657" s="332">
        <v>642</v>
      </c>
      <c r="AF657" s="350">
        <v>338587.61602165923</v>
      </c>
      <c r="AG657" s="350">
        <v>337367.4540113979</v>
      </c>
      <c r="AH657" s="350">
        <v>336047.90861759434</v>
      </c>
      <c r="AI657" s="350">
        <v>334464.8314482331</v>
      </c>
      <c r="AJ657" s="350">
        <v>332472.80490420543</v>
      </c>
      <c r="AK657" s="348">
        <v>1678940.6150030901</v>
      </c>
      <c r="AL657" s="369"/>
      <c r="AM657" s="350">
        <v>12471184.307870097</v>
      </c>
      <c r="AN657" s="350">
        <v>12365590.730671691</v>
      </c>
      <c r="AO657" s="350">
        <v>12249336.183701659</v>
      </c>
      <c r="AP657" s="350">
        <v>12098743.734645599</v>
      </c>
      <c r="AQ657" s="350">
        <v>11893543.91047802</v>
      </c>
      <c r="AR657" s="348">
        <v>61078398.867367059</v>
      </c>
      <c r="AS657" s="369"/>
      <c r="AT657" s="350">
        <f t="shared" ref="AT657:AT720" si="291">AM657-AF657</f>
        <v>12132596.691848438</v>
      </c>
      <c r="AU657" s="350">
        <f t="shared" si="274"/>
        <v>12028223.276660293</v>
      </c>
      <c r="AV657" s="350">
        <f t="shared" si="275"/>
        <v>11913288.275084063</v>
      </c>
      <c r="AW657" s="350">
        <f t="shared" si="276"/>
        <v>11764278.903197367</v>
      </c>
      <c r="AX657" s="350">
        <f t="shared" si="277"/>
        <v>11561071.105573814</v>
      </c>
      <c r="AY657" s="350">
        <f t="shared" si="278"/>
        <v>59399458.252363972</v>
      </c>
      <c r="AZ657" s="365"/>
      <c r="BA657" s="377">
        <f t="shared" si="279"/>
        <v>0</v>
      </c>
      <c r="BB657" s="377">
        <f t="shared" si="280"/>
        <v>0</v>
      </c>
      <c r="BC657" s="377">
        <f t="shared" si="281"/>
        <v>0</v>
      </c>
      <c r="BD657" s="377">
        <f t="shared" si="282"/>
        <v>0</v>
      </c>
      <c r="BE657" s="377">
        <f t="shared" si="283"/>
        <v>0</v>
      </c>
      <c r="BF657" s="377">
        <f t="shared" si="284"/>
        <v>0</v>
      </c>
      <c r="BG657" s="328"/>
    </row>
    <row r="658" spans="2:59">
      <c r="B658" s="332">
        <v>643</v>
      </c>
      <c r="C658" s="350">
        <v>5740229.992790252</v>
      </c>
      <c r="D658" s="350">
        <v>5719544.030764644</v>
      </c>
      <c r="E658" s="350">
        <v>5697173.1769946273</v>
      </c>
      <c r="F658" s="350">
        <v>5670334.5490635708</v>
      </c>
      <c r="G658" s="350">
        <v>5636562.8162139822</v>
      </c>
      <c r="H658" s="348">
        <v>28463844.565827072</v>
      </c>
      <c r="I658" s="369"/>
      <c r="J658" s="350">
        <v>16965342.58960551</v>
      </c>
      <c r="K658" s="350">
        <v>16576741.661283987</v>
      </c>
      <c r="L658" s="350">
        <v>16178639.938244695</v>
      </c>
      <c r="M658" s="350">
        <v>15746739.385521773</v>
      </c>
      <c r="N658" s="350">
        <v>15260720.983320368</v>
      </c>
      <c r="O658" s="348">
        <v>80728184.557976335</v>
      </c>
      <c r="P658" s="369"/>
      <c r="Q658" s="350">
        <f t="shared" si="285"/>
        <v>11225112.596815258</v>
      </c>
      <c r="R658" s="350">
        <f t="shared" si="286"/>
        <v>10857197.630519342</v>
      </c>
      <c r="S658" s="350">
        <f t="shared" si="287"/>
        <v>10481466.761250068</v>
      </c>
      <c r="T658" s="350">
        <f t="shared" si="288"/>
        <v>10076404.836458202</v>
      </c>
      <c r="U658" s="350">
        <f t="shared" si="289"/>
        <v>9624158.1671063863</v>
      </c>
      <c r="V658" s="350">
        <f t="shared" si="290"/>
        <v>52264339.992149264</v>
      </c>
      <c r="W658" s="365"/>
      <c r="X658" s="377">
        <f t="shared" si="268"/>
        <v>0</v>
      </c>
      <c r="Y658" s="377">
        <f t="shared" si="269"/>
        <v>0</v>
      </c>
      <c r="Z658" s="377">
        <f t="shared" si="270"/>
        <v>0</v>
      </c>
      <c r="AA658" s="377">
        <f t="shared" si="271"/>
        <v>0</v>
      </c>
      <c r="AB658" s="377">
        <f t="shared" si="272"/>
        <v>0</v>
      </c>
      <c r="AC658" s="377">
        <f t="shared" si="273"/>
        <v>0</v>
      </c>
      <c r="AD658" s="376"/>
      <c r="AE658" s="332">
        <v>643</v>
      </c>
      <c r="AF658" s="350">
        <v>685861.75060949509</v>
      </c>
      <c r="AG658" s="350">
        <v>683390.1231406054</v>
      </c>
      <c r="AH658" s="350">
        <v>680717.17920828832</v>
      </c>
      <c r="AI658" s="350">
        <v>677510.41077568685</v>
      </c>
      <c r="AJ658" s="350">
        <v>673475.25193319679</v>
      </c>
      <c r="AK658" s="348">
        <v>3400954.715667272</v>
      </c>
      <c r="AL658" s="369"/>
      <c r="AM658" s="350">
        <v>18537896.783144925</v>
      </c>
      <c r="AN658" s="350">
        <v>18372465.962701466</v>
      </c>
      <c r="AO658" s="350">
        <v>18191361.019227516</v>
      </c>
      <c r="AP658" s="350">
        <v>17959660.740505114</v>
      </c>
      <c r="AQ658" s="350">
        <v>17647486.264154557</v>
      </c>
      <c r="AR658" s="348">
        <v>90708870.769733578</v>
      </c>
      <c r="AS658" s="369"/>
      <c r="AT658" s="350">
        <f t="shared" si="291"/>
        <v>17852035.03253543</v>
      </c>
      <c r="AU658" s="350">
        <f t="shared" si="274"/>
        <v>17689075.839560859</v>
      </c>
      <c r="AV658" s="350">
        <f t="shared" si="275"/>
        <v>17510643.840019226</v>
      </c>
      <c r="AW658" s="350">
        <f t="shared" si="276"/>
        <v>17282150.329729427</v>
      </c>
      <c r="AX658" s="350">
        <f t="shared" si="277"/>
        <v>16974011.012221359</v>
      </c>
      <c r="AY658" s="350">
        <f t="shared" si="278"/>
        <v>87307916.0540663</v>
      </c>
      <c r="AZ658" s="365"/>
      <c r="BA658" s="377">
        <f t="shared" si="279"/>
        <v>0</v>
      </c>
      <c r="BB658" s="377">
        <f t="shared" si="280"/>
        <v>0</v>
      </c>
      <c r="BC658" s="377">
        <f t="shared" si="281"/>
        <v>0</v>
      </c>
      <c r="BD658" s="377">
        <f t="shared" si="282"/>
        <v>0</v>
      </c>
      <c r="BE658" s="377">
        <f t="shared" si="283"/>
        <v>0</v>
      </c>
      <c r="BF658" s="377">
        <f t="shared" si="284"/>
        <v>0</v>
      </c>
      <c r="BG658" s="328"/>
    </row>
    <row r="659" spans="2:59">
      <c r="B659" s="332">
        <v>644</v>
      </c>
      <c r="C659" s="350">
        <v>3822119.43610489</v>
      </c>
      <c r="D659" s="350">
        <v>3808345.7340734545</v>
      </c>
      <c r="E659" s="350">
        <v>3793450.1506031002</v>
      </c>
      <c r="F659" s="350">
        <v>3775579.709595941</v>
      </c>
      <c r="G659" s="350">
        <v>3753092.8760235114</v>
      </c>
      <c r="H659" s="348">
        <v>18952587.906400897</v>
      </c>
      <c r="I659" s="369"/>
      <c r="J659" s="350">
        <v>13689379.259971458</v>
      </c>
      <c r="K659" s="350">
        <v>13413382.657973481</v>
      </c>
      <c r="L659" s="350">
        <v>13128952.730194971</v>
      </c>
      <c r="M659" s="350">
        <v>12815270.062438767</v>
      </c>
      <c r="N659" s="350">
        <v>12454826.579221962</v>
      </c>
      <c r="O659" s="348">
        <v>65501811.289800644</v>
      </c>
      <c r="P659" s="369"/>
      <c r="Q659" s="350">
        <f t="shared" si="285"/>
        <v>9867259.8238665685</v>
      </c>
      <c r="R659" s="350">
        <f t="shared" si="286"/>
        <v>9605036.9239000268</v>
      </c>
      <c r="S659" s="350">
        <f t="shared" si="287"/>
        <v>9335502.5795918703</v>
      </c>
      <c r="T659" s="350">
        <f t="shared" si="288"/>
        <v>9039690.3528428264</v>
      </c>
      <c r="U659" s="350">
        <f t="shared" si="289"/>
        <v>8701733.7031984515</v>
      </c>
      <c r="V659" s="350">
        <f t="shared" si="290"/>
        <v>46549223.383399747</v>
      </c>
      <c r="W659" s="365"/>
      <c r="X659" s="377">
        <f t="shared" si="268"/>
        <v>0</v>
      </c>
      <c r="Y659" s="377">
        <f t="shared" si="269"/>
        <v>0</v>
      </c>
      <c r="Z659" s="377">
        <f t="shared" si="270"/>
        <v>0</v>
      </c>
      <c r="AA659" s="377">
        <f t="shared" si="271"/>
        <v>0</v>
      </c>
      <c r="AB659" s="377">
        <f t="shared" si="272"/>
        <v>0</v>
      </c>
      <c r="AC659" s="377">
        <f t="shared" si="273"/>
        <v>0</v>
      </c>
      <c r="AD659" s="376"/>
      <c r="AE659" s="332">
        <v>644</v>
      </c>
      <c r="AF659" s="350">
        <v>487724.79865824082</v>
      </c>
      <c r="AG659" s="350">
        <v>485967.19370571047</v>
      </c>
      <c r="AH659" s="350">
        <v>484066.4301187988</v>
      </c>
      <c r="AI659" s="350">
        <v>481786.05730788712</v>
      </c>
      <c r="AJ659" s="350">
        <v>478916.60580070142</v>
      </c>
      <c r="AK659" s="348">
        <v>2418461.0855913386</v>
      </c>
      <c r="AL659" s="369"/>
      <c r="AM659" s="350">
        <v>14399109.9361024</v>
      </c>
      <c r="AN659" s="350">
        <v>14272701.681937812</v>
      </c>
      <c r="AO659" s="350">
        <v>14134076.079021936</v>
      </c>
      <c r="AP659" s="350">
        <v>13956041.009129668</v>
      </c>
      <c r="AQ659" s="350">
        <v>13715326.540282328</v>
      </c>
      <c r="AR659" s="348">
        <v>70477255.246474147</v>
      </c>
      <c r="AS659" s="369"/>
      <c r="AT659" s="350">
        <f t="shared" si="291"/>
        <v>13911385.137444159</v>
      </c>
      <c r="AU659" s="350">
        <f t="shared" si="274"/>
        <v>13786734.488232102</v>
      </c>
      <c r="AV659" s="350">
        <f t="shared" si="275"/>
        <v>13650009.648903137</v>
      </c>
      <c r="AW659" s="350">
        <f t="shared" si="276"/>
        <v>13474254.95182178</v>
      </c>
      <c r="AX659" s="350">
        <f t="shared" si="277"/>
        <v>13236409.934481626</v>
      </c>
      <c r="AY659" s="350">
        <f t="shared" si="278"/>
        <v>68058794.160882801</v>
      </c>
      <c r="AZ659" s="365"/>
      <c r="BA659" s="377">
        <f t="shared" si="279"/>
        <v>0</v>
      </c>
      <c r="BB659" s="377">
        <f t="shared" si="280"/>
        <v>0</v>
      </c>
      <c r="BC659" s="377">
        <f t="shared" si="281"/>
        <v>0</v>
      </c>
      <c r="BD659" s="377">
        <f t="shared" si="282"/>
        <v>0</v>
      </c>
      <c r="BE659" s="377">
        <f t="shared" si="283"/>
        <v>0</v>
      </c>
      <c r="BF659" s="377">
        <f t="shared" si="284"/>
        <v>0</v>
      </c>
      <c r="BG659" s="328"/>
    </row>
    <row r="660" spans="2:59">
      <c r="B660" s="332">
        <v>645</v>
      </c>
      <c r="C660" s="350">
        <v>3961201.8885479253</v>
      </c>
      <c r="D660" s="350">
        <v>3946926.9776218487</v>
      </c>
      <c r="E660" s="350">
        <v>3931489.361304468</v>
      </c>
      <c r="F660" s="350">
        <v>3912968.6358666248</v>
      </c>
      <c r="G660" s="350">
        <v>3889663.5327416044</v>
      </c>
      <c r="H660" s="348">
        <v>19642250.396082472</v>
      </c>
      <c r="I660" s="369"/>
      <c r="J660" s="350">
        <v>13316962.879246566</v>
      </c>
      <c r="K660" s="350">
        <v>13037197.503745088</v>
      </c>
      <c r="L660" s="350">
        <v>12749458.510008648</v>
      </c>
      <c r="M660" s="350">
        <v>12433857.085081212</v>
      </c>
      <c r="N660" s="350">
        <v>12073695.452811433</v>
      </c>
      <c r="O660" s="348">
        <v>63611171.430892952</v>
      </c>
      <c r="P660" s="369"/>
      <c r="Q660" s="350">
        <f t="shared" si="285"/>
        <v>9355760.9906986412</v>
      </c>
      <c r="R660" s="350">
        <f t="shared" si="286"/>
        <v>9090270.5261232406</v>
      </c>
      <c r="S660" s="350">
        <f t="shared" si="287"/>
        <v>8817969.1487041805</v>
      </c>
      <c r="T660" s="350">
        <f t="shared" si="288"/>
        <v>8520888.449214587</v>
      </c>
      <c r="U660" s="350">
        <f t="shared" si="289"/>
        <v>8184031.9200698286</v>
      </c>
      <c r="V660" s="350">
        <f t="shared" si="290"/>
        <v>43968921.034810483</v>
      </c>
      <c r="W660" s="365"/>
      <c r="X660" s="377">
        <f t="shared" si="268"/>
        <v>0</v>
      </c>
      <c r="Y660" s="377">
        <f t="shared" si="269"/>
        <v>0</v>
      </c>
      <c r="Z660" s="377">
        <f t="shared" si="270"/>
        <v>0</v>
      </c>
      <c r="AA660" s="377">
        <f t="shared" si="271"/>
        <v>0</v>
      </c>
      <c r="AB660" s="377">
        <f t="shared" si="272"/>
        <v>0</v>
      </c>
      <c r="AC660" s="377">
        <f t="shared" si="273"/>
        <v>0</v>
      </c>
      <c r="AD660" s="376"/>
      <c r="AE660" s="332">
        <v>645</v>
      </c>
      <c r="AF660" s="350">
        <v>578231.52978868759</v>
      </c>
      <c r="AG660" s="350">
        <v>576147.76738156425</v>
      </c>
      <c r="AH660" s="350">
        <v>573894.2804978746</v>
      </c>
      <c r="AI660" s="350">
        <v>571190.74058649526</v>
      </c>
      <c r="AJ660" s="350">
        <v>567788.80707969167</v>
      </c>
      <c r="AK660" s="348">
        <v>2867253.1253343131</v>
      </c>
      <c r="AL660" s="369"/>
      <c r="AM660" s="350">
        <v>16867221.944789879</v>
      </c>
      <c r="AN660" s="350">
        <v>16718825.931152612</v>
      </c>
      <c r="AO660" s="350">
        <v>16556124.9704118</v>
      </c>
      <c r="AP660" s="350">
        <v>16347276.367762621</v>
      </c>
      <c r="AQ660" s="350">
        <v>16065031.04714836</v>
      </c>
      <c r="AR660" s="348">
        <v>82554480.261265278</v>
      </c>
      <c r="AS660" s="369"/>
      <c r="AT660" s="350">
        <f t="shared" si="291"/>
        <v>16288990.415001191</v>
      </c>
      <c r="AU660" s="350">
        <f t="shared" si="274"/>
        <v>16142678.163771048</v>
      </c>
      <c r="AV660" s="350">
        <f t="shared" si="275"/>
        <v>15982230.689913925</v>
      </c>
      <c r="AW660" s="350">
        <f t="shared" si="276"/>
        <v>15776085.627176126</v>
      </c>
      <c r="AX660" s="350">
        <f t="shared" si="277"/>
        <v>15497242.240068668</v>
      </c>
      <c r="AY660" s="350">
        <f t="shared" si="278"/>
        <v>79687227.13593097</v>
      </c>
      <c r="AZ660" s="365"/>
      <c r="BA660" s="377">
        <f t="shared" si="279"/>
        <v>0</v>
      </c>
      <c r="BB660" s="377">
        <f t="shared" si="280"/>
        <v>0</v>
      </c>
      <c r="BC660" s="377">
        <f t="shared" si="281"/>
        <v>0</v>
      </c>
      <c r="BD660" s="377">
        <f t="shared" si="282"/>
        <v>0</v>
      </c>
      <c r="BE660" s="377">
        <f t="shared" si="283"/>
        <v>0</v>
      </c>
      <c r="BF660" s="377">
        <f t="shared" si="284"/>
        <v>0</v>
      </c>
      <c r="BG660" s="328"/>
    </row>
    <row r="661" spans="2:59">
      <c r="B661" s="332">
        <v>646</v>
      </c>
      <c r="C661" s="350">
        <v>3356723.1608917983</v>
      </c>
      <c r="D661" s="350">
        <v>3344626.5989206051</v>
      </c>
      <c r="E661" s="350">
        <v>3331544.7602010677</v>
      </c>
      <c r="F661" s="350">
        <v>3315850.2942831693</v>
      </c>
      <c r="G661" s="350">
        <v>3296101.5458911983</v>
      </c>
      <c r="H661" s="348">
        <v>16644846.36018784</v>
      </c>
      <c r="I661" s="369"/>
      <c r="J661" s="350">
        <v>12057521.717973121</v>
      </c>
      <c r="K661" s="350">
        <v>11814879.180138083</v>
      </c>
      <c r="L661" s="350">
        <v>11564799.358189385</v>
      </c>
      <c r="M661" s="350">
        <v>11288929.989938281</v>
      </c>
      <c r="N661" s="350">
        <v>10971836.635529134</v>
      </c>
      <c r="O661" s="348">
        <v>57697966.881768003</v>
      </c>
      <c r="P661" s="369"/>
      <c r="Q661" s="350">
        <f t="shared" si="285"/>
        <v>8700798.5570813231</v>
      </c>
      <c r="R661" s="350">
        <f t="shared" si="286"/>
        <v>8470252.581217479</v>
      </c>
      <c r="S661" s="350">
        <f t="shared" si="287"/>
        <v>8233254.5979883177</v>
      </c>
      <c r="T661" s="350">
        <f t="shared" si="288"/>
        <v>7973079.6956551122</v>
      </c>
      <c r="U661" s="350">
        <f t="shared" si="289"/>
        <v>7675735.0896379361</v>
      </c>
      <c r="V661" s="350">
        <f t="shared" si="290"/>
        <v>41053120.52158016</v>
      </c>
      <c r="W661" s="365"/>
      <c r="X661" s="377">
        <f t="shared" si="268"/>
        <v>0</v>
      </c>
      <c r="Y661" s="377">
        <f t="shared" si="269"/>
        <v>0</v>
      </c>
      <c r="Z661" s="377">
        <f t="shared" si="270"/>
        <v>0</v>
      </c>
      <c r="AA661" s="377">
        <f t="shared" si="271"/>
        <v>0</v>
      </c>
      <c r="AB661" s="377">
        <f t="shared" si="272"/>
        <v>0</v>
      </c>
      <c r="AC661" s="377">
        <f t="shared" si="273"/>
        <v>0</v>
      </c>
      <c r="AD661" s="376"/>
      <c r="AE661" s="332">
        <v>646</v>
      </c>
      <c r="AF661" s="350">
        <v>444207.21727619832</v>
      </c>
      <c r="AG661" s="350">
        <v>442606.43583719363</v>
      </c>
      <c r="AH661" s="350">
        <v>440875.26919164933</v>
      </c>
      <c r="AI661" s="350">
        <v>438798.36421680683</v>
      </c>
      <c r="AJ661" s="350">
        <v>436184.9414984571</v>
      </c>
      <c r="AK661" s="348">
        <v>2202672.2280203053</v>
      </c>
      <c r="AL661" s="369"/>
      <c r="AM661" s="350">
        <v>12586356.491289917</v>
      </c>
      <c r="AN661" s="350">
        <v>12475032.465668144</v>
      </c>
      <c r="AO661" s="350">
        <v>12353046.118675843</v>
      </c>
      <c r="AP661" s="350">
        <v>12196655.439048044</v>
      </c>
      <c r="AQ661" s="350">
        <v>11985544.600932507</v>
      </c>
      <c r="AR661" s="348">
        <v>61596635.115614459</v>
      </c>
      <c r="AS661" s="369"/>
      <c r="AT661" s="350">
        <f t="shared" si="291"/>
        <v>12142149.274013719</v>
      </c>
      <c r="AU661" s="350">
        <f t="shared" si="274"/>
        <v>12032426.029830949</v>
      </c>
      <c r="AV661" s="350">
        <f t="shared" si="275"/>
        <v>11912170.849484194</v>
      </c>
      <c r="AW661" s="350">
        <f t="shared" si="276"/>
        <v>11757857.074831238</v>
      </c>
      <c r="AX661" s="350">
        <f t="shared" si="277"/>
        <v>11549359.65943405</v>
      </c>
      <c r="AY661" s="350">
        <f t="shared" si="278"/>
        <v>59393962.887594156</v>
      </c>
      <c r="AZ661" s="365"/>
      <c r="BA661" s="377">
        <f t="shared" si="279"/>
        <v>0</v>
      </c>
      <c r="BB661" s="377">
        <f t="shared" si="280"/>
        <v>0</v>
      </c>
      <c r="BC661" s="377">
        <f t="shared" si="281"/>
        <v>0</v>
      </c>
      <c r="BD661" s="377">
        <f t="shared" si="282"/>
        <v>0</v>
      </c>
      <c r="BE661" s="377">
        <f t="shared" si="283"/>
        <v>0</v>
      </c>
      <c r="BF661" s="377">
        <f t="shared" si="284"/>
        <v>0</v>
      </c>
      <c r="BG661" s="328"/>
    </row>
    <row r="662" spans="2:59">
      <c r="B662" s="332">
        <v>647</v>
      </c>
      <c r="C662" s="350">
        <v>6067420.0168458577</v>
      </c>
      <c r="D662" s="350">
        <v>6045554.9661040725</v>
      </c>
      <c r="E662" s="350">
        <v>6021908.9856941216</v>
      </c>
      <c r="F662" s="350">
        <v>5993540.5703975037</v>
      </c>
      <c r="G662" s="350">
        <v>5957843.8669287367</v>
      </c>
      <c r="H662" s="348">
        <v>30086268.405970294</v>
      </c>
      <c r="I662" s="369"/>
      <c r="J662" s="350">
        <v>20990632.296065375</v>
      </c>
      <c r="K662" s="350">
        <v>20557839.229206394</v>
      </c>
      <c r="L662" s="350">
        <v>20112310.802354891</v>
      </c>
      <c r="M662" s="350">
        <v>19622433.359781269</v>
      </c>
      <c r="N662" s="350">
        <v>19061644.987013765</v>
      </c>
      <c r="O662" s="348">
        <v>100344860.6744217</v>
      </c>
      <c r="P662" s="369"/>
      <c r="Q662" s="350">
        <f t="shared" si="285"/>
        <v>14923212.279219517</v>
      </c>
      <c r="R662" s="350">
        <f t="shared" si="286"/>
        <v>14512284.263102323</v>
      </c>
      <c r="S662" s="350">
        <f t="shared" si="287"/>
        <v>14090401.816660769</v>
      </c>
      <c r="T662" s="350">
        <f t="shared" si="288"/>
        <v>13628892.789383765</v>
      </c>
      <c r="U662" s="350">
        <f t="shared" si="289"/>
        <v>13103801.120085027</v>
      </c>
      <c r="V662" s="350">
        <f t="shared" si="290"/>
        <v>70258592.268451408</v>
      </c>
      <c r="W662" s="365"/>
      <c r="X662" s="377">
        <f t="shared" si="268"/>
        <v>0</v>
      </c>
      <c r="Y662" s="377">
        <f t="shared" si="269"/>
        <v>0</v>
      </c>
      <c r="Z662" s="377">
        <f t="shared" si="270"/>
        <v>0</v>
      </c>
      <c r="AA662" s="377">
        <f t="shared" si="271"/>
        <v>0</v>
      </c>
      <c r="AB662" s="377">
        <f t="shared" si="272"/>
        <v>0</v>
      </c>
      <c r="AC662" s="377">
        <f t="shared" si="273"/>
        <v>0</v>
      </c>
      <c r="AD662" s="376"/>
      <c r="AE662" s="332">
        <v>647</v>
      </c>
      <c r="AF662" s="350">
        <v>469383.73440772202</v>
      </c>
      <c r="AG662" s="350">
        <v>467692.22481357824</v>
      </c>
      <c r="AH662" s="350">
        <v>465862.94011633657</v>
      </c>
      <c r="AI662" s="350">
        <v>463668.32153476711</v>
      </c>
      <c r="AJ662" s="350">
        <v>460906.77677048609</v>
      </c>
      <c r="AK662" s="348">
        <v>2327513.9976428901</v>
      </c>
      <c r="AL662" s="369"/>
      <c r="AM662" s="350">
        <v>16201678.893642519</v>
      </c>
      <c r="AN662" s="350">
        <v>16063129.827646513</v>
      </c>
      <c r="AO662" s="350">
        <v>15910758.747868603</v>
      </c>
      <c r="AP662" s="350">
        <v>15713850.487645883</v>
      </c>
      <c r="AQ662" s="350">
        <v>15446112.940665569</v>
      </c>
      <c r="AR662" s="348">
        <v>79335530.897469088</v>
      </c>
      <c r="AS662" s="369"/>
      <c r="AT662" s="350">
        <f t="shared" si="291"/>
        <v>15732295.159234796</v>
      </c>
      <c r="AU662" s="350">
        <f t="shared" si="274"/>
        <v>15595437.602832934</v>
      </c>
      <c r="AV662" s="350">
        <f t="shared" si="275"/>
        <v>15444895.807752267</v>
      </c>
      <c r="AW662" s="350">
        <f t="shared" si="276"/>
        <v>15250182.166111115</v>
      </c>
      <c r="AX662" s="350">
        <f t="shared" si="277"/>
        <v>14985206.163895084</v>
      </c>
      <c r="AY662" s="350">
        <f t="shared" si="278"/>
        <v>77008016.899826199</v>
      </c>
      <c r="AZ662" s="365"/>
      <c r="BA662" s="377">
        <f t="shared" si="279"/>
        <v>0</v>
      </c>
      <c r="BB662" s="377">
        <f t="shared" si="280"/>
        <v>0</v>
      </c>
      <c r="BC662" s="377">
        <f t="shared" si="281"/>
        <v>0</v>
      </c>
      <c r="BD662" s="377">
        <f t="shared" si="282"/>
        <v>0</v>
      </c>
      <c r="BE662" s="377">
        <f t="shared" si="283"/>
        <v>0</v>
      </c>
      <c r="BF662" s="377">
        <f t="shared" si="284"/>
        <v>0</v>
      </c>
      <c r="BG662" s="328"/>
    </row>
    <row r="663" spans="2:59">
      <c r="B663" s="332">
        <v>648</v>
      </c>
      <c r="C663" s="350">
        <v>5116973.3821269255</v>
      </c>
      <c r="D663" s="350">
        <v>5098533.4385703644</v>
      </c>
      <c r="E663" s="350">
        <v>5078591.5436601602</v>
      </c>
      <c r="F663" s="350">
        <v>5054666.971838383</v>
      </c>
      <c r="G663" s="350">
        <v>5024562.0704186335</v>
      </c>
      <c r="H663" s="348">
        <v>25373327.406614468</v>
      </c>
      <c r="I663" s="369"/>
      <c r="J663" s="350">
        <v>17729819.61874475</v>
      </c>
      <c r="K663" s="350">
        <v>17364625.638661642</v>
      </c>
      <c r="L663" s="350">
        <v>16988667.205573812</v>
      </c>
      <c r="M663" s="350">
        <v>16575229.888948809</v>
      </c>
      <c r="N663" s="350">
        <v>16101867.212972591</v>
      </c>
      <c r="O663" s="348">
        <v>84760209.564901605</v>
      </c>
      <c r="P663" s="369"/>
      <c r="Q663" s="350">
        <f t="shared" si="285"/>
        <v>12612846.236617824</v>
      </c>
      <c r="R663" s="350">
        <f t="shared" si="286"/>
        <v>12266092.200091276</v>
      </c>
      <c r="S663" s="350">
        <f t="shared" si="287"/>
        <v>11910075.661913652</v>
      </c>
      <c r="T663" s="350">
        <f t="shared" si="288"/>
        <v>11520562.917110426</v>
      </c>
      <c r="U663" s="350">
        <f t="shared" si="289"/>
        <v>11077305.142553957</v>
      </c>
      <c r="V663" s="350">
        <f t="shared" si="290"/>
        <v>59386882.158287138</v>
      </c>
      <c r="W663" s="365"/>
      <c r="X663" s="377">
        <f t="shared" si="268"/>
        <v>0</v>
      </c>
      <c r="Y663" s="377">
        <f t="shared" si="269"/>
        <v>0</v>
      </c>
      <c r="Z663" s="377">
        <f t="shared" si="270"/>
        <v>0</v>
      </c>
      <c r="AA663" s="377">
        <f t="shared" si="271"/>
        <v>0</v>
      </c>
      <c r="AB663" s="377">
        <f t="shared" si="272"/>
        <v>0</v>
      </c>
      <c r="AC663" s="377">
        <f t="shared" si="273"/>
        <v>0</v>
      </c>
      <c r="AD663" s="376"/>
      <c r="AE663" s="332">
        <v>648</v>
      </c>
      <c r="AF663" s="350">
        <v>676816.66094670573</v>
      </c>
      <c r="AG663" s="350">
        <v>674377.62910229748</v>
      </c>
      <c r="AH663" s="350">
        <v>671739.93573980744</v>
      </c>
      <c r="AI663" s="350">
        <v>668575.45791165333</v>
      </c>
      <c r="AJ663" s="350">
        <v>664593.51441978093</v>
      </c>
      <c r="AK663" s="348">
        <v>3356103.1981202452</v>
      </c>
      <c r="AL663" s="369"/>
      <c r="AM663" s="350">
        <v>20269451.390162528</v>
      </c>
      <c r="AN663" s="350">
        <v>20091960.285129111</v>
      </c>
      <c r="AO663" s="350">
        <v>19897261.73229773</v>
      </c>
      <c r="AP663" s="350">
        <v>19647063.112422444</v>
      </c>
      <c r="AQ663" s="350">
        <v>19308594.231814548</v>
      </c>
      <c r="AR663" s="348">
        <v>99214330.751826361</v>
      </c>
      <c r="AS663" s="369"/>
      <c r="AT663" s="350">
        <f t="shared" si="291"/>
        <v>19592634.729215823</v>
      </c>
      <c r="AU663" s="350">
        <f t="shared" si="274"/>
        <v>19417582.656026814</v>
      </c>
      <c r="AV663" s="350">
        <f t="shared" si="275"/>
        <v>19225521.796557922</v>
      </c>
      <c r="AW663" s="350">
        <f t="shared" si="276"/>
        <v>18978487.654510792</v>
      </c>
      <c r="AX663" s="350">
        <f t="shared" si="277"/>
        <v>18644000.717394769</v>
      </c>
      <c r="AY663" s="350">
        <f t="shared" si="278"/>
        <v>95858227.55370611</v>
      </c>
      <c r="AZ663" s="365"/>
      <c r="BA663" s="377">
        <f t="shared" si="279"/>
        <v>0</v>
      </c>
      <c r="BB663" s="377">
        <f t="shared" si="280"/>
        <v>0</v>
      </c>
      <c r="BC663" s="377">
        <f t="shared" si="281"/>
        <v>0</v>
      </c>
      <c r="BD663" s="377">
        <f t="shared" si="282"/>
        <v>0</v>
      </c>
      <c r="BE663" s="377">
        <f t="shared" si="283"/>
        <v>0</v>
      </c>
      <c r="BF663" s="377">
        <f t="shared" si="284"/>
        <v>0</v>
      </c>
      <c r="BG663" s="328"/>
    </row>
    <row r="664" spans="2:59">
      <c r="B664" s="332">
        <v>649</v>
      </c>
      <c r="C664" s="350">
        <v>5171305.4928073771</v>
      </c>
      <c r="D664" s="350">
        <v>5152669.7536154995</v>
      </c>
      <c r="E664" s="350">
        <v>5132516.1153248791</v>
      </c>
      <c r="F664" s="350">
        <v>5108337.5119912792</v>
      </c>
      <c r="G664" s="350">
        <v>5077912.9562145863</v>
      </c>
      <c r="H664" s="348">
        <v>25642741.829953618</v>
      </c>
      <c r="I664" s="369"/>
      <c r="J664" s="350">
        <v>18070235.319588255</v>
      </c>
      <c r="K664" s="350">
        <v>17700067.02991413</v>
      </c>
      <c r="L664" s="350">
        <v>17318886.002381451</v>
      </c>
      <c r="M664" s="350">
        <v>16899399.081164155</v>
      </c>
      <c r="N664" s="350">
        <v>16418668.470157843</v>
      </c>
      <c r="O664" s="348">
        <v>86407255.903205842</v>
      </c>
      <c r="P664" s="369"/>
      <c r="Q664" s="350">
        <f t="shared" si="285"/>
        <v>12898929.826780878</v>
      </c>
      <c r="R664" s="350">
        <f t="shared" si="286"/>
        <v>12547397.276298631</v>
      </c>
      <c r="S664" s="350">
        <f t="shared" si="287"/>
        <v>12186369.887056572</v>
      </c>
      <c r="T664" s="350">
        <f t="shared" si="288"/>
        <v>11791061.569172876</v>
      </c>
      <c r="U664" s="350">
        <f t="shared" si="289"/>
        <v>11340755.513943257</v>
      </c>
      <c r="V664" s="350">
        <f t="shared" si="290"/>
        <v>60764514.073252223</v>
      </c>
      <c r="W664" s="365"/>
      <c r="X664" s="377">
        <f t="shared" si="268"/>
        <v>0</v>
      </c>
      <c r="Y664" s="377">
        <f t="shared" si="269"/>
        <v>0</v>
      </c>
      <c r="Z664" s="377">
        <f t="shared" si="270"/>
        <v>0</v>
      </c>
      <c r="AA664" s="377">
        <f t="shared" si="271"/>
        <v>0</v>
      </c>
      <c r="AB664" s="377">
        <f t="shared" si="272"/>
        <v>0</v>
      </c>
      <c r="AC664" s="377">
        <f t="shared" si="273"/>
        <v>0</v>
      </c>
      <c r="AD664" s="376"/>
      <c r="AE664" s="332">
        <v>649</v>
      </c>
      <c r="AF664" s="350">
        <v>330085.8328874897</v>
      </c>
      <c r="AG664" s="350">
        <v>328896.30859789188</v>
      </c>
      <c r="AH664" s="350">
        <v>327609.89639692515</v>
      </c>
      <c r="AI664" s="350">
        <v>326066.56958505401</v>
      </c>
      <c r="AJ664" s="350">
        <v>324124.56193384301</v>
      </c>
      <c r="AK664" s="348">
        <v>1636783.1694012037</v>
      </c>
      <c r="AL664" s="369"/>
      <c r="AM664" s="350">
        <v>14333818.217433924</v>
      </c>
      <c r="AN664" s="350">
        <v>14215194.412044007</v>
      </c>
      <c r="AO664" s="350">
        <v>14084261.402329518</v>
      </c>
      <c r="AP664" s="350">
        <v>13913717.472348174</v>
      </c>
      <c r="AQ664" s="350">
        <v>13680184.630400114</v>
      </c>
      <c r="AR664" s="348">
        <v>70227176.134555742</v>
      </c>
      <c r="AS664" s="369"/>
      <c r="AT664" s="350">
        <f t="shared" si="291"/>
        <v>14003732.384546435</v>
      </c>
      <c r="AU664" s="350">
        <f t="shared" si="274"/>
        <v>13886298.103446115</v>
      </c>
      <c r="AV664" s="350">
        <f t="shared" si="275"/>
        <v>13756651.505932592</v>
      </c>
      <c r="AW664" s="350">
        <f t="shared" si="276"/>
        <v>13587650.902763121</v>
      </c>
      <c r="AX664" s="350">
        <f t="shared" si="277"/>
        <v>13356060.06846627</v>
      </c>
      <c r="AY664" s="350">
        <f t="shared" si="278"/>
        <v>68590392.965154544</v>
      </c>
      <c r="AZ664" s="365"/>
      <c r="BA664" s="377">
        <f t="shared" si="279"/>
        <v>0</v>
      </c>
      <c r="BB664" s="377">
        <f t="shared" si="280"/>
        <v>0</v>
      </c>
      <c r="BC664" s="377">
        <f t="shared" si="281"/>
        <v>0</v>
      </c>
      <c r="BD664" s="377">
        <f t="shared" si="282"/>
        <v>0</v>
      </c>
      <c r="BE664" s="377">
        <f t="shared" si="283"/>
        <v>0</v>
      </c>
      <c r="BF664" s="377">
        <f t="shared" si="284"/>
        <v>0</v>
      </c>
      <c r="BG664" s="328"/>
    </row>
    <row r="665" spans="2:59">
      <c r="B665" s="332">
        <v>650</v>
      </c>
      <c r="C665" s="350">
        <v>4613729.3003866263</v>
      </c>
      <c r="D665" s="350">
        <v>4597102.888339703</v>
      </c>
      <c r="E665" s="350">
        <v>4579122.2388460375</v>
      </c>
      <c r="F665" s="350">
        <v>4557550.6007368993</v>
      </c>
      <c r="G665" s="350">
        <v>4530406.4560652273</v>
      </c>
      <c r="H665" s="348">
        <v>22877911.48437449</v>
      </c>
      <c r="I665" s="369"/>
      <c r="J665" s="350">
        <v>16375903.422579905</v>
      </c>
      <c r="K665" s="350">
        <v>16043816.281229507</v>
      </c>
      <c r="L665" s="350">
        <v>15701680.124108741</v>
      </c>
      <c r="M665" s="350">
        <v>15324651.972565737</v>
      </c>
      <c r="N665" s="350">
        <v>14891844.870649718</v>
      </c>
      <c r="O665" s="348">
        <v>78337896.671133608</v>
      </c>
      <c r="P665" s="369"/>
      <c r="Q665" s="350">
        <f t="shared" si="285"/>
        <v>11762174.122193279</v>
      </c>
      <c r="R665" s="350">
        <f t="shared" si="286"/>
        <v>11446713.392889805</v>
      </c>
      <c r="S665" s="350">
        <f t="shared" si="287"/>
        <v>11122557.885262704</v>
      </c>
      <c r="T665" s="350">
        <f t="shared" si="288"/>
        <v>10767101.371828837</v>
      </c>
      <c r="U665" s="350">
        <f t="shared" si="289"/>
        <v>10361438.414584491</v>
      </c>
      <c r="V665" s="350">
        <f t="shared" si="290"/>
        <v>55459985.186759114</v>
      </c>
      <c r="W665" s="365"/>
      <c r="X665" s="377">
        <f t="shared" si="268"/>
        <v>0</v>
      </c>
      <c r="Y665" s="377">
        <f t="shared" si="269"/>
        <v>0</v>
      </c>
      <c r="Z665" s="377">
        <f t="shared" si="270"/>
        <v>0</v>
      </c>
      <c r="AA665" s="377">
        <f t="shared" si="271"/>
        <v>0</v>
      </c>
      <c r="AB665" s="377">
        <f t="shared" si="272"/>
        <v>0</v>
      </c>
      <c r="AC665" s="377">
        <f t="shared" si="273"/>
        <v>0</v>
      </c>
      <c r="AD665" s="376"/>
      <c r="AE665" s="332">
        <v>650</v>
      </c>
      <c r="AF665" s="350">
        <v>346912.42642798385</v>
      </c>
      <c r="AG665" s="350">
        <v>345662.2644504474</v>
      </c>
      <c r="AH665" s="350">
        <v>344310.27556282975</v>
      </c>
      <c r="AI665" s="350">
        <v>342688.27547759708</v>
      </c>
      <c r="AJ665" s="350">
        <v>340647.27123173181</v>
      </c>
      <c r="AK665" s="348">
        <v>1720220.51315059</v>
      </c>
      <c r="AL665" s="369"/>
      <c r="AM665" s="350">
        <v>12565217.266485261</v>
      </c>
      <c r="AN665" s="350">
        <v>12458559.719021415</v>
      </c>
      <c r="AO665" s="350">
        <v>12341166.286218503</v>
      </c>
      <c r="AP665" s="350">
        <v>12189190.160024805</v>
      </c>
      <c r="AQ665" s="350">
        <v>11982216.966421507</v>
      </c>
      <c r="AR665" s="348">
        <v>61536350.398171492</v>
      </c>
      <c r="AS665" s="369"/>
      <c r="AT665" s="350">
        <f t="shared" si="291"/>
        <v>12218304.840057276</v>
      </c>
      <c r="AU665" s="350">
        <f t="shared" si="274"/>
        <v>12112897.454570968</v>
      </c>
      <c r="AV665" s="350">
        <f t="shared" si="275"/>
        <v>11996856.010655673</v>
      </c>
      <c r="AW665" s="350">
        <f t="shared" si="276"/>
        <v>11846501.884547208</v>
      </c>
      <c r="AX665" s="350">
        <f t="shared" si="277"/>
        <v>11641569.695189776</v>
      </c>
      <c r="AY665" s="350">
        <f t="shared" si="278"/>
        <v>59816129.885020904</v>
      </c>
      <c r="AZ665" s="365"/>
      <c r="BA665" s="377">
        <f t="shared" si="279"/>
        <v>0</v>
      </c>
      <c r="BB665" s="377">
        <f t="shared" si="280"/>
        <v>0</v>
      </c>
      <c r="BC665" s="377">
        <f t="shared" si="281"/>
        <v>0</v>
      </c>
      <c r="BD665" s="377">
        <f t="shared" si="282"/>
        <v>0</v>
      </c>
      <c r="BE665" s="377">
        <f t="shared" si="283"/>
        <v>0</v>
      </c>
      <c r="BF665" s="377">
        <f t="shared" si="284"/>
        <v>0</v>
      </c>
      <c r="BG665" s="328"/>
    </row>
    <row r="666" spans="2:59">
      <c r="B666" s="332">
        <v>651</v>
      </c>
      <c r="C666" s="350">
        <v>3948590.5103273964</v>
      </c>
      <c r="D666" s="350">
        <v>3934361.0467947675</v>
      </c>
      <c r="E666" s="350">
        <v>3918972.579605273</v>
      </c>
      <c r="F666" s="350">
        <v>3900510.8190674745</v>
      </c>
      <c r="G666" s="350">
        <v>3877279.9129862403</v>
      </c>
      <c r="H666" s="348">
        <v>19579714.868781153</v>
      </c>
      <c r="I666" s="369"/>
      <c r="J666" s="350">
        <v>13421524.374991164</v>
      </c>
      <c r="K666" s="350">
        <v>13141590.508300792</v>
      </c>
      <c r="L666" s="350">
        <v>12853579.001434401</v>
      </c>
      <c r="M666" s="350">
        <v>12537379.377031751</v>
      </c>
      <c r="N666" s="350">
        <v>12176102.684298657</v>
      </c>
      <c r="O666" s="348">
        <v>64130175.946056768</v>
      </c>
      <c r="P666" s="369"/>
      <c r="Q666" s="350">
        <f t="shared" si="285"/>
        <v>9472933.8646637667</v>
      </c>
      <c r="R666" s="350">
        <f t="shared" si="286"/>
        <v>9207229.461506024</v>
      </c>
      <c r="S666" s="350">
        <f t="shared" si="287"/>
        <v>8934606.4218291268</v>
      </c>
      <c r="T666" s="350">
        <f t="shared" si="288"/>
        <v>8636868.5579642765</v>
      </c>
      <c r="U666" s="350">
        <f t="shared" si="289"/>
        <v>8298822.7713124165</v>
      </c>
      <c r="V666" s="350">
        <f t="shared" si="290"/>
        <v>44550461.077275619</v>
      </c>
      <c r="W666" s="365"/>
      <c r="X666" s="377">
        <f t="shared" si="268"/>
        <v>0</v>
      </c>
      <c r="Y666" s="377">
        <f t="shared" si="269"/>
        <v>0</v>
      </c>
      <c r="Z666" s="377">
        <f t="shared" si="270"/>
        <v>0</v>
      </c>
      <c r="AA666" s="377">
        <f t="shared" si="271"/>
        <v>0</v>
      </c>
      <c r="AB666" s="377">
        <f t="shared" si="272"/>
        <v>0</v>
      </c>
      <c r="AC666" s="377">
        <f t="shared" si="273"/>
        <v>0</v>
      </c>
      <c r="AD666" s="376"/>
      <c r="AE666" s="332">
        <v>651</v>
      </c>
      <c r="AF666" s="350">
        <v>316349.30367554643</v>
      </c>
      <c r="AG666" s="350">
        <v>315209.28146548168</v>
      </c>
      <c r="AH666" s="350">
        <v>313976.40333661571</v>
      </c>
      <c r="AI666" s="350">
        <v>312497.30210404115</v>
      </c>
      <c r="AJ666" s="350">
        <v>310636.11114404444</v>
      </c>
      <c r="AK666" s="348">
        <v>1568668.4017257295</v>
      </c>
      <c r="AL666" s="369"/>
      <c r="AM666" s="350">
        <v>9056493.3693221491</v>
      </c>
      <c r="AN666" s="350">
        <v>8976542.486727275</v>
      </c>
      <c r="AO666" s="350">
        <v>8888916.4403914753</v>
      </c>
      <c r="AP666" s="350">
        <v>8776526.7889378481</v>
      </c>
      <c r="AQ666" s="350">
        <v>8624750.8050972763</v>
      </c>
      <c r="AR666" s="348">
        <v>44323229.890476026</v>
      </c>
      <c r="AS666" s="369"/>
      <c r="AT666" s="350">
        <f t="shared" si="291"/>
        <v>8740144.0656466018</v>
      </c>
      <c r="AU666" s="350">
        <f t="shared" si="274"/>
        <v>8661333.205261793</v>
      </c>
      <c r="AV666" s="350">
        <f t="shared" si="275"/>
        <v>8574940.0370548591</v>
      </c>
      <c r="AW666" s="350">
        <f t="shared" si="276"/>
        <v>8464029.4868338071</v>
      </c>
      <c r="AX666" s="350">
        <f t="shared" si="277"/>
        <v>8314114.6939532319</v>
      </c>
      <c r="AY666" s="350">
        <f t="shared" si="278"/>
        <v>42754561.488750294</v>
      </c>
      <c r="AZ666" s="365"/>
      <c r="BA666" s="377">
        <f t="shared" si="279"/>
        <v>0</v>
      </c>
      <c r="BB666" s="377">
        <f t="shared" si="280"/>
        <v>0</v>
      </c>
      <c r="BC666" s="377">
        <f t="shared" si="281"/>
        <v>0</v>
      </c>
      <c r="BD666" s="377">
        <f t="shared" si="282"/>
        <v>0</v>
      </c>
      <c r="BE666" s="377">
        <f t="shared" si="283"/>
        <v>0</v>
      </c>
      <c r="BF666" s="377">
        <f t="shared" si="284"/>
        <v>0</v>
      </c>
      <c r="BG666" s="328"/>
    </row>
    <row r="667" spans="2:59">
      <c r="B667" s="332">
        <v>652</v>
      </c>
      <c r="C667" s="350">
        <v>5323781.3529336201</v>
      </c>
      <c r="D667" s="350">
        <v>5304596.1392683573</v>
      </c>
      <c r="E667" s="350">
        <v>5283848.2712735906</v>
      </c>
      <c r="F667" s="350">
        <v>5258956.7622056343</v>
      </c>
      <c r="G667" s="350">
        <v>5227635.1388862375</v>
      </c>
      <c r="H667" s="348">
        <v>26398817.664567441</v>
      </c>
      <c r="I667" s="369"/>
      <c r="J667" s="350">
        <v>18611076.063703783</v>
      </c>
      <c r="K667" s="350">
        <v>18229935.419665843</v>
      </c>
      <c r="L667" s="350">
        <v>17837450.247458581</v>
      </c>
      <c r="M667" s="350">
        <v>17405507.061438862</v>
      </c>
      <c r="N667" s="350">
        <v>16910478.377315845</v>
      </c>
      <c r="O667" s="348">
        <v>88994447.169582918</v>
      </c>
      <c r="P667" s="369"/>
      <c r="Q667" s="350">
        <f t="shared" si="285"/>
        <v>13287294.710770164</v>
      </c>
      <c r="R667" s="350">
        <f t="shared" si="286"/>
        <v>12925339.280397486</v>
      </c>
      <c r="S667" s="350">
        <f t="shared" si="287"/>
        <v>12553601.97618499</v>
      </c>
      <c r="T667" s="350">
        <f t="shared" si="288"/>
        <v>12146550.299233228</v>
      </c>
      <c r="U667" s="350">
        <f t="shared" si="289"/>
        <v>11682843.238429608</v>
      </c>
      <c r="V667" s="350">
        <f t="shared" si="290"/>
        <v>62595629.505015478</v>
      </c>
      <c r="W667" s="365"/>
      <c r="X667" s="377">
        <f t="shared" si="268"/>
        <v>0</v>
      </c>
      <c r="Y667" s="377">
        <f t="shared" si="269"/>
        <v>0</v>
      </c>
      <c r="Z667" s="377">
        <f t="shared" si="270"/>
        <v>0</v>
      </c>
      <c r="AA667" s="377">
        <f t="shared" si="271"/>
        <v>0</v>
      </c>
      <c r="AB667" s="377">
        <f t="shared" si="272"/>
        <v>0</v>
      </c>
      <c r="AC667" s="377">
        <f t="shared" si="273"/>
        <v>0</v>
      </c>
      <c r="AD667" s="376"/>
      <c r="AE667" s="332">
        <v>652</v>
      </c>
      <c r="AF667" s="350">
        <v>416571.80645890214</v>
      </c>
      <c r="AG667" s="350">
        <v>415070.61424531986</v>
      </c>
      <c r="AH667" s="350">
        <v>413447.14846455707</v>
      </c>
      <c r="AI667" s="350">
        <v>411499.45373208792</v>
      </c>
      <c r="AJ667" s="350">
        <v>409048.61957072688</v>
      </c>
      <c r="AK667" s="348">
        <v>2065637.6424715938</v>
      </c>
      <c r="AL667" s="369"/>
      <c r="AM667" s="350">
        <v>11165518.170854436</v>
      </c>
      <c r="AN667" s="350">
        <v>11065716.824778309</v>
      </c>
      <c r="AO667" s="350">
        <v>10956478.122955089</v>
      </c>
      <c r="AP667" s="350">
        <v>10816773.952558873</v>
      </c>
      <c r="AQ667" s="350">
        <v>10628612.815310849</v>
      </c>
      <c r="AR667" s="348">
        <v>54633099.886457562</v>
      </c>
      <c r="AS667" s="369"/>
      <c r="AT667" s="350">
        <f t="shared" si="291"/>
        <v>10748946.364395535</v>
      </c>
      <c r="AU667" s="350">
        <f t="shared" si="274"/>
        <v>10650646.210532989</v>
      </c>
      <c r="AV667" s="350">
        <f t="shared" si="275"/>
        <v>10543030.974490533</v>
      </c>
      <c r="AW667" s="350">
        <f t="shared" si="276"/>
        <v>10405274.498826785</v>
      </c>
      <c r="AX667" s="350">
        <f t="shared" si="277"/>
        <v>10219564.195740122</v>
      </c>
      <c r="AY667" s="350">
        <f t="shared" si="278"/>
        <v>52567462.243985966</v>
      </c>
      <c r="AZ667" s="365"/>
      <c r="BA667" s="377">
        <f t="shared" si="279"/>
        <v>0</v>
      </c>
      <c r="BB667" s="377">
        <f t="shared" si="280"/>
        <v>0</v>
      </c>
      <c r="BC667" s="377">
        <f t="shared" si="281"/>
        <v>0</v>
      </c>
      <c r="BD667" s="377">
        <f t="shared" si="282"/>
        <v>0</v>
      </c>
      <c r="BE667" s="377">
        <f t="shared" si="283"/>
        <v>0</v>
      </c>
      <c r="BF667" s="377">
        <f t="shared" si="284"/>
        <v>0</v>
      </c>
      <c r="BG667" s="328"/>
    </row>
    <row r="668" spans="2:59">
      <c r="B668" s="332">
        <v>653</v>
      </c>
      <c r="C668" s="350">
        <v>4330796.9934871029</v>
      </c>
      <c r="D668" s="350">
        <v>4315190.1794290571</v>
      </c>
      <c r="E668" s="350">
        <v>4298312.1751730237</v>
      </c>
      <c r="F668" s="350">
        <v>4278063.3960650209</v>
      </c>
      <c r="G668" s="350">
        <v>4252583.8387522399</v>
      </c>
      <c r="H668" s="348">
        <v>21474946.582906444</v>
      </c>
      <c r="I668" s="369"/>
      <c r="J668" s="350">
        <v>13493440.974598218</v>
      </c>
      <c r="K668" s="350">
        <v>13195255.805201236</v>
      </c>
      <c r="L668" s="350">
        <v>12889291.776151508</v>
      </c>
      <c r="M668" s="350">
        <v>12555871.661339713</v>
      </c>
      <c r="N668" s="350">
        <v>12178512.137260785</v>
      </c>
      <c r="O668" s="348">
        <v>64312372.354551464</v>
      </c>
      <c r="P668" s="369"/>
      <c r="Q668" s="350">
        <f t="shared" si="285"/>
        <v>9162643.9811111148</v>
      </c>
      <c r="R668" s="350">
        <f t="shared" si="286"/>
        <v>8880065.6257721782</v>
      </c>
      <c r="S668" s="350">
        <f t="shared" si="287"/>
        <v>8590979.6009784844</v>
      </c>
      <c r="T668" s="350">
        <f t="shared" si="288"/>
        <v>8277808.2652746923</v>
      </c>
      <c r="U668" s="350">
        <f t="shared" si="289"/>
        <v>7925928.2985085454</v>
      </c>
      <c r="V668" s="350">
        <f t="shared" si="290"/>
        <v>42837425.771645024</v>
      </c>
      <c r="W668" s="365"/>
      <c r="X668" s="377">
        <f t="shared" si="268"/>
        <v>0</v>
      </c>
      <c r="Y668" s="377">
        <f t="shared" si="269"/>
        <v>0</v>
      </c>
      <c r="Z668" s="377">
        <f t="shared" si="270"/>
        <v>0</v>
      </c>
      <c r="AA668" s="377">
        <f t="shared" si="271"/>
        <v>0</v>
      </c>
      <c r="AB668" s="377">
        <f t="shared" si="272"/>
        <v>0</v>
      </c>
      <c r="AC668" s="377">
        <f t="shared" si="273"/>
        <v>0</v>
      </c>
      <c r="AD668" s="376"/>
      <c r="AE668" s="332">
        <v>653</v>
      </c>
      <c r="AF668" s="350">
        <v>481370.00756280142</v>
      </c>
      <c r="AG668" s="350">
        <v>479635.3032549221</v>
      </c>
      <c r="AH668" s="350">
        <v>477759.30559246178</v>
      </c>
      <c r="AI668" s="350">
        <v>475508.64480946615</v>
      </c>
      <c r="AJ668" s="350">
        <v>472676.58070791757</v>
      </c>
      <c r="AK668" s="348">
        <v>2386949.8419275689</v>
      </c>
      <c r="AL668" s="369"/>
      <c r="AM668" s="350">
        <v>17149559.157187633</v>
      </c>
      <c r="AN668" s="350">
        <v>17003622.254647043</v>
      </c>
      <c r="AO668" s="350">
        <v>16843040.019225199</v>
      </c>
      <c r="AP668" s="350">
        <v>16635277.103049599</v>
      </c>
      <c r="AQ668" s="350">
        <v>16352481.913898885</v>
      </c>
      <c r="AR668" s="348">
        <v>83983980.448008358</v>
      </c>
      <c r="AS668" s="369"/>
      <c r="AT668" s="350">
        <f t="shared" si="291"/>
        <v>16668189.149624832</v>
      </c>
      <c r="AU668" s="350">
        <f t="shared" si="274"/>
        <v>16523986.95139212</v>
      </c>
      <c r="AV668" s="350">
        <f t="shared" si="275"/>
        <v>16365280.713632736</v>
      </c>
      <c r="AW668" s="350">
        <f t="shared" si="276"/>
        <v>16159768.458240133</v>
      </c>
      <c r="AX668" s="350">
        <f t="shared" si="277"/>
        <v>15879805.333190968</v>
      </c>
      <c r="AY668" s="350">
        <f t="shared" si="278"/>
        <v>81597030.606080785</v>
      </c>
      <c r="AZ668" s="365"/>
      <c r="BA668" s="377">
        <f t="shared" si="279"/>
        <v>0</v>
      </c>
      <c r="BB668" s="377">
        <f t="shared" si="280"/>
        <v>0</v>
      </c>
      <c r="BC668" s="377">
        <f t="shared" si="281"/>
        <v>0</v>
      </c>
      <c r="BD668" s="377">
        <f t="shared" si="282"/>
        <v>0</v>
      </c>
      <c r="BE668" s="377">
        <f t="shared" si="283"/>
        <v>0</v>
      </c>
      <c r="BF668" s="377">
        <f t="shared" si="284"/>
        <v>0</v>
      </c>
      <c r="BG668" s="328"/>
    </row>
    <row r="669" spans="2:59">
      <c r="B669" s="332">
        <v>654</v>
      </c>
      <c r="C669" s="350">
        <v>4805349.6669317978</v>
      </c>
      <c r="D669" s="350">
        <v>4788032.7160683703</v>
      </c>
      <c r="E669" s="350">
        <v>4769305.2826993689</v>
      </c>
      <c r="F669" s="350">
        <v>4746837.7174709011</v>
      </c>
      <c r="G669" s="350">
        <v>4718566.2047607303</v>
      </c>
      <c r="H669" s="348">
        <v>23828091.587931171</v>
      </c>
      <c r="I669" s="369"/>
      <c r="J669" s="350">
        <v>18031988.732158419</v>
      </c>
      <c r="K669" s="350">
        <v>17679075.102507334</v>
      </c>
      <c r="L669" s="350">
        <v>17314835.701782033</v>
      </c>
      <c r="M669" s="350">
        <v>16911503.180183008</v>
      </c>
      <c r="N669" s="350">
        <v>16445700.464486815</v>
      </c>
      <c r="O669" s="348">
        <v>86383103.181117594</v>
      </c>
      <c r="P669" s="369"/>
      <c r="Q669" s="350">
        <f t="shared" si="285"/>
        <v>13226639.065226622</v>
      </c>
      <c r="R669" s="350">
        <f t="shared" si="286"/>
        <v>12891042.386438964</v>
      </c>
      <c r="S669" s="350">
        <f t="shared" si="287"/>
        <v>12545530.419082664</v>
      </c>
      <c r="T669" s="350">
        <f t="shared" si="288"/>
        <v>12164665.462712107</v>
      </c>
      <c r="U669" s="350">
        <f t="shared" si="289"/>
        <v>11727134.259726085</v>
      </c>
      <c r="V669" s="350">
        <f t="shared" si="290"/>
        <v>62555011.593186423</v>
      </c>
      <c r="W669" s="365"/>
      <c r="X669" s="377">
        <f t="shared" si="268"/>
        <v>0</v>
      </c>
      <c r="Y669" s="377">
        <f t="shared" si="269"/>
        <v>0</v>
      </c>
      <c r="Z669" s="377">
        <f t="shared" si="270"/>
        <v>0</v>
      </c>
      <c r="AA669" s="377">
        <f t="shared" si="271"/>
        <v>0</v>
      </c>
      <c r="AB669" s="377">
        <f t="shared" si="272"/>
        <v>0</v>
      </c>
      <c r="AC669" s="377">
        <f t="shared" si="273"/>
        <v>0</v>
      </c>
      <c r="AD669" s="376"/>
      <c r="AE669" s="332">
        <v>654</v>
      </c>
      <c r="AF669" s="350">
        <v>410824.80253674166</v>
      </c>
      <c r="AG669" s="350">
        <v>409344.32069627073</v>
      </c>
      <c r="AH669" s="350">
        <v>407743.25216867012</v>
      </c>
      <c r="AI669" s="350">
        <v>405822.42773585435</v>
      </c>
      <c r="AJ669" s="350">
        <v>403405.40516068198</v>
      </c>
      <c r="AK669" s="348">
        <v>2037140.2082982189</v>
      </c>
      <c r="AL669" s="369"/>
      <c r="AM669" s="350">
        <v>10970400.944611292</v>
      </c>
      <c r="AN669" s="350">
        <v>10872272.519130079</v>
      </c>
      <c r="AO669" s="350">
        <v>10764873.107511144</v>
      </c>
      <c r="AP669" s="350">
        <v>10627544.359294333</v>
      </c>
      <c r="AQ669" s="350">
        <v>10442611.283251027</v>
      </c>
      <c r="AR669" s="348">
        <v>53677702.213797875</v>
      </c>
      <c r="AS669" s="369"/>
      <c r="AT669" s="350">
        <f t="shared" si="291"/>
        <v>10559576.142074551</v>
      </c>
      <c r="AU669" s="350">
        <f t="shared" si="274"/>
        <v>10462928.198433809</v>
      </c>
      <c r="AV669" s="350">
        <f t="shared" si="275"/>
        <v>10357129.855342474</v>
      </c>
      <c r="AW669" s="350">
        <f t="shared" si="276"/>
        <v>10221721.931558479</v>
      </c>
      <c r="AX669" s="350">
        <f t="shared" si="277"/>
        <v>10039205.878090344</v>
      </c>
      <c r="AY669" s="350">
        <f t="shared" si="278"/>
        <v>51640562.005499654</v>
      </c>
      <c r="AZ669" s="365"/>
      <c r="BA669" s="377">
        <f t="shared" si="279"/>
        <v>0</v>
      </c>
      <c r="BB669" s="377">
        <f t="shared" si="280"/>
        <v>0</v>
      </c>
      <c r="BC669" s="377">
        <f t="shared" si="281"/>
        <v>0</v>
      </c>
      <c r="BD669" s="377">
        <f t="shared" si="282"/>
        <v>0</v>
      </c>
      <c r="BE669" s="377">
        <f t="shared" si="283"/>
        <v>0</v>
      </c>
      <c r="BF669" s="377">
        <f t="shared" si="284"/>
        <v>0</v>
      </c>
      <c r="BG669" s="328"/>
    </row>
    <row r="670" spans="2:59">
      <c r="B670" s="332">
        <v>655</v>
      </c>
      <c r="C670" s="350">
        <v>4692062.0391432168</v>
      </c>
      <c r="D670" s="350">
        <v>4675153.3408357603</v>
      </c>
      <c r="E670" s="350">
        <v>4656867.4125908371</v>
      </c>
      <c r="F670" s="350">
        <v>4634929.5272698356</v>
      </c>
      <c r="G670" s="350">
        <v>4607324.5243520662</v>
      </c>
      <c r="H670" s="348">
        <v>23266336.844191715</v>
      </c>
      <c r="I670" s="369"/>
      <c r="J670" s="350">
        <v>16087211.791086329</v>
      </c>
      <c r="K670" s="350">
        <v>15753571.004582185</v>
      </c>
      <c r="L670" s="350">
        <v>15410209.629150789</v>
      </c>
      <c r="M670" s="350">
        <v>15032961.897540703</v>
      </c>
      <c r="N670" s="350">
        <v>14601528.474168159</v>
      </c>
      <c r="O670" s="348">
        <v>76885482.796528161</v>
      </c>
      <c r="P670" s="369"/>
      <c r="Q670" s="350">
        <f t="shared" si="285"/>
        <v>11395149.751943111</v>
      </c>
      <c r="R670" s="350">
        <f t="shared" si="286"/>
        <v>11078417.663746424</v>
      </c>
      <c r="S670" s="350">
        <f t="shared" si="287"/>
        <v>10753342.216559952</v>
      </c>
      <c r="T670" s="350">
        <f t="shared" si="288"/>
        <v>10398032.370270867</v>
      </c>
      <c r="U670" s="350">
        <f t="shared" si="289"/>
        <v>9994203.9498160928</v>
      </c>
      <c r="V670" s="350">
        <f t="shared" si="290"/>
        <v>53619145.952336445</v>
      </c>
      <c r="W670" s="365"/>
      <c r="X670" s="377">
        <f t="shared" si="268"/>
        <v>0</v>
      </c>
      <c r="Y670" s="377">
        <f t="shared" si="269"/>
        <v>0</v>
      </c>
      <c r="Z670" s="377">
        <f t="shared" si="270"/>
        <v>0</v>
      </c>
      <c r="AA670" s="377">
        <f t="shared" si="271"/>
        <v>0</v>
      </c>
      <c r="AB670" s="377">
        <f t="shared" si="272"/>
        <v>0</v>
      </c>
      <c r="AC670" s="377">
        <f t="shared" si="273"/>
        <v>0</v>
      </c>
      <c r="AD670" s="376"/>
      <c r="AE670" s="332">
        <v>655</v>
      </c>
      <c r="AF670" s="350">
        <v>451593.52782459761</v>
      </c>
      <c r="AG670" s="350">
        <v>449966.1284731215</v>
      </c>
      <c r="AH670" s="350">
        <v>448206.17586022301</v>
      </c>
      <c r="AI670" s="350">
        <v>446094.73595544888</v>
      </c>
      <c r="AJ670" s="350">
        <v>443437.85705034412</v>
      </c>
      <c r="AK670" s="348">
        <v>2239298.4251637347</v>
      </c>
      <c r="AL670" s="369"/>
      <c r="AM670" s="350">
        <v>14326613.407183779</v>
      </c>
      <c r="AN670" s="350">
        <v>14202404.019795198</v>
      </c>
      <c r="AO670" s="350">
        <v>14066006.890629265</v>
      </c>
      <c r="AP670" s="350">
        <v>13890316.347201897</v>
      </c>
      <c r="AQ670" s="350">
        <v>13652133.342470266</v>
      </c>
      <c r="AR670" s="348">
        <v>70137474.007280409</v>
      </c>
      <c r="AS670" s="369"/>
      <c r="AT670" s="350">
        <f t="shared" si="291"/>
        <v>13875019.879359182</v>
      </c>
      <c r="AU670" s="350">
        <f t="shared" si="274"/>
        <v>13752437.891322076</v>
      </c>
      <c r="AV670" s="350">
        <f t="shared" si="275"/>
        <v>13617800.714769043</v>
      </c>
      <c r="AW670" s="350">
        <f t="shared" si="276"/>
        <v>13444221.611246448</v>
      </c>
      <c r="AX670" s="350">
        <f t="shared" si="277"/>
        <v>13208695.485419922</v>
      </c>
      <c r="AY670" s="350">
        <f t="shared" si="278"/>
        <v>67898175.582116678</v>
      </c>
      <c r="AZ670" s="365"/>
      <c r="BA670" s="377">
        <f t="shared" si="279"/>
        <v>0</v>
      </c>
      <c r="BB670" s="377">
        <f t="shared" si="280"/>
        <v>0</v>
      </c>
      <c r="BC670" s="377">
        <f t="shared" si="281"/>
        <v>0</v>
      </c>
      <c r="BD670" s="377">
        <f t="shared" si="282"/>
        <v>0</v>
      </c>
      <c r="BE670" s="377">
        <f t="shared" si="283"/>
        <v>0</v>
      </c>
      <c r="BF670" s="377">
        <f t="shared" si="284"/>
        <v>0</v>
      </c>
      <c r="BG670" s="328"/>
    </row>
    <row r="671" spans="2:59">
      <c r="B671" s="332">
        <v>656</v>
      </c>
      <c r="C671" s="350">
        <v>6294578.6168089285</v>
      </c>
      <c r="D671" s="350">
        <v>6271894.9587676916</v>
      </c>
      <c r="E671" s="350">
        <v>6247363.6946968492</v>
      </c>
      <c r="F671" s="350">
        <v>6217933.1921400679</v>
      </c>
      <c r="G671" s="350">
        <v>6180900.0370723093</v>
      </c>
      <c r="H671" s="348">
        <v>31212670.499485847</v>
      </c>
      <c r="I671" s="369"/>
      <c r="J671" s="350">
        <v>23062609.883922871</v>
      </c>
      <c r="K671" s="350">
        <v>22604343.998754665</v>
      </c>
      <c r="L671" s="350">
        <v>22131733.445414316</v>
      </c>
      <c r="M671" s="350">
        <v>21609486.945089914</v>
      </c>
      <c r="N671" s="350">
        <v>21007909.832537487</v>
      </c>
      <c r="O671" s="348">
        <v>110416084.10571925</v>
      </c>
      <c r="P671" s="369"/>
      <c r="Q671" s="350">
        <f t="shared" si="285"/>
        <v>16768031.267113943</v>
      </c>
      <c r="R671" s="350">
        <f t="shared" si="286"/>
        <v>16332449.039986974</v>
      </c>
      <c r="S671" s="350">
        <f t="shared" si="287"/>
        <v>15884369.750717467</v>
      </c>
      <c r="T671" s="350">
        <f t="shared" si="288"/>
        <v>15391553.752949845</v>
      </c>
      <c r="U671" s="350">
        <f t="shared" si="289"/>
        <v>14827009.795465179</v>
      </c>
      <c r="V671" s="350">
        <f t="shared" si="290"/>
        <v>79203413.606233403</v>
      </c>
      <c r="W671" s="365"/>
      <c r="X671" s="377">
        <f t="shared" si="268"/>
        <v>0</v>
      </c>
      <c r="Y671" s="377">
        <f t="shared" si="269"/>
        <v>0</v>
      </c>
      <c r="Z671" s="377">
        <f t="shared" si="270"/>
        <v>0</v>
      </c>
      <c r="AA671" s="377">
        <f t="shared" si="271"/>
        <v>0</v>
      </c>
      <c r="AB671" s="377">
        <f t="shared" si="272"/>
        <v>0</v>
      </c>
      <c r="AC671" s="377">
        <f t="shared" si="273"/>
        <v>0</v>
      </c>
      <c r="AD671" s="376"/>
      <c r="AE671" s="332">
        <v>656</v>
      </c>
      <c r="AF671" s="350">
        <v>351477.7946809259</v>
      </c>
      <c r="AG671" s="350">
        <v>350211.18056916626</v>
      </c>
      <c r="AH671" s="350">
        <v>348841.39950497705</v>
      </c>
      <c r="AI671" s="350">
        <v>347198.05389525089</v>
      </c>
      <c r="AJ671" s="350">
        <v>345130.19002926734</v>
      </c>
      <c r="AK671" s="348">
        <v>1742858.6186795873</v>
      </c>
      <c r="AL671" s="369"/>
      <c r="AM671" s="350">
        <v>9673647.8518309575</v>
      </c>
      <c r="AN671" s="350">
        <v>9587619.0799050648</v>
      </c>
      <c r="AO671" s="350">
        <v>9493404.9776753224</v>
      </c>
      <c r="AP671" s="350">
        <v>9372772.9475370329</v>
      </c>
      <c r="AQ671" s="350">
        <v>9210122.4448681977</v>
      </c>
      <c r="AR671" s="348">
        <v>47337567.301816575</v>
      </c>
      <c r="AS671" s="369"/>
      <c r="AT671" s="350">
        <f t="shared" si="291"/>
        <v>9322170.0571500324</v>
      </c>
      <c r="AU671" s="350">
        <f t="shared" si="274"/>
        <v>9237407.8993358985</v>
      </c>
      <c r="AV671" s="350">
        <f t="shared" si="275"/>
        <v>9144563.5781703461</v>
      </c>
      <c r="AW671" s="350">
        <f t="shared" si="276"/>
        <v>9025574.8936417811</v>
      </c>
      <c r="AX671" s="350">
        <f t="shared" si="277"/>
        <v>8864992.2548389304</v>
      </c>
      <c r="AY671" s="350">
        <f t="shared" si="278"/>
        <v>45594708.683136985</v>
      </c>
      <c r="AZ671" s="365"/>
      <c r="BA671" s="377">
        <f t="shared" si="279"/>
        <v>0</v>
      </c>
      <c r="BB671" s="377">
        <f t="shared" si="280"/>
        <v>0</v>
      </c>
      <c r="BC671" s="377">
        <f t="shared" si="281"/>
        <v>0</v>
      </c>
      <c r="BD671" s="377">
        <f t="shared" si="282"/>
        <v>0</v>
      </c>
      <c r="BE671" s="377">
        <f t="shared" si="283"/>
        <v>0</v>
      </c>
      <c r="BF671" s="377">
        <f t="shared" si="284"/>
        <v>0</v>
      </c>
      <c r="BG671" s="328"/>
    </row>
    <row r="672" spans="2:59">
      <c r="B672" s="332">
        <v>657</v>
      </c>
      <c r="C672" s="350">
        <v>6159282.0096932482</v>
      </c>
      <c r="D672" s="350">
        <v>6137085.9175649611</v>
      </c>
      <c r="E672" s="350">
        <v>6113081.9321253179</v>
      </c>
      <c r="F672" s="350">
        <v>6084284.0131589621</v>
      </c>
      <c r="G672" s="350">
        <v>6048046.8542231908</v>
      </c>
      <c r="H672" s="348">
        <v>30541780.726765681</v>
      </c>
      <c r="I672" s="369"/>
      <c r="J672" s="350">
        <v>20795345.945353735</v>
      </c>
      <c r="K672" s="350">
        <v>20359698.319952302</v>
      </c>
      <c r="L672" s="350">
        <v>19911574.329316154</v>
      </c>
      <c r="M672" s="350">
        <v>19419876.669118155</v>
      </c>
      <c r="N672" s="350">
        <v>18858494.339361984</v>
      </c>
      <c r="O672" s="348">
        <v>99344989.603102326</v>
      </c>
      <c r="P672" s="369"/>
      <c r="Q672" s="350">
        <f t="shared" si="285"/>
        <v>14636063.935660487</v>
      </c>
      <c r="R672" s="350">
        <f t="shared" si="286"/>
        <v>14222612.40238734</v>
      </c>
      <c r="S672" s="350">
        <f t="shared" si="287"/>
        <v>13798492.397190835</v>
      </c>
      <c r="T672" s="350">
        <f t="shared" si="288"/>
        <v>13335592.655959193</v>
      </c>
      <c r="U672" s="350">
        <f t="shared" si="289"/>
        <v>12810447.485138793</v>
      </c>
      <c r="V672" s="350">
        <f t="shared" si="290"/>
        <v>68803208.876336649</v>
      </c>
      <c r="W672" s="365"/>
      <c r="X672" s="377">
        <f t="shared" si="268"/>
        <v>0</v>
      </c>
      <c r="Y672" s="377">
        <f t="shared" si="269"/>
        <v>0</v>
      </c>
      <c r="Z672" s="377">
        <f t="shared" si="270"/>
        <v>0</v>
      </c>
      <c r="AA672" s="377">
        <f t="shared" si="271"/>
        <v>0</v>
      </c>
      <c r="AB672" s="377">
        <f t="shared" si="272"/>
        <v>0</v>
      </c>
      <c r="AC672" s="377">
        <f t="shared" si="273"/>
        <v>0</v>
      </c>
      <c r="AD672" s="376"/>
      <c r="AE672" s="332">
        <v>657</v>
      </c>
      <c r="AF672" s="350">
        <v>681193.43649268011</v>
      </c>
      <c r="AG672" s="350">
        <v>678738.63214214356</v>
      </c>
      <c r="AH672" s="350">
        <v>676083.8815875469</v>
      </c>
      <c r="AI672" s="350">
        <v>672898.94000610022</v>
      </c>
      <c r="AJ672" s="350">
        <v>668891.24644939299</v>
      </c>
      <c r="AK672" s="348">
        <v>3377806.136677864</v>
      </c>
      <c r="AL672" s="369"/>
      <c r="AM672" s="350">
        <v>19063849.066476051</v>
      </c>
      <c r="AN672" s="350">
        <v>18894844.10933781</v>
      </c>
      <c r="AO672" s="350">
        <v>18709697.46845318</v>
      </c>
      <c r="AP672" s="350">
        <v>18472461.002822362</v>
      </c>
      <c r="AQ672" s="350">
        <v>18152374.98103274</v>
      </c>
      <c r="AR672" s="348">
        <v>93293226.628122136</v>
      </c>
      <c r="AS672" s="369"/>
      <c r="AT672" s="350">
        <f t="shared" si="291"/>
        <v>18382655.629983369</v>
      </c>
      <c r="AU672" s="350">
        <f t="shared" si="274"/>
        <v>18216105.477195665</v>
      </c>
      <c r="AV672" s="350">
        <f t="shared" si="275"/>
        <v>18033613.586865634</v>
      </c>
      <c r="AW672" s="350">
        <f t="shared" si="276"/>
        <v>17799562.062816262</v>
      </c>
      <c r="AX672" s="350">
        <f t="shared" si="277"/>
        <v>17483483.734583348</v>
      </c>
      <c r="AY672" s="350">
        <f t="shared" si="278"/>
        <v>89915420.491444275</v>
      </c>
      <c r="AZ672" s="365"/>
      <c r="BA672" s="377">
        <f t="shared" si="279"/>
        <v>0</v>
      </c>
      <c r="BB672" s="377">
        <f t="shared" si="280"/>
        <v>0</v>
      </c>
      <c r="BC672" s="377">
        <f t="shared" si="281"/>
        <v>0</v>
      </c>
      <c r="BD672" s="377">
        <f t="shared" si="282"/>
        <v>0</v>
      </c>
      <c r="BE672" s="377">
        <f t="shared" si="283"/>
        <v>0</v>
      </c>
      <c r="BF672" s="377">
        <f t="shared" si="284"/>
        <v>0</v>
      </c>
      <c r="BG672" s="328"/>
    </row>
    <row r="673" spans="2:59">
      <c r="B673" s="332">
        <v>658</v>
      </c>
      <c r="C673" s="350">
        <v>7381296.6146488078</v>
      </c>
      <c r="D673" s="350">
        <v>7354696.7707989709</v>
      </c>
      <c r="E673" s="350">
        <v>7325930.343773081</v>
      </c>
      <c r="F673" s="350">
        <v>7291418.8566483241</v>
      </c>
      <c r="G673" s="350">
        <v>7247992.1685771877</v>
      </c>
      <c r="H673" s="348">
        <v>36601334.754446372</v>
      </c>
      <c r="I673" s="369"/>
      <c r="J673" s="350">
        <v>26644559.750180118</v>
      </c>
      <c r="K673" s="350">
        <v>26110057.73625382</v>
      </c>
      <c r="L673" s="350">
        <v>25559086.468868479</v>
      </c>
      <c r="M673" s="350">
        <v>24951036.884787753</v>
      </c>
      <c r="N673" s="350">
        <v>24251752.206657641</v>
      </c>
      <c r="O673" s="348">
        <v>127516493.0467478</v>
      </c>
      <c r="P673" s="369"/>
      <c r="Q673" s="350">
        <f t="shared" si="285"/>
        <v>19263263.13553131</v>
      </c>
      <c r="R673" s="350">
        <f t="shared" si="286"/>
        <v>18755360.96545485</v>
      </c>
      <c r="S673" s="350">
        <f t="shared" si="287"/>
        <v>18233156.125095397</v>
      </c>
      <c r="T673" s="350">
        <f t="shared" si="288"/>
        <v>17659618.028139427</v>
      </c>
      <c r="U673" s="350">
        <f t="shared" si="289"/>
        <v>17003760.038080454</v>
      </c>
      <c r="V673" s="350">
        <f t="shared" si="290"/>
        <v>90915158.292301431</v>
      </c>
      <c r="W673" s="365"/>
      <c r="X673" s="377">
        <f t="shared" si="268"/>
        <v>0</v>
      </c>
      <c r="Y673" s="377">
        <f t="shared" si="269"/>
        <v>0</v>
      </c>
      <c r="Z673" s="377">
        <f t="shared" si="270"/>
        <v>0</v>
      </c>
      <c r="AA673" s="377">
        <f t="shared" si="271"/>
        <v>0</v>
      </c>
      <c r="AB673" s="377">
        <f t="shared" si="272"/>
        <v>0</v>
      </c>
      <c r="AC673" s="377">
        <f t="shared" si="273"/>
        <v>0</v>
      </c>
      <c r="AD673" s="376"/>
      <c r="AE673" s="332">
        <v>658</v>
      </c>
      <c r="AF673" s="350">
        <v>435360.42885462235</v>
      </c>
      <c r="AG673" s="350">
        <v>433791.5284255367</v>
      </c>
      <c r="AH673" s="350">
        <v>432094.83952920482</v>
      </c>
      <c r="AI673" s="350">
        <v>430059.2979950484</v>
      </c>
      <c r="AJ673" s="350">
        <v>427497.92395341129</v>
      </c>
      <c r="AK673" s="348">
        <v>2158804.0187578234</v>
      </c>
      <c r="AL673" s="369"/>
      <c r="AM673" s="350">
        <v>13747801.659336552</v>
      </c>
      <c r="AN673" s="350">
        <v>13628517.134630784</v>
      </c>
      <c r="AO673" s="350">
        <v>13497539.173019463</v>
      </c>
      <c r="AP673" s="350">
        <v>13328860.217090784</v>
      </c>
      <c r="AQ673" s="350">
        <v>13100221.252580127</v>
      </c>
      <c r="AR673" s="348">
        <v>67302939.436657712</v>
      </c>
      <c r="AS673" s="369"/>
      <c r="AT673" s="350">
        <f t="shared" si="291"/>
        <v>13312441.23048193</v>
      </c>
      <c r="AU673" s="350">
        <f t="shared" si="274"/>
        <v>13194725.606205247</v>
      </c>
      <c r="AV673" s="350">
        <f t="shared" si="275"/>
        <v>13065444.333490258</v>
      </c>
      <c r="AW673" s="350">
        <f t="shared" si="276"/>
        <v>12898800.919095736</v>
      </c>
      <c r="AX673" s="350">
        <f t="shared" si="277"/>
        <v>12672723.328626715</v>
      </c>
      <c r="AY673" s="350">
        <f t="shared" si="278"/>
        <v>65144135.417899892</v>
      </c>
      <c r="AZ673" s="365"/>
      <c r="BA673" s="377">
        <f t="shared" si="279"/>
        <v>0</v>
      </c>
      <c r="BB673" s="377">
        <f t="shared" si="280"/>
        <v>0</v>
      </c>
      <c r="BC673" s="377">
        <f t="shared" si="281"/>
        <v>0</v>
      </c>
      <c r="BD673" s="377">
        <f t="shared" si="282"/>
        <v>0</v>
      </c>
      <c r="BE673" s="377">
        <f t="shared" si="283"/>
        <v>0</v>
      </c>
      <c r="BF673" s="377">
        <f t="shared" si="284"/>
        <v>0</v>
      </c>
      <c r="BG673" s="328"/>
    </row>
    <row r="674" spans="2:59">
      <c r="B674" s="332">
        <v>659</v>
      </c>
      <c r="C674" s="350">
        <v>6011950.964552368</v>
      </c>
      <c r="D674" s="350">
        <v>5990285.8066216325</v>
      </c>
      <c r="E674" s="350">
        <v>5966856.0004867846</v>
      </c>
      <c r="F674" s="350">
        <v>5938746.9325086642</v>
      </c>
      <c r="G674" s="350">
        <v>5903376.5724125197</v>
      </c>
      <c r="H674" s="348">
        <v>29811216.276581973</v>
      </c>
      <c r="I674" s="369"/>
      <c r="J674" s="350">
        <v>20032452.621272277</v>
      </c>
      <c r="K674" s="350">
        <v>19609139.063418031</v>
      </c>
      <c r="L674" s="350">
        <v>19173881.337789927</v>
      </c>
      <c r="M674" s="350">
        <v>18696840.786356315</v>
      </c>
      <c r="N674" s="350">
        <v>18152972.354021136</v>
      </c>
      <c r="O674" s="348">
        <v>95665286.162857682</v>
      </c>
      <c r="P674" s="369"/>
      <c r="Q674" s="350">
        <f t="shared" si="285"/>
        <v>14020501.656719908</v>
      </c>
      <c r="R674" s="350">
        <f t="shared" si="286"/>
        <v>13618853.256796397</v>
      </c>
      <c r="S674" s="350">
        <f t="shared" si="287"/>
        <v>13207025.337303143</v>
      </c>
      <c r="T674" s="350">
        <f t="shared" si="288"/>
        <v>12758093.853847651</v>
      </c>
      <c r="U674" s="350">
        <f t="shared" si="289"/>
        <v>12249595.781608615</v>
      </c>
      <c r="V674" s="350">
        <f t="shared" si="290"/>
        <v>65854069.886275709</v>
      </c>
      <c r="W674" s="365"/>
      <c r="X674" s="377">
        <f t="shared" si="268"/>
        <v>0</v>
      </c>
      <c r="Y674" s="377">
        <f t="shared" si="269"/>
        <v>0</v>
      </c>
      <c r="Z674" s="377">
        <f t="shared" si="270"/>
        <v>0</v>
      </c>
      <c r="AA674" s="377">
        <f t="shared" si="271"/>
        <v>0</v>
      </c>
      <c r="AB674" s="377">
        <f t="shared" si="272"/>
        <v>0</v>
      </c>
      <c r="AC674" s="377">
        <f t="shared" si="273"/>
        <v>0</v>
      </c>
      <c r="AD674" s="376"/>
      <c r="AE674" s="332">
        <v>659</v>
      </c>
      <c r="AF674" s="350">
        <v>514431.06704620947</v>
      </c>
      <c r="AG674" s="350">
        <v>512577.22120186593</v>
      </c>
      <c r="AH674" s="350">
        <v>510572.37780881388</v>
      </c>
      <c r="AI674" s="350">
        <v>508167.13899051363</v>
      </c>
      <c r="AJ674" s="350">
        <v>505140.56538847456</v>
      </c>
      <c r="AK674" s="348">
        <v>2550888.3704358777</v>
      </c>
      <c r="AL674" s="369"/>
      <c r="AM674" s="350">
        <v>14772420.548011899</v>
      </c>
      <c r="AN674" s="350">
        <v>14642082.636046523</v>
      </c>
      <c r="AO674" s="350">
        <v>14499223.951063063</v>
      </c>
      <c r="AP674" s="350">
        <v>14315968.46367497</v>
      </c>
      <c r="AQ674" s="350">
        <v>14068462.269006476</v>
      </c>
      <c r="AR674" s="348">
        <v>72298157.867802918</v>
      </c>
      <c r="AS674" s="369"/>
      <c r="AT674" s="350">
        <f t="shared" si="291"/>
        <v>14257989.480965689</v>
      </c>
      <c r="AU674" s="350">
        <f t="shared" si="274"/>
        <v>14129505.414844658</v>
      </c>
      <c r="AV674" s="350">
        <f t="shared" si="275"/>
        <v>13988651.57325425</v>
      </c>
      <c r="AW674" s="350">
        <f t="shared" si="276"/>
        <v>13807801.324684456</v>
      </c>
      <c r="AX674" s="350">
        <f t="shared" si="277"/>
        <v>13563321.703618001</v>
      </c>
      <c r="AY674" s="350">
        <f t="shared" si="278"/>
        <v>69747269.497367039</v>
      </c>
      <c r="AZ674" s="365"/>
      <c r="BA674" s="377">
        <f t="shared" si="279"/>
        <v>0</v>
      </c>
      <c r="BB674" s="377">
        <f t="shared" si="280"/>
        <v>0</v>
      </c>
      <c r="BC674" s="377">
        <f t="shared" si="281"/>
        <v>0</v>
      </c>
      <c r="BD674" s="377">
        <f t="shared" si="282"/>
        <v>0</v>
      </c>
      <c r="BE674" s="377">
        <f t="shared" si="283"/>
        <v>0</v>
      </c>
      <c r="BF674" s="377">
        <f t="shared" si="284"/>
        <v>0</v>
      </c>
      <c r="BG674" s="328"/>
    </row>
    <row r="675" spans="2:59">
      <c r="B675" s="332">
        <v>660</v>
      </c>
      <c r="C675" s="350">
        <v>5627113.9149827352</v>
      </c>
      <c r="D675" s="350">
        <v>5606835.5873015597</v>
      </c>
      <c r="E675" s="350">
        <v>5584905.570090156</v>
      </c>
      <c r="F675" s="350">
        <v>5558595.8199791703</v>
      </c>
      <c r="G675" s="350">
        <v>5525489.5876348782</v>
      </c>
      <c r="H675" s="348">
        <v>27902940.4799885</v>
      </c>
      <c r="I675" s="369"/>
      <c r="J675" s="350">
        <v>17933517.224679511</v>
      </c>
      <c r="K675" s="350">
        <v>17543186.479391031</v>
      </c>
      <c r="L675" s="350">
        <v>17142395.22583035</v>
      </c>
      <c r="M675" s="350">
        <v>16704798.434543369</v>
      </c>
      <c r="N675" s="350">
        <v>16208311.952836962</v>
      </c>
      <c r="O675" s="348">
        <v>85532209.317281216</v>
      </c>
      <c r="P675" s="369"/>
      <c r="Q675" s="350">
        <f t="shared" si="285"/>
        <v>12306403.309696775</v>
      </c>
      <c r="R675" s="350">
        <f t="shared" si="286"/>
        <v>11936350.892089471</v>
      </c>
      <c r="S675" s="350">
        <f t="shared" si="287"/>
        <v>11557489.655740194</v>
      </c>
      <c r="T675" s="350">
        <f t="shared" si="288"/>
        <v>11146202.614564199</v>
      </c>
      <c r="U675" s="350">
        <f t="shared" si="289"/>
        <v>10682822.365202084</v>
      </c>
      <c r="V675" s="350">
        <f t="shared" si="290"/>
        <v>57629268.837292716</v>
      </c>
      <c r="W675" s="365"/>
      <c r="X675" s="377">
        <f t="shared" si="268"/>
        <v>0</v>
      </c>
      <c r="Y675" s="377">
        <f t="shared" si="269"/>
        <v>0</v>
      </c>
      <c r="Z675" s="377">
        <f t="shared" si="270"/>
        <v>0</v>
      </c>
      <c r="AA675" s="377">
        <f t="shared" si="271"/>
        <v>0</v>
      </c>
      <c r="AB675" s="377">
        <f t="shared" si="272"/>
        <v>0</v>
      </c>
      <c r="AC675" s="377">
        <f t="shared" si="273"/>
        <v>0</v>
      </c>
      <c r="AD675" s="376"/>
      <c r="AE675" s="332">
        <v>660</v>
      </c>
      <c r="AF675" s="350">
        <v>423368.07522633049</v>
      </c>
      <c r="AG675" s="350">
        <v>421842.39142307069</v>
      </c>
      <c r="AH675" s="350">
        <v>420192.43918880873</v>
      </c>
      <c r="AI675" s="350">
        <v>418212.96828552452</v>
      </c>
      <c r="AJ675" s="350">
        <v>415722.14935465489</v>
      </c>
      <c r="AK675" s="348">
        <v>2099338.0234783893</v>
      </c>
      <c r="AL675" s="369"/>
      <c r="AM675" s="350">
        <v>17629809.622735456</v>
      </c>
      <c r="AN675" s="350">
        <v>17483102.456637565</v>
      </c>
      <c r="AO675" s="350">
        <v>17321272.111532323</v>
      </c>
      <c r="AP675" s="350">
        <v>17110765.019191738</v>
      </c>
      <c r="AQ675" s="350">
        <v>16822851.416059516</v>
      </c>
      <c r="AR675" s="348">
        <v>86367800.626156598</v>
      </c>
      <c r="AS675" s="369"/>
      <c r="AT675" s="350">
        <f t="shared" si="291"/>
        <v>17206441.547509126</v>
      </c>
      <c r="AU675" s="350">
        <f t="shared" si="274"/>
        <v>17061260.065214496</v>
      </c>
      <c r="AV675" s="350">
        <f t="shared" si="275"/>
        <v>16901079.672343515</v>
      </c>
      <c r="AW675" s="350">
        <f t="shared" si="276"/>
        <v>16692552.050906213</v>
      </c>
      <c r="AX675" s="350">
        <f t="shared" si="277"/>
        <v>16407129.266704861</v>
      </c>
      <c r="AY675" s="350">
        <f t="shared" si="278"/>
        <v>84268462.60267821</v>
      </c>
      <c r="AZ675" s="365"/>
      <c r="BA675" s="377">
        <f t="shared" si="279"/>
        <v>0</v>
      </c>
      <c r="BB675" s="377">
        <f t="shared" si="280"/>
        <v>0</v>
      </c>
      <c r="BC675" s="377">
        <f t="shared" si="281"/>
        <v>0</v>
      </c>
      <c r="BD675" s="377">
        <f t="shared" si="282"/>
        <v>0</v>
      </c>
      <c r="BE675" s="377">
        <f t="shared" si="283"/>
        <v>0</v>
      </c>
      <c r="BF675" s="377">
        <f t="shared" si="284"/>
        <v>0</v>
      </c>
      <c r="BG675" s="328"/>
    </row>
    <row r="676" spans="2:59">
      <c r="B676" s="332">
        <v>661</v>
      </c>
      <c r="C676" s="350">
        <v>5447191.8030374264</v>
      </c>
      <c r="D676" s="350">
        <v>5427561.8573862314</v>
      </c>
      <c r="E676" s="350">
        <v>5406333.0335523374</v>
      </c>
      <c r="F676" s="350">
        <v>5380864.514999168</v>
      </c>
      <c r="G676" s="350">
        <v>5348816.8258676017</v>
      </c>
      <c r="H676" s="348">
        <v>27010768.034842767</v>
      </c>
      <c r="I676" s="369"/>
      <c r="J676" s="350">
        <v>18858139.565179616</v>
      </c>
      <c r="K676" s="350">
        <v>18469492.454163183</v>
      </c>
      <c r="L676" s="350">
        <v>18069400.179135781</v>
      </c>
      <c r="M676" s="350">
        <v>17629455.068612244</v>
      </c>
      <c r="N676" s="350">
        <v>17125788.448194358</v>
      </c>
      <c r="O676" s="348">
        <v>90152275.715285182</v>
      </c>
      <c r="P676" s="369"/>
      <c r="Q676" s="350">
        <f t="shared" si="285"/>
        <v>13410947.762142189</v>
      </c>
      <c r="R676" s="350">
        <f t="shared" si="286"/>
        <v>13041930.596776951</v>
      </c>
      <c r="S676" s="350">
        <f t="shared" si="287"/>
        <v>12663067.145583443</v>
      </c>
      <c r="T676" s="350">
        <f t="shared" si="288"/>
        <v>12248590.553613076</v>
      </c>
      <c r="U676" s="350">
        <f t="shared" si="289"/>
        <v>11776971.622326758</v>
      </c>
      <c r="V676" s="350">
        <f t="shared" si="290"/>
        <v>63141507.680442415</v>
      </c>
      <c r="W676" s="365"/>
      <c r="X676" s="377">
        <f t="shared" si="268"/>
        <v>0</v>
      </c>
      <c r="Y676" s="377">
        <f t="shared" si="269"/>
        <v>0</v>
      </c>
      <c r="Z676" s="377">
        <f t="shared" si="270"/>
        <v>0</v>
      </c>
      <c r="AA676" s="377">
        <f t="shared" si="271"/>
        <v>0</v>
      </c>
      <c r="AB676" s="377">
        <f t="shared" si="272"/>
        <v>0</v>
      </c>
      <c r="AC676" s="377">
        <f t="shared" si="273"/>
        <v>0</v>
      </c>
      <c r="AD676" s="376"/>
      <c r="AE676" s="332">
        <v>661</v>
      </c>
      <c r="AF676" s="350">
        <v>440114.30944247457</v>
      </c>
      <c r="AG676" s="350">
        <v>438528.27754070604</v>
      </c>
      <c r="AH676" s="350">
        <v>436813.06179656414</v>
      </c>
      <c r="AI676" s="350">
        <v>434755.2933424958</v>
      </c>
      <c r="AJ676" s="350">
        <v>432165.95059831295</v>
      </c>
      <c r="AK676" s="348">
        <v>2182376.8927205536</v>
      </c>
      <c r="AL676" s="369"/>
      <c r="AM676" s="350">
        <v>12996925.074438037</v>
      </c>
      <c r="AN676" s="350">
        <v>12882831.82765604</v>
      </c>
      <c r="AO676" s="350">
        <v>12757710.847379215</v>
      </c>
      <c r="AP676" s="350">
        <v>12597017.809364021</v>
      </c>
      <c r="AQ676" s="350">
        <v>12379748.647647327</v>
      </c>
      <c r="AR676" s="348">
        <v>63614234.206484638</v>
      </c>
      <c r="AS676" s="369"/>
      <c r="AT676" s="350">
        <f t="shared" si="291"/>
        <v>12556810.764995562</v>
      </c>
      <c r="AU676" s="350">
        <f t="shared" si="274"/>
        <v>12444303.550115334</v>
      </c>
      <c r="AV676" s="350">
        <f t="shared" si="275"/>
        <v>12320897.78558265</v>
      </c>
      <c r="AW676" s="350">
        <f t="shared" si="276"/>
        <v>12162262.516021525</v>
      </c>
      <c r="AX676" s="350">
        <f t="shared" si="277"/>
        <v>11947582.697049014</v>
      </c>
      <c r="AY676" s="350">
        <f t="shared" si="278"/>
        <v>61431857.313764088</v>
      </c>
      <c r="AZ676" s="365"/>
      <c r="BA676" s="377">
        <f t="shared" si="279"/>
        <v>0</v>
      </c>
      <c r="BB676" s="377">
        <f t="shared" si="280"/>
        <v>0</v>
      </c>
      <c r="BC676" s="377">
        <f t="shared" si="281"/>
        <v>0</v>
      </c>
      <c r="BD676" s="377">
        <f t="shared" si="282"/>
        <v>0</v>
      </c>
      <c r="BE676" s="377">
        <f t="shared" si="283"/>
        <v>0</v>
      </c>
      <c r="BF676" s="377">
        <f t="shared" si="284"/>
        <v>0</v>
      </c>
      <c r="BG676" s="328"/>
    </row>
    <row r="677" spans="2:59">
      <c r="B677" s="332">
        <v>662</v>
      </c>
      <c r="C677" s="350">
        <v>5777729.2140349932</v>
      </c>
      <c r="D677" s="350">
        <v>5756908.1167504098</v>
      </c>
      <c r="E677" s="350">
        <v>5734391.120823022</v>
      </c>
      <c r="F677" s="350">
        <v>5707377.1640901621</v>
      </c>
      <c r="G677" s="350">
        <v>5673384.8105191868</v>
      </c>
      <c r="H677" s="348">
        <v>28649790.42621778</v>
      </c>
      <c r="I677" s="369"/>
      <c r="J677" s="350">
        <v>19619376.382256255</v>
      </c>
      <c r="K677" s="350">
        <v>19209907.041883737</v>
      </c>
      <c r="L677" s="350">
        <v>18788635.371159315</v>
      </c>
      <c r="M677" s="350">
        <v>18326172.788075246</v>
      </c>
      <c r="N677" s="350">
        <v>17797839.174545512</v>
      </c>
      <c r="O677" s="348">
        <v>93741930.757920071</v>
      </c>
      <c r="P677" s="369"/>
      <c r="Q677" s="350">
        <f t="shared" si="285"/>
        <v>13841647.168221261</v>
      </c>
      <c r="R677" s="350">
        <f t="shared" si="286"/>
        <v>13452998.925133327</v>
      </c>
      <c r="S677" s="350">
        <f t="shared" si="287"/>
        <v>13054244.250336293</v>
      </c>
      <c r="T677" s="350">
        <f t="shared" si="288"/>
        <v>12618795.623985084</v>
      </c>
      <c r="U677" s="350">
        <f t="shared" si="289"/>
        <v>12124454.364026325</v>
      </c>
      <c r="V677" s="350">
        <f t="shared" si="290"/>
        <v>65092140.331702292</v>
      </c>
      <c r="W677" s="365"/>
      <c r="X677" s="377">
        <f t="shared" si="268"/>
        <v>0</v>
      </c>
      <c r="Y677" s="377">
        <f t="shared" si="269"/>
        <v>0</v>
      </c>
      <c r="Z677" s="377">
        <f t="shared" si="270"/>
        <v>0</v>
      </c>
      <c r="AA677" s="377">
        <f t="shared" si="271"/>
        <v>0</v>
      </c>
      <c r="AB677" s="377">
        <f t="shared" si="272"/>
        <v>0</v>
      </c>
      <c r="AC677" s="377">
        <f t="shared" si="273"/>
        <v>0</v>
      </c>
      <c r="AD677" s="376"/>
      <c r="AE677" s="332">
        <v>662</v>
      </c>
      <c r="AF677" s="350">
        <v>593805.05423461972</v>
      </c>
      <c r="AG677" s="350">
        <v>591665.16980177641</v>
      </c>
      <c r="AH677" s="350">
        <v>589350.98969873821</v>
      </c>
      <c r="AI677" s="350">
        <v>586574.63527840981</v>
      </c>
      <c r="AJ677" s="350">
        <v>583081.07741025242</v>
      </c>
      <c r="AK677" s="348">
        <v>2944476.9264237965</v>
      </c>
      <c r="AL677" s="369"/>
      <c r="AM677" s="350">
        <v>18525903.674393672</v>
      </c>
      <c r="AN677" s="350">
        <v>18364830.384427007</v>
      </c>
      <c r="AO677" s="350">
        <v>18188006.316313475</v>
      </c>
      <c r="AP677" s="350">
        <v>17960395.573741339</v>
      </c>
      <c r="AQ677" s="350">
        <v>17652012.737485982</v>
      </c>
      <c r="AR677" s="348">
        <v>90691148.686361462</v>
      </c>
      <c r="AS677" s="369"/>
      <c r="AT677" s="350">
        <f t="shared" si="291"/>
        <v>17932098.620159052</v>
      </c>
      <c r="AU677" s="350">
        <f t="shared" si="274"/>
        <v>17773165.214625232</v>
      </c>
      <c r="AV677" s="350">
        <f t="shared" si="275"/>
        <v>17598655.326614738</v>
      </c>
      <c r="AW677" s="350">
        <f t="shared" si="276"/>
        <v>17373820.938462928</v>
      </c>
      <c r="AX677" s="350">
        <f t="shared" si="277"/>
        <v>17068931.660075732</v>
      </c>
      <c r="AY677" s="350">
        <f t="shared" si="278"/>
        <v>87746671.759937659</v>
      </c>
      <c r="AZ677" s="365"/>
      <c r="BA677" s="377">
        <f t="shared" si="279"/>
        <v>0</v>
      </c>
      <c r="BB677" s="377">
        <f t="shared" si="280"/>
        <v>0</v>
      </c>
      <c r="BC677" s="377">
        <f t="shared" si="281"/>
        <v>0</v>
      </c>
      <c r="BD677" s="377">
        <f t="shared" si="282"/>
        <v>0</v>
      </c>
      <c r="BE677" s="377">
        <f t="shared" si="283"/>
        <v>0</v>
      </c>
      <c r="BF677" s="377">
        <f t="shared" si="284"/>
        <v>0</v>
      </c>
      <c r="BG677" s="328"/>
    </row>
    <row r="678" spans="2:59">
      <c r="B678" s="332">
        <v>663</v>
      </c>
      <c r="C678" s="350">
        <v>6271413.6121802451</v>
      </c>
      <c r="D678" s="350">
        <v>6248813.433443265</v>
      </c>
      <c r="E678" s="350">
        <v>6224372.4481472764</v>
      </c>
      <c r="F678" s="350">
        <v>6195050.2543065296</v>
      </c>
      <c r="G678" s="350">
        <v>6158153.3868698869</v>
      </c>
      <c r="H678" s="348">
        <v>31097803.134947203</v>
      </c>
      <c r="I678" s="369"/>
      <c r="J678" s="350">
        <v>27045808.855906367</v>
      </c>
      <c r="K678" s="350">
        <v>26559909.378837246</v>
      </c>
      <c r="L678" s="350">
        <v>26056135.800575167</v>
      </c>
      <c r="M678" s="350">
        <v>25491437.859025225</v>
      </c>
      <c r="N678" s="350">
        <v>24829466.545799155</v>
      </c>
      <c r="O678" s="348">
        <v>129982758.44014315</v>
      </c>
      <c r="P678" s="369"/>
      <c r="Q678" s="350">
        <f t="shared" si="285"/>
        <v>20774395.243726123</v>
      </c>
      <c r="R678" s="350">
        <f t="shared" si="286"/>
        <v>20311095.94539398</v>
      </c>
      <c r="S678" s="350">
        <f t="shared" si="287"/>
        <v>19831763.352427892</v>
      </c>
      <c r="T678" s="350">
        <f t="shared" si="288"/>
        <v>19296387.604718696</v>
      </c>
      <c r="U678" s="350">
        <f t="shared" si="289"/>
        <v>18671313.158929266</v>
      </c>
      <c r="V678" s="350">
        <f t="shared" si="290"/>
        <v>98884955.305195957</v>
      </c>
      <c r="W678" s="365"/>
      <c r="X678" s="377">
        <f t="shared" si="268"/>
        <v>0</v>
      </c>
      <c r="Y678" s="377">
        <f t="shared" si="269"/>
        <v>0</v>
      </c>
      <c r="Z678" s="377">
        <f t="shared" si="270"/>
        <v>0</v>
      </c>
      <c r="AA678" s="377">
        <f t="shared" si="271"/>
        <v>0</v>
      </c>
      <c r="AB678" s="377">
        <f t="shared" si="272"/>
        <v>0</v>
      </c>
      <c r="AC678" s="377">
        <f t="shared" si="273"/>
        <v>0</v>
      </c>
      <c r="AD678" s="376"/>
      <c r="AE678" s="332">
        <v>663</v>
      </c>
      <c r="AF678" s="350">
        <v>336017.93063310394</v>
      </c>
      <c r="AG678" s="350">
        <v>334807.02895116253</v>
      </c>
      <c r="AH678" s="350">
        <v>333497.49814843549</v>
      </c>
      <c r="AI678" s="350">
        <v>331926.43562485144</v>
      </c>
      <c r="AJ678" s="350">
        <v>329949.52741729439</v>
      </c>
      <c r="AK678" s="348">
        <v>1666198.4207748477</v>
      </c>
      <c r="AL678" s="369"/>
      <c r="AM678" s="350">
        <v>12140343.619021302</v>
      </c>
      <c r="AN678" s="350">
        <v>12037253.75486449</v>
      </c>
      <c r="AO678" s="350">
        <v>11923791.814815465</v>
      </c>
      <c r="AP678" s="350">
        <v>11776918.586669296</v>
      </c>
      <c r="AQ678" s="350">
        <v>11576911.125825441</v>
      </c>
      <c r="AR678" s="348">
        <v>59455218.901195996</v>
      </c>
      <c r="AS678" s="369"/>
      <c r="AT678" s="350">
        <f t="shared" si="291"/>
        <v>11804325.688388199</v>
      </c>
      <c r="AU678" s="350">
        <f t="shared" si="274"/>
        <v>11702446.725913327</v>
      </c>
      <c r="AV678" s="350">
        <f t="shared" si="275"/>
        <v>11590294.31666703</v>
      </c>
      <c r="AW678" s="350">
        <f t="shared" si="276"/>
        <v>11444992.151044445</v>
      </c>
      <c r="AX678" s="350">
        <f t="shared" si="277"/>
        <v>11246961.598408146</v>
      </c>
      <c r="AY678" s="350">
        <f t="shared" si="278"/>
        <v>57789020.480421148</v>
      </c>
      <c r="AZ678" s="365"/>
      <c r="BA678" s="377">
        <f t="shared" si="279"/>
        <v>0</v>
      </c>
      <c r="BB678" s="377">
        <f t="shared" si="280"/>
        <v>0</v>
      </c>
      <c r="BC678" s="377">
        <f t="shared" si="281"/>
        <v>0</v>
      </c>
      <c r="BD678" s="377">
        <f t="shared" si="282"/>
        <v>0</v>
      </c>
      <c r="BE678" s="377">
        <f t="shared" si="283"/>
        <v>0</v>
      </c>
      <c r="BF678" s="377">
        <f t="shared" si="284"/>
        <v>0</v>
      </c>
      <c r="BG678" s="328"/>
    </row>
    <row r="679" spans="2:59">
      <c r="B679" s="332">
        <v>664</v>
      </c>
      <c r="C679" s="350">
        <v>6156314.5684500374</v>
      </c>
      <c r="D679" s="350">
        <v>6134129.1700355811</v>
      </c>
      <c r="E679" s="350">
        <v>6110136.7493231706</v>
      </c>
      <c r="F679" s="350">
        <v>6081352.7047227453</v>
      </c>
      <c r="G679" s="350">
        <v>6045133.0042569358</v>
      </c>
      <c r="H679" s="348">
        <v>30527066.196788467</v>
      </c>
      <c r="I679" s="369"/>
      <c r="J679" s="350">
        <v>19044985.195097633</v>
      </c>
      <c r="K679" s="350">
        <v>18622090.734203231</v>
      </c>
      <c r="L679" s="350">
        <v>18188258.412118793</v>
      </c>
      <c r="M679" s="350">
        <v>17715780.800628509</v>
      </c>
      <c r="N679" s="350">
        <v>17181452.991721943</v>
      </c>
      <c r="O679" s="348">
        <v>90752568.133770108</v>
      </c>
      <c r="P679" s="369"/>
      <c r="Q679" s="350">
        <f t="shared" si="285"/>
        <v>12888670.626647595</v>
      </c>
      <c r="R679" s="350">
        <f t="shared" si="286"/>
        <v>12487961.564167649</v>
      </c>
      <c r="S679" s="350">
        <f t="shared" si="287"/>
        <v>12078121.662795622</v>
      </c>
      <c r="T679" s="350">
        <f t="shared" si="288"/>
        <v>11634428.095905764</v>
      </c>
      <c r="U679" s="350">
        <f t="shared" si="289"/>
        <v>11136319.987465007</v>
      </c>
      <c r="V679" s="350">
        <f t="shared" si="290"/>
        <v>60225501.936981641</v>
      </c>
      <c r="W679" s="365"/>
      <c r="X679" s="377">
        <f t="shared" si="268"/>
        <v>0</v>
      </c>
      <c r="Y679" s="377">
        <f t="shared" si="269"/>
        <v>0</v>
      </c>
      <c r="Z679" s="377">
        <f t="shared" si="270"/>
        <v>0</v>
      </c>
      <c r="AA679" s="377">
        <f t="shared" si="271"/>
        <v>0</v>
      </c>
      <c r="AB679" s="377">
        <f t="shared" si="272"/>
        <v>0</v>
      </c>
      <c r="AC679" s="377">
        <f t="shared" si="273"/>
        <v>0</v>
      </c>
      <c r="AD679" s="376"/>
      <c r="AE679" s="332">
        <v>664</v>
      </c>
      <c r="AF679" s="350">
        <v>695624.92018010409</v>
      </c>
      <c r="AG679" s="350">
        <v>693118.10935527901</v>
      </c>
      <c r="AH679" s="350">
        <v>690407.11634843529</v>
      </c>
      <c r="AI679" s="350">
        <v>687154.69990593474</v>
      </c>
      <c r="AJ679" s="350">
        <v>683062.10100356606</v>
      </c>
      <c r="AK679" s="348">
        <v>3449366.9467933187</v>
      </c>
      <c r="AL679" s="369"/>
      <c r="AM679" s="350">
        <v>21914676.8546842</v>
      </c>
      <c r="AN679" s="350">
        <v>21724455.377730317</v>
      </c>
      <c r="AO679" s="350">
        <v>21515595.5357567</v>
      </c>
      <c r="AP679" s="350">
        <v>21246642.449627947</v>
      </c>
      <c r="AQ679" s="350">
        <v>20882116.399931934</v>
      </c>
      <c r="AR679" s="348">
        <v>107283486.61773109</v>
      </c>
      <c r="AS679" s="369"/>
      <c r="AT679" s="350">
        <f t="shared" si="291"/>
        <v>21219051.934504095</v>
      </c>
      <c r="AU679" s="350">
        <f t="shared" si="274"/>
        <v>21031337.268375039</v>
      </c>
      <c r="AV679" s="350">
        <f t="shared" si="275"/>
        <v>20825188.419408266</v>
      </c>
      <c r="AW679" s="350">
        <f t="shared" si="276"/>
        <v>20559487.749722011</v>
      </c>
      <c r="AX679" s="350">
        <f t="shared" si="277"/>
        <v>20199054.298928369</v>
      </c>
      <c r="AY679" s="350">
        <f t="shared" si="278"/>
        <v>103834119.67093778</v>
      </c>
      <c r="AZ679" s="365"/>
      <c r="BA679" s="377">
        <f t="shared" si="279"/>
        <v>0</v>
      </c>
      <c r="BB679" s="377">
        <f t="shared" si="280"/>
        <v>0</v>
      </c>
      <c r="BC679" s="377">
        <f t="shared" si="281"/>
        <v>0</v>
      </c>
      <c r="BD679" s="377">
        <f t="shared" si="282"/>
        <v>0</v>
      </c>
      <c r="BE679" s="377">
        <f t="shared" si="283"/>
        <v>0</v>
      </c>
      <c r="BF679" s="377">
        <f t="shared" si="284"/>
        <v>0</v>
      </c>
      <c r="BG679" s="328"/>
    </row>
    <row r="680" spans="2:59">
      <c r="B680" s="332">
        <v>665</v>
      </c>
      <c r="C680" s="350">
        <v>5052243.4220914794</v>
      </c>
      <c r="D680" s="350">
        <v>5034036.7447101222</v>
      </c>
      <c r="E680" s="350">
        <v>5014347.1157321744</v>
      </c>
      <c r="F680" s="350">
        <v>4990725.190897637</v>
      </c>
      <c r="G680" s="350">
        <v>4961001.1179325711</v>
      </c>
      <c r="H680" s="348">
        <v>25052353.591363981</v>
      </c>
      <c r="I680" s="369"/>
      <c r="J680" s="350">
        <v>15994605.995900188</v>
      </c>
      <c r="K680" s="350">
        <v>15644921.562949322</v>
      </c>
      <c r="L680" s="350">
        <v>15285939.328196622</v>
      </c>
      <c r="M680" s="350">
        <v>14894212.81638228</v>
      </c>
      <c r="N680" s="350">
        <v>14450091.59093082</v>
      </c>
      <c r="O680" s="348">
        <v>76269771.294359237</v>
      </c>
      <c r="P680" s="369"/>
      <c r="Q680" s="350">
        <f t="shared" si="285"/>
        <v>10942362.573808707</v>
      </c>
      <c r="R680" s="350">
        <f t="shared" si="286"/>
        <v>10610884.818239201</v>
      </c>
      <c r="S680" s="350">
        <f t="shared" si="287"/>
        <v>10271592.212464448</v>
      </c>
      <c r="T680" s="350">
        <f t="shared" si="288"/>
        <v>9903487.6254846416</v>
      </c>
      <c r="U680" s="350">
        <f t="shared" si="289"/>
        <v>9489090.4729982484</v>
      </c>
      <c r="V680" s="350">
        <f t="shared" si="290"/>
        <v>51217417.702995256</v>
      </c>
      <c r="W680" s="365"/>
      <c r="X680" s="377">
        <f t="shared" si="268"/>
        <v>0</v>
      </c>
      <c r="Y680" s="377">
        <f t="shared" si="269"/>
        <v>0</v>
      </c>
      <c r="Z680" s="377">
        <f t="shared" si="270"/>
        <v>0</v>
      </c>
      <c r="AA680" s="377">
        <f t="shared" si="271"/>
        <v>0</v>
      </c>
      <c r="AB680" s="377">
        <f t="shared" si="272"/>
        <v>0</v>
      </c>
      <c r="AC680" s="377">
        <f t="shared" si="273"/>
        <v>0</v>
      </c>
      <c r="AD680" s="376"/>
      <c r="AE680" s="332">
        <v>665</v>
      </c>
      <c r="AF680" s="350">
        <v>373797.73894646234</v>
      </c>
      <c r="AG680" s="350">
        <v>372450.69085904834</v>
      </c>
      <c r="AH680" s="350">
        <v>370993.92439358664</v>
      </c>
      <c r="AI680" s="350">
        <v>369246.22117443779</v>
      </c>
      <c r="AJ680" s="350">
        <v>367047.04145597084</v>
      </c>
      <c r="AK680" s="348">
        <v>1853535.6168295059</v>
      </c>
      <c r="AL680" s="369"/>
      <c r="AM680" s="350">
        <v>11960250.084301677</v>
      </c>
      <c r="AN680" s="350">
        <v>11856705.375700876</v>
      </c>
      <c r="AO680" s="350">
        <v>11742982.969355287</v>
      </c>
      <c r="AP680" s="350">
        <v>11596449.503531743</v>
      </c>
      <c r="AQ680" s="350">
        <v>11397733.373077465</v>
      </c>
      <c r="AR680" s="348">
        <v>58554121.305967048</v>
      </c>
      <c r="AS680" s="369"/>
      <c r="AT680" s="350">
        <f t="shared" si="291"/>
        <v>11586452.345355215</v>
      </c>
      <c r="AU680" s="350">
        <f t="shared" si="274"/>
        <v>11484254.684841828</v>
      </c>
      <c r="AV680" s="350">
        <f t="shared" si="275"/>
        <v>11371989.0449617</v>
      </c>
      <c r="AW680" s="350">
        <f t="shared" si="276"/>
        <v>11227203.282357305</v>
      </c>
      <c r="AX680" s="350">
        <f t="shared" si="277"/>
        <v>11030686.331621494</v>
      </c>
      <c r="AY680" s="350">
        <f t="shared" si="278"/>
        <v>56700585.689137541</v>
      </c>
      <c r="AZ680" s="365"/>
      <c r="BA680" s="377">
        <f t="shared" si="279"/>
        <v>0</v>
      </c>
      <c r="BB680" s="377">
        <f t="shared" si="280"/>
        <v>0</v>
      </c>
      <c r="BC680" s="377">
        <f t="shared" si="281"/>
        <v>0</v>
      </c>
      <c r="BD680" s="377">
        <f t="shared" si="282"/>
        <v>0</v>
      </c>
      <c r="BE680" s="377">
        <f t="shared" si="283"/>
        <v>0</v>
      </c>
      <c r="BF680" s="377">
        <f t="shared" si="284"/>
        <v>0</v>
      </c>
      <c r="BG680" s="328"/>
    </row>
    <row r="681" spans="2:59">
      <c r="B681" s="332">
        <v>666</v>
      </c>
      <c r="C681" s="350">
        <v>7264294.6365837324</v>
      </c>
      <c r="D681" s="350">
        <v>7238116.4306261428</v>
      </c>
      <c r="E681" s="350">
        <v>7209805.9843092803</v>
      </c>
      <c r="F681" s="350">
        <v>7175841.5436548591</v>
      </c>
      <c r="G681" s="350">
        <v>7133103.2181669399</v>
      </c>
      <c r="H681" s="348">
        <v>36021161.813340954</v>
      </c>
      <c r="I681" s="369"/>
      <c r="J681" s="350">
        <v>24067057.704681456</v>
      </c>
      <c r="K681" s="350">
        <v>23556561.145893943</v>
      </c>
      <c r="L681" s="350">
        <v>23031754.155608758</v>
      </c>
      <c r="M681" s="350">
        <v>22456850.67627522</v>
      </c>
      <c r="N681" s="350">
        <v>21801818.54014682</v>
      </c>
      <c r="O681" s="348">
        <v>114914042.22260621</v>
      </c>
      <c r="P681" s="369"/>
      <c r="Q681" s="350">
        <f t="shared" si="285"/>
        <v>16802763.068097726</v>
      </c>
      <c r="R681" s="350">
        <f t="shared" si="286"/>
        <v>16318444.7152678</v>
      </c>
      <c r="S681" s="350">
        <f t="shared" si="287"/>
        <v>15821948.171299478</v>
      </c>
      <c r="T681" s="350">
        <f t="shared" si="288"/>
        <v>15281009.132620361</v>
      </c>
      <c r="U681" s="350">
        <f t="shared" si="289"/>
        <v>14668715.32197988</v>
      </c>
      <c r="V681" s="350">
        <f t="shared" si="290"/>
        <v>78892880.40926525</v>
      </c>
      <c r="W681" s="365"/>
      <c r="X681" s="377">
        <f t="shared" si="268"/>
        <v>0</v>
      </c>
      <c r="Y681" s="377">
        <f t="shared" si="269"/>
        <v>0</v>
      </c>
      <c r="Z681" s="377">
        <f t="shared" si="270"/>
        <v>0</v>
      </c>
      <c r="AA681" s="377">
        <f t="shared" si="271"/>
        <v>0</v>
      </c>
      <c r="AB681" s="377">
        <f t="shared" si="272"/>
        <v>0</v>
      </c>
      <c r="AC681" s="377">
        <f t="shared" si="273"/>
        <v>0</v>
      </c>
      <c r="AD681" s="376"/>
      <c r="AE681" s="332">
        <v>666</v>
      </c>
      <c r="AF681" s="350">
        <v>505805.79931341478</v>
      </c>
      <c r="AG681" s="350">
        <v>503983.03618892835</v>
      </c>
      <c r="AH681" s="350">
        <v>502011.80723352439</v>
      </c>
      <c r="AI681" s="350">
        <v>499646.89612888324</v>
      </c>
      <c r="AJ681" s="350">
        <v>496671.06792171375</v>
      </c>
      <c r="AK681" s="348">
        <v>2508118.6067864648</v>
      </c>
      <c r="AL681" s="369"/>
      <c r="AM681" s="350">
        <v>13211218.591070943</v>
      </c>
      <c r="AN681" s="350">
        <v>13092533.009751059</v>
      </c>
      <c r="AO681" s="350">
        <v>12962693.231559847</v>
      </c>
      <c r="AP681" s="350">
        <v>12796837.806092186</v>
      </c>
      <c r="AQ681" s="350">
        <v>12573696.64838828</v>
      </c>
      <c r="AR681" s="348">
        <v>64636979.286862314</v>
      </c>
      <c r="AS681" s="369"/>
      <c r="AT681" s="350">
        <f t="shared" si="291"/>
        <v>12705412.791757528</v>
      </c>
      <c r="AU681" s="350">
        <f t="shared" si="274"/>
        <v>12588549.973562131</v>
      </c>
      <c r="AV681" s="350">
        <f t="shared" si="275"/>
        <v>12460681.424326323</v>
      </c>
      <c r="AW681" s="350">
        <f t="shared" si="276"/>
        <v>12297190.909963302</v>
      </c>
      <c r="AX681" s="350">
        <f t="shared" si="277"/>
        <v>12077025.580466567</v>
      </c>
      <c r="AY681" s="350">
        <f t="shared" si="278"/>
        <v>62128860.680075847</v>
      </c>
      <c r="AZ681" s="365"/>
      <c r="BA681" s="377">
        <f t="shared" si="279"/>
        <v>0</v>
      </c>
      <c r="BB681" s="377">
        <f t="shared" si="280"/>
        <v>0</v>
      </c>
      <c r="BC681" s="377">
        <f t="shared" si="281"/>
        <v>0</v>
      </c>
      <c r="BD681" s="377">
        <f t="shared" si="282"/>
        <v>0</v>
      </c>
      <c r="BE681" s="377">
        <f t="shared" si="283"/>
        <v>0</v>
      </c>
      <c r="BF681" s="377">
        <f t="shared" si="284"/>
        <v>0</v>
      </c>
      <c r="BG681" s="328"/>
    </row>
    <row r="682" spans="2:59">
      <c r="B682" s="332">
        <v>667</v>
      </c>
      <c r="C682" s="350">
        <v>7717410.9902462633</v>
      </c>
      <c r="D682" s="350">
        <v>7689599.8971575294</v>
      </c>
      <c r="E682" s="350">
        <v>7659523.5634631021</v>
      </c>
      <c r="F682" s="350">
        <v>7623440.5628832607</v>
      </c>
      <c r="G682" s="350">
        <v>7578036.3991859145</v>
      </c>
      <c r="H682" s="348">
        <v>38268011.412936077</v>
      </c>
      <c r="I682" s="369"/>
      <c r="J682" s="350">
        <v>23942567.792448901</v>
      </c>
      <c r="K682" s="350">
        <v>23411945.547157213</v>
      </c>
      <c r="L682" s="350">
        <v>22867551.781675525</v>
      </c>
      <c r="M682" s="350">
        <v>22274520.817873165</v>
      </c>
      <c r="N682" s="350">
        <v>21603650.101481479</v>
      </c>
      <c r="O682" s="348">
        <v>114100236.04063629</v>
      </c>
      <c r="P682" s="369"/>
      <c r="Q682" s="350">
        <f t="shared" si="285"/>
        <v>16225156.802202638</v>
      </c>
      <c r="R682" s="350">
        <f t="shared" si="286"/>
        <v>15722345.649999684</v>
      </c>
      <c r="S682" s="350">
        <f t="shared" si="287"/>
        <v>15208028.218212422</v>
      </c>
      <c r="T682" s="350">
        <f t="shared" si="288"/>
        <v>14651080.254989903</v>
      </c>
      <c r="U682" s="350">
        <f t="shared" si="289"/>
        <v>14025613.702295564</v>
      </c>
      <c r="V682" s="350">
        <f t="shared" si="290"/>
        <v>75832224.62770021</v>
      </c>
      <c r="W682" s="365"/>
      <c r="X682" s="377">
        <f t="shared" si="268"/>
        <v>0</v>
      </c>
      <c r="Y682" s="377">
        <f t="shared" si="269"/>
        <v>0</v>
      </c>
      <c r="Z682" s="377">
        <f t="shared" si="270"/>
        <v>0</v>
      </c>
      <c r="AA682" s="377">
        <f t="shared" si="271"/>
        <v>0</v>
      </c>
      <c r="AB682" s="377">
        <f t="shared" si="272"/>
        <v>0</v>
      </c>
      <c r="AC682" s="377">
        <f t="shared" si="273"/>
        <v>0</v>
      </c>
      <c r="AD682" s="376"/>
      <c r="AE682" s="332">
        <v>667</v>
      </c>
      <c r="AF682" s="350">
        <v>342387.31497910753</v>
      </c>
      <c r="AG682" s="350">
        <v>341153.46006308438</v>
      </c>
      <c r="AH682" s="350">
        <v>339819.10646301502</v>
      </c>
      <c r="AI682" s="350">
        <v>338218.26368030772</v>
      </c>
      <c r="AJ682" s="350">
        <v>336203.88221003819</v>
      </c>
      <c r="AK682" s="348">
        <v>1697782.0273955527</v>
      </c>
      <c r="AL682" s="369"/>
      <c r="AM682" s="350">
        <v>8091303.300059299</v>
      </c>
      <c r="AN682" s="350">
        <v>8017100.8252674555</v>
      </c>
      <c r="AO682" s="350">
        <v>7936097.7731078118</v>
      </c>
      <c r="AP682" s="350">
        <v>7833116.4278642209</v>
      </c>
      <c r="AQ682" s="350">
        <v>7695174.5774922725</v>
      </c>
      <c r="AR682" s="348">
        <v>39572792.903791055</v>
      </c>
      <c r="AS682" s="369"/>
      <c r="AT682" s="350">
        <f t="shared" si="291"/>
        <v>7748915.9850801919</v>
      </c>
      <c r="AU682" s="350">
        <f t="shared" si="274"/>
        <v>7675947.3652043715</v>
      </c>
      <c r="AV682" s="350">
        <f t="shared" si="275"/>
        <v>7596278.6666447967</v>
      </c>
      <c r="AW682" s="350">
        <f t="shared" si="276"/>
        <v>7494898.1641839128</v>
      </c>
      <c r="AX682" s="350">
        <f t="shared" si="277"/>
        <v>7358970.6952822339</v>
      </c>
      <c r="AY682" s="350">
        <f t="shared" si="278"/>
        <v>37875010.876395501</v>
      </c>
      <c r="AZ682" s="365"/>
      <c r="BA682" s="377">
        <f t="shared" si="279"/>
        <v>0</v>
      </c>
      <c r="BB682" s="377">
        <f t="shared" si="280"/>
        <v>0</v>
      </c>
      <c r="BC682" s="377">
        <f t="shared" si="281"/>
        <v>0</v>
      </c>
      <c r="BD682" s="377">
        <f t="shared" si="282"/>
        <v>0</v>
      </c>
      <c r="BE682" s="377">
        <f t="shared" si="283"/>
        <v>0</v>
      </c>
      <c r="BF682" s="377">
        <f t="shared" si="284"/>
        <v>0</v>
      </c>
      <c r="BG682" s="328"/>
    </row>
    <row r="683" spans="2:59">
      <c r="B683" s="332">
        <v>668</v>
      </c>
      <c r="C683" s="350">
        <v>5247010.7723382143</v>
      </c>
      <c r="D683" s="350">
        <v>5228102.2154126428</v>
      </c>
      <c r="E683" s="350">
        <v>5207653.5381183336</v>
      </c>
      <c r="F683" s="350">
        <v>5183120.9723420646</v>
      </c>
      <c r="G683" s="350">
        <v>5152251.0165589554</v>
      </c>
      <c r="H683" s="348">
        <v>26018138.514770214</v>
      </c>
      <c r="I683" s="369"/>
      <c r="J683" s="350">
        <v>17030800.133415416</v>
      </c>
      <c r="K683" s="350">
        <v>16664610.984705318</v>
      </c>
      <c r="L683" s="350">
        <v>16288396.1180564</v>
      </c>
      <c r="M683" s="350">
        <v>15876991.503754415</v>
      </c>
      <c r="N683" s="350">
        <v>15409291.550357126</v>
      </c>
      <c r="O683" s="348">
        <v>81270090.290288672</v>
      </c>
      <c r="P683" s="369"/>
      <c r="Q683" s="350">
        <f t="shared" si="285"/>
        <v>11783789.361077201</v>
      </c>
      <c r="R683" s="350">
        <f t="shared" si="286"/>
        <v>11436508.769292675</v>
      </c>
      <c r="S683" s="350">
        <f t="shared" si="287"/>
        <v>11080742.579938065</v>
      </c>
      <c r="T683" s="350">
        <f t="shared" si="288"/>
        <v>10693870.53141235</v>
      </c>
      <c r="U683" s="350">
        <f t="shared" si="289"/>
        <v>10257040.533798169</v>
      </c>
      <c r="V683" s="350">
        <f t="shared" si="290"/>
        <v>55251951.775518462</v>
      </c>
      <c r="W683" s="365"/>
      <c r="X683" s="377">
        <f t="shared" si="268"/>
        <v>0</v>
      </c>
      <c r="Y683" s="377">
        <f t="shared" si="269"/>
        <v>0</v>
      </c>
      <c r="Z683" s="377">
        <f t="shared" si="270"/>
        <v>0</v>
      </c>
      <c r="AA683" s="377">
        <f t="shared" si="271"/>
        <v>0</v>
      </c>
      <c r="AB683" s="377">
        <f t="shared" si="272"/>
        <v>0</v>
      </c>
      <c r="AC683" s="377">
        <f t="shared" si="273"/>
        <v>0</v>
      </c>
      <c r="AD683" s="376"/>
      <c r="AE683" s="332">
        <v>668</v>
      </c>
      <c r="AF683" s="350">
        <v>472780.39044506592</v>
      </c>
      <c r="AG683" s="350">
        <v>471076.64038357313</v>
      </c>
      <c r="AH683" s="350">
        <v>469234.11822100083</v>
      </c>
      <c r="AI683" s="350">
        <v>467023.61846607958</v>
      </c>
      <c r="AJ683" s="350">
        <v>464242.09001466061</v>
      </c>
      <c r="AK683" s="348">
        <v>2344356.8575303801</v>
      </c>
      <c r="AL683" s="369"/>
      <c r="AM683" s="350">
        <v>13172843.113943428</v>
      </c>
      <c r="AN683" s="350">
        <v>13055966.376016561</v>
      </c>
      <c r="AO683" s="350">
        <v>12927937.944752373</v>
      </c>
      <c r="AP683" s="350">
        <v>12763921.301436214</v>
      </c>
      <c r="AQ683" s="350">
        <v>12542664.783816557</v>
      </c>
      <c r="AR683" s="348">
        <v>64463333.519965142</v>
      </c>
      <c r="AS683" s="369"/>
      <c r="AT683" s="350">
        <f t="shared" si="291"/>
        <v>12700062.723498361</v>
      </c>
      <c r="AU683" s="350">
        <f t="shared" si="274"/>
        <v>12584889.735632988</v>
      </c>
      <c r="AV683" s="350">
        <f t="shared" si="275"/>
        <v>12458703.826531371</v>
      </c>
      <c r="AW683" s="350">
        <f t="shared" si="276"/>
        <v>12296897.682970135</v>
      </c>
      <c r="AX683" s="350">
        <f t="shared" si="277"/>
        <v>12078422.693801897</v>
      </c>
      <c r="AY683" s="350">
        <f t="shared" si="278"/>
        <v>62118976.662434764</v>
      </c>
      <c r="AZ683" s="365"/>
      <c r="BA683" s="377">
        <f t="shared" si="279"/>
        <v>0</v>
      </c>
      <c r="BB683" s="377">
        <f t="shared" si="280"/>
        <v>0</v>
      </c>
      <c r="BC683" s="377">
        <f t="shared" si="281"/>
        <v>0</v>
      </c>
      <c r="BD683" s="377">
        <f t="shared" si="282"/>
        <v>0</v>
      </c>
      <c r="BE683" s="377">
        <f t="shared" si="283"/>
        <v>0</v>
      </c>
      <c r="BF683" s="377">
        <f t="shared" si="284"/>
        <v>0</v>
      </c>
      <c r="BG683" s="328"/>
    </row>
    <row r="684" spans="2:59">
      <c r="B684" s="332">
        <v>669</v>
      </c>
      <c r="C684" s="350">
        <v>7515229.1134152599</v>
      </c>
      <c r="D684" s="350">
        <v>7488146.619464824</v>
      </c>
      <c r="E684" s="350">
        <v>7458858.2300177924</v>
      </c>
      <c r="F684" s="350">
        <v>7423720.5372345857</v>
      </c>
      <c r="G684" s="350">
        <v>7379505.8785466086</v>
      </c>
      <c r="H684" s="348">
        <v>37265460.378679067</v>
      </c>
      <c r="I684" s="369"/>
      <c r="J684" s="350">
        <v>24110493.02401121</v>
      </c>
      <c r="K684" s="350">
        <v>23588040.975240424</v>
      </c>
      <c r="L684" s="350">
        <v>23051477.986199908</v>
      </c>
      <c r="M684" s="350">
        <v>22465309.778849591</v>
      </c>
      <c r="N684" s="350">
        <v>21799776.782861564</v>
      </c>
      <c r="O684" s="348">
        <v>115015098.5471627</v>
      </c>
      <c r="P684" s="369"/>
      <c r="Q684" s="350">
        <f t="shared" si="285"/>
        <v>16595263.91059595</v>
      </c>
      <c r="R684" s="350">
        <f t="shared" si="286"/>
        <v>16099894.3557756</v>
      </c>
      <c r="S684" s="350">
        <f t="shared" si="287"/>
        <v>15592619.756182116</v>
      </c>
      <c r="T684" s="350">
        <f t="shared" si="288"/>
        <v>15041589.241615005</v>
      </c>
      <c r="U684" s="350">
        <f t="shared" si="289"/>
        <v>14420270.904314956</v>
      </c>
      <c r="V684" s="350">
        <f t="shared" si="290"/>
        <v>77749638.16848363</v>
      </c>
      <c r="W684" s="365"/>
      <c r="X684" s="377">
        <f t="shared" si="268"/>
        <v>0</v>
      </c>
      <c r="Y684" s="377">
        <f t="shared" si="269"/>
        <v>0</v>
      </c>
      <c r="Z684" s="377">
        <f t="shared" si="270"/>
        <v>0</v>
      </c>
      <c r="AA684" s="377">
        <f t="shared" si="271"/>
        <v>0</v>
      </c>
      <c r="AB684" s="377">
        <f t="shared" si="272"/>
        <v>0</v>
      </c>
      <c r="AC684" s="377">
        <f t="shared" si="273"/>
        <v>0</v>
      </c>
      <c r="AD684" s="376"/>
      <c r="AE684" s="332">
        <v>669</v>
      </c>
      <c r="AF684" s="350">
        <v>291052.66230210324</v>
      </c>
      <c r="AG684" s="350">
        <v>290003.80113671516</v>
      </c>
      <c r="AH684" s="350">
        <v>288869.50920835818</v>
      </c>
      <c r="AI684" s="350">
        <v>287508.68322722492</v>
      </c>
      <c r="AJ684" s="350">
        <v>285796.32104508701</v>
      </c>
      <c r="AK684" s="348">
        <v>1443230.9769194885</v>
      </c>
      <c r="AL684" s="369"/>
      <c r="AM684" s="350">
        <v>7618650.7740383409</v>
      </c>
      <c r="AN684" s="350">
        <v>7550236.6166873164</v>
      </c>
      <c r="AO684" s="350">
        <v>7475389.4504609099</v>
      </c>
      <c r="AP684" s="350">
        <v>7379771.2118371818</v>
      </c>
      <c r="AQ684" s="350">
        <v>7251114.9863644121</v>
      </c>
      <c r="AR684" s="348">
        <v>37275163.039388157</v>
      </c>
      <c r="AS684" s="369"/>
      <c r="AT684" s="350">
        <f t="shared" si="291"/>
        <v>7327598.111736238</v>
      </c>
      <c r="AU684" s="350">
        <f t="shared" si="274"/>
        <v>7260232.8155506011</v>
      </c>
      <c r="AV684" s="350">
        <f t="shared" si="275"/>
        <v>7186519.941252552</v>
      </c>
      <c r="AW684" s="350">
        <f t="shared" si="276"/>
        <v>7092262.5286099566</v>
      </c>
      <c r="AX684" s="350">
        <f t="shared" si="277"/>
        <v>6965318.6653193254</v>
      </c>
      <c r="AY684" s="350">
        <f t="shared" si="278"/>
        <v>35831932.06246867</v>
      </c>
      <c r="AZ684" s="365"/>
      <c r="BA684" s="377">
        <f t="shared" si="279"/>
        <v>0</v>
      </c>
      <c r="BB684" s="377">
        <f t="shared" si="280"/>
        <v>0</v>
      </c>
      <c r="BC684" s="377">
        <f t="shared" si="281"/>
        <v>0</v>
      </c>
      <c r="BD684" s="377">
        <f t="shared" si="282"/>
        <v>0</v>
      </c>
      <c r="BE684" s="377">
        <f t="shared" si="283"/>
        <v>0</v>
      </c>
      <c r="BF684" s="377">
        <f t="shared" si="284"/>
        <v>0</v>
      </c>
      <c r="BG684" s="328"/>
    </row>
    <row r="685" spans="2:59">
      <c r="B685" s="332">
        <v>670</v>
      </c>
      <c r="C685" s="350">
        <v>3674627.6019575298</v>
      </c>
      <c r="D685" s="350">
        <v>3661385.4135560514</v>
      </c>
      <c r="E685" s="350">
        <v>3647064.6360182334</v>
      </c>
      <c r="F685" s="350">
        <v>3629883.7977734255</v>
      </c>
      <c r="G685" s="350">
        <v>3608264.7090172423</v>
      </c>
      <c r="H685" s="348">
        <v>18221226.158322483</v>
      </c>
      <c r="I685" s="369"/>
      <c r="J685" s="350">
        <v>13380058.583776928</v>
      </c>
      <c r="K685" s="350">
        <v>13113134.446403421</v>
      </c>
      <c r="L685" s="350">
        <v>12837909.625838034</v>
      </c>
      <c r="M685" s="350">
        <v>12533943.539189061</v>
      </c>
      <c r="N685" s="350">
        <v>12184039.719911678</v>
      </c>
      <c r="O685" s="348">
        <v>64049085.915119126</v>
      </c>
      <c r="P685" s="369"/>
      <c r="Q685" s="350">
        <f t="shared" si="285"/>
        <v>9705430.9818193987</v>
      </c>
      <c r="R685" s="350">
        <f t="shared" si="286"/>
        <v>9451749.032847371</v>
      </c>
      <c r="S685" s="350">
        <f t="shared" si="287"/>
        <v>9190844.9898198005</v>
      </c>
      <c r="T685" s="350">
        <f t="shared" si="288"/>
        <v>8904059.7414156348</v>
      </c>
      <c r="U685" s="350">
        <f t="shared" si="289"/>
        <v>8575775.0108944364</v>
      </c>
      <c r="V685" s="350">
        <f t="shared" si="290"/>
        <v>45827859.756796643</v>
      </c>
      <c r="W685" s="365"/>
      <c r="X685" s="377">
        <f t="shared" si="268"/>
        <v>0</v>
      </c>
      <c r="Y685" s="377">
        <f t="shared" si="269"/>
        <v>0</v>
      </c>
      <c r="Z685" s="377">
        <f t="shared" si="270"/>
        <v>0</v>
      </c>
      <c r="AA685" s="377">
        <f t="shared" si="271"/>
        <v>0</v>
      </c>
      <c r="AB685" s="377">
        <f t="shared" si="272"/>
        <v>0</v>
      </c>
      <c r="AC685" s="377">
        <f t="shared" si="273"/>
        <v>0</v>
      </c>
      <c r="AD685" s="376"/>
      <c r="AE685" s="332">
        <v>670</v>
      </c>
      <c r="AF685" s="350">
        <v>462635.56063968176</v>
      </c>
      <c r="AG685" s="350">
        <v>460968.3693161445</v>
      </c>
      <c r="AH685" s="350">
        <v>459165.38363632333</v>
      </c>
      <c r="AI685" s="350">
        <v>457002.31635586952</v>
      </c>
      <c r="AJ685" s="350">
        <v>454280.47340179532</v>
      </c>
      <c r="AK685" s="348">
        <v>2294052.1033498142</v>
      </c>
      <c r="AL685" s="369"/>
      <c r="AM685" s="350">
        <v>12082655.490732875</v>
      </c>
      <c r="AN685" s="350">
        <v>11974106.814026734</v>
      </c>
      <c r="AO685" s="350">
        <v>11855356.819307776</v>
      </c>
      <c r="AP685" s="350">
        <v>11703667.892668068</v>
      </c>
      <c r="AQ685" s="350">
        <v>11499586.989951581</v>
      </c>
      <c r="AR685" s="348">
        <v>59115374.00668703</v>
      </c>
      <c r="AS685" s="369"/>
      <c r="AT685" s="350">
        <f t="shared" si="291"/>
        <v>11620019.930093193</v>
      </c>
      <c r="AU685" s="350">
        <f t="shared" si="274"/>
        <v>11513138.44471059</v>
      </c>
      <c r="AV685" s="350">
        <f t="shared" si="275"/>
        <v>11396191.435671452</v>
      </c>
      <c r="AW685" s="350">
        <f t="shared" si="276"/>
        <v>11246665.576312199</v>
      </c>
      <c r="AX685" s="350">
        <f t="shared" si="277"/>
        <v>11045306.516549785</v>
      </c>
      <c r="AY685" s="350">
        <f t="shared" si="278"/>
        <v>56821321.903337218</v>
      </c>
      <c r="AZ685" s="365"/>
      <c r="BA685" s="377">
        <f t="shared" si="279"/>
        <v>0</v>
      </c>
      <c r="BB685" s="377">
        <f t="shared" si="280"/>
        <v>0</v>
      </c>
      <c r="BC685" s="377">
        <f t="shared" si="281"/>
        <v>0</v>
      </c>
      <c r="BD685" s="377">
        <f t="shared" si="282"/>
        <v>0</v>
      </c>
      <c r="BE685" s="377">
        <f t="shared" si="283"/>
        <v>0</v>
      </c>
      <c r="BF685" s="377">
        <f t="shared" si="284"/>
        <v>0</v>
      </c>
      <c r="BG685" s="328"/>
    </row>
    <row r="686" spans="2:59">
      <c r="B686" s="332">
        <v>671</v>
      </c>
      <c r="C686" s="350">
        <v>6027004.4689495396</v>
      </c>
      <c r="D686" s="350">
        <v>6005285.0629798397</v>
      </c>
      <c r="E686" s="350">
        <v>5981796.5902504455</v>
      </c>
      <c r="F686" s="350">
        <v>5953617.1391336555</v>
      </c>
      <c r="G686" s="350">
        <v>5918158.2141316468</v>
      </c>
      <c r="H686" s="348">
        <v>29885861.475445125</v>
      </c>
      <c r="I686" s="369"/>
      <c r="J686" s="350">
        <v>21455387.445357241</v>
      </c>
      <c r="K686" s="350">
        <v>21021119.851828054</v>
      </c>
      <c r="L686" s="350">
        <v>20573669.358496834</v>
      </c>
      <c r="M686" s="350">
        <v>20080460.490113631</v>
      </c>
      <c r="N686" s="350">
        <v>19514103.08931981</v>
      </c>
      <c r="O686" s="348">
        <v>102644740.23511557</v>
      </c>
      <c r="P686" s="369"/>
      <c r="Q686" s="350">
        <f t="shared" si="285"/>
        <v>15428382.976407701</v>
      </c>
      <c r="R686" s="350">
        <f t="shared" si="286"/>
        <v>15015834.788848214</v>
      </c>
      <c r="S686" s="350">
        <f t="shared" si="287"/>
        <v>14591872.768246388</v>
      </c>
      <c r="T686" s="350">
        <f t="shared" si="288"/>
        <v>14126843.350979976</v>
      </c>
      <c r="U686" s="350">
        <f t="shared" si="289"/>
        <v>13595944.875188164</v>
      </c>
      <c r="V686" s="350">
        <f t="shared" si="290"/>
        <v>72758878.759670451</v>
      </c>
      <c r="W686" s="365"/>
      <c r="X686" s="377">
        <f t="shared" si="268"/>
        <v>0</v>
      </c>
      <c r="Y686" s="377">
        <f t="shared" si="269"/>
        <v>0</v>
      </c>
      <c r="Z686" s="377">
        <f t="shared" si="270"/>
        <v>0</v>
      </c>
      <c r="AA686" s="377">
        <f t="shared" si="271"/>
        <v>0</v>
      </c>
      <c r="AB686" s="377">
        <f t="shared" si="272"/>
        <v>0</v>
      </c>
      <c r="AC686" s="377">
        <f t="shared" si="273"/>
        <v>0</v>
      </c>
      <c r="AD686" s="376"/>
      <c r="AE686" s="332">
        <v>671</v>
      </c>
      <c r="AF686" s="350">
        <v>426675.24752481893</v>
      </c>
      <c r="AG686" s="350">
        <v>425137.64572512597</v>
      </c>
      <c r="AH686" s="350">
        <v>423474.8047620196</v>
      </c>
      <c r="AI686" s="350">
        <v>421479.87106945092</v>
      </c>
      <c r="AJ686" s="350">
        <v>418969.59491483029</v>
      </c>
      <c r="AK686" s="348">
        <v>2115737.1639962457</v>
      </c>
      <c r="AL686" s="369"/>
      <c r="AM686" s="350">
        <v>13463825.777013395</v>
      </c>
      <c r="AN686" s="350">
        <v>13346990.930149883</v>
      </c>
      <c r="AO686" s="350">
        <v>13218704.47859785</v>
      </c>
      <c r="AP686" s="350">
        <v>13053496.54051055</v>
      </c>
      <c r="AQ686" s="350">
        <v>12829568.308679963</v>
      </c>
      <c r="AR686" s="348">
        <v>65912586.034951635</v>
      </c>
      <c r="AS686" s="369"/>
      <c r="AT686" s="350">
        <f t="shared" si="291"/>
        <v>13037150.529488577</v>
      </c>
      <c r="AU686" s="350">
        <f t="shared" si="274"/>
        <v>12921853.284424758</v>
      </c>
      <c r="AV686" s="350">
        <f t="shared" si="275"/>
        <v>12795229.673835831</v>
      </c>
      <c r="AW686" s="350">
        <f t="shared" si="276"/>
        <v>12632016.669441098</v>
      </c>
      <c r="AX686" s="350">
        <f t="shared" si="277"/>
        <v>12410598.713765133</v>
      </c>
      <c r="AY686" s="350">
        <f t="shared" si="278"/>
        <v>63796848.870955393</v>
      </c>
      <c r="AZ686" s="365"/>
      <c r="BA686" s="377">
        <f t="shared" si="279"/>
        <v>0</v>
      </c>
      <c r="BB686" s="377">
        <f t="shared" si="280"/>
        <v>0</v>
      </c>
      <c r="BC686" s="377">
        <f t="shared" si="281"/>
        <v>0</v>
      </c>
      <c r="BD686" s="377">
        <f t="shared" si="282"/>
        <v>0</v>
      </c>
      <c r="BE686" s="377">
        <f t="shared" si="283"/>
        <v>0</v>
      </c>
      <c r="BF686" s="377">
        <f t="shared" si="284"/>
        <v>0</v>
      </c>
      <c r="BG686" s="328"/>
    </row>
    <row r="687" spans="2:59">
      <c r="B687" s="332">
        <v>672</v>
      </c>
      <c r="C687" s="350">
        <v>5918441.7743105805</v>
      </c>
      <c r="D687" s="350">
        <v>5897113.5937415203</v>
      </c>
      <c r="E687" s="350">
        <v>5874048.2121024989</v>
      </c>
      <c r="F687" s="350">
        <v>5846376.3493179316</v>
      </c>
      <c r="G687" s="350">
        <v>5811556.1357134432</v>
      </c>
      <c r="H687" s="348">
        <v>29347536.065185972</v>
      </c>
      <c r="I687" s="369"/>
      <c r="J687" s="350">
        <v>19894054.023944616</v>
      </c>
      <c r="K687" s="350">
        <v>19476076.437237673</v>
      </c>
      <c r="L687" s="350">
        <v>19046187.960427169</v>
      </c>
      <c r="M687" s="350">
        <v>18574678.202104799</v>
      </c>
      <c r="N687" s="350">
        <v>18036603.717628494</v>
      </c>
      <c r="O687" s="348">
        <v>95027600.341342762</v>
      </c>
      <c r="P687" s="369"/>
      <c r="Q687" s="350">
        <f t="shared" si="285"/>
        <v>13975612.249634035</v>
      </c>
      <c r="R687" s="350">
        <f t="shared" si="286"/>
        <v>13578962.843496151</v>
      </c>
      <c r="S687" s="350">
        <f t="shared" si="287"/>
        <v>13172139.74832467</v>
      </c>
      <c r="T687" s="350">
        <f t="shared" si="288"/>
        <v>12728301.852786869</v>
      </c>
      <c r="U687" s="350">
        <f t="shared" si="289"/>
        <v>12225047.581915051</v>
      </c>
      <c r="V687" s="350">
        <f t="shared" si="290"/>
        <v>65680064.276156791</v>
      </c>
      <c r="W687" s="365"/>
      <c r="X687" s="377">
        <f t="shared" si="268"/>
        <v>0</v>
      </c>
      <c r="Y687" s="377">
        <f t="shared" si="269"/>
        <v>0</v>
      </c>
      <c r="Z687" s="377">
        <f t="shared" si="270"/>
        <v>0</v>
      </c>
      <c r="AA687" s="377">
        <f t="shared" si="271"/>
        <v>0</v>
      </c>
      <c r="AB687" s="377">
        <f t="shared" si="272"/>
        <v>0</v>
      </c>
      <c r="AC687" s="377">
        <f t="shared" si="273"/>
        <v>0</v>
      </c>
      <c r="AD687" s="376"/>
      <c r="AE687" s="332">
        <v>672</v>
      </c>
      <c r="AF687" s="350">
        <v>647725.95564497984</v>
      </c>
      <c r="AG687" s="350">
        <v>645391.7574441582</v>
      </c>
      <c r="AH687" s="350">
        <v>642867.43652757851</v>
      </c>
      <c r="AI687" s="350">
        <v>639838.97321745357</v>
      </c>
      <c r="AJ687" s="350">
        <v>636028.18027688132</v>
      </c>
      <c r="AK687" s="348">
        <v>3211852.3031110517</v>
      </c>
      <c r="AL687" s="369"/>
      <c r="AM687" s="350">
        <v>17875965.200224072</v>
      </c>
      <c r="AN687" s="350">
        <v>17717074.521781731</v>
      </c>
      <c r="AO687" s="350">
        <v>17543056.467085503</v>
      </c>
      <c r="AP687" s="350">
        <v>17320216.306228835</v>
      </c>
      <c r="AQ687" s="350">
        <v>17019723.308709815</v>
      </c>
      <c r="AR687" s="348">
        <v>87476035.804029956</v>
      </c>
      <c r="AS687" s="369"/>
      <c r="AT687" s="350">
        <f t="shared" si="291"/>
        <v>17228239.244579092</v>
      </c>
      <c r="AU687" s="350">
        <f t="shared" si="274"/>
        <v>17071682.764337573</v>
      </c>
      <c r="AV687" s="350">
        <f t="shared" si="275"/>
        <v>16900189.030557923</v>
      </c>
      <c r="AW687" s="350">
        <f t="shared" si="276"/>
        <v>16680377.333011381</v>
      </c>
      <c r="AX687" s="350">
        <f t="shared" si="277"/>
        <v>16383695.128432933</v>
      </c>
      <c r="AY687" s="350">
        <f t="shared" si="278"/>
        <v>84264183.50091891</v>
      </c>
      <c r="AZ687" s="365"/>
      <c r="BA687" s="377">
        <f t="shared" si="279"/>
        <v>0</v>
      </c>
      <c r="BB687" s="377">
        <f t="shared" si="280"/>
        <v>0</v>
      </c>
      <c r="BC687" s="377">
        <f t="shared" si="281"/>
        <v>0</v>
      </c>
      <c r="BD687" s="377">
        <f t="shared" si="282"/>
        <v>0</v>
      </c>
      <c r="BE687" s="377">
        <f t="shared" si="283"/>
        <v>0</v>
      </c>
      <c r="BF687" s="377">
        <f t="shared" si="284"/>
        <v>0</v>
      </c>
      <c r="BG687" s="328"/>
    </row>
    <row r="688" spans="2:59">
      <c r="B688" s="332">
        <v>673</v>
      </c>
      <c r="C688" s="350">
        <v>5132923.9635641845</v>
      </c>
      <c r="D688" s="350">
        <v>5114426.5391885079</v>
      </c>
      <c r="E688" s="350">
        <v>5094422.481590515</v>
      </c>
      <c r="F688" s="350">
        <v>5070423.3323178319</v>
      </c>
      <c r="G688" s="350">
        <v>5040224.5881817155</v>
      </c>
      <c r="H688" s="348">
        <v>25452420.904842753</v>
      </c>
      <c r="I688" s="369"/>
      <c r="J688" s="350">
        <v>18169044.394586377</v>
      </c>
      <c r="K688" s="350">
        <v>17799944.713638987</v>
      </c>
      <c r="L688" s="350">
        <v>17419708.923275746</v>
      </c>
      <c r="M688" s="350">
        <v>17000794.743452933</v>
      </c>
      <c r="N688" s="350">
        <v>16520047.356245842</v>
      </c>
      <c r="O688" s="348">
        <v>86909540.131199881</v>
      </c>
      <c r="P688" s="369"/>
      <c r="Q688" s="350">
        <f t="shared" si="285"/>
        <v>13036120.431022193</v>
      </c>
      <c r="R688" s="350">
        <f t="shared" si="286"/>
        <v>12685518.174450479</v>
      </c>
      <c r="S688" s="350">
        <f t="shared" si="287"/>
        <v>12325286.441685231</v>
      </c>
      <c r="T688" s="350">
        <f t="shared" si="288"/>
        <v>11930371.4111351</v>
      </c>
      <c r="U688" s="350">
        <f t="shared" si="289"/>
        <v>11479822.768064126</v>
      </c>
      <c r="V688" s="350">
        <f t="shared" si="290"/>
        <v>61457119.226357132</v>
      </c>
      <c r="W688" s="365"/>
      <c r="X688" s="377">
        <f t="shared" si="268"/>
        <v>0</v>
      </c>
      <c r="Y688" s="377">
        <f t="shared" si="269"/>
        <v>0</v>
      </c>
      <c r="Z688" s="377">
        <f t="shared" si="270"/>
        <v>0</v>
      </c>
      <c r="AA688" s="377">
        <f t="shared" si="271"/>
        <v>0</v>
      </c>
      <c r="AB688" s="377">
        <f t="shared" si="272"/>
        <v>0</v>
      </c>
      <c r="AC688" s="377">
        <f t="shared" si="273"/>
        <v>0</v>
      </c>
      <c r="AD688" s="376"/>
      <c r="AE688" s="332">
        <v>673</v>
      </c>
      <c r="AF688" s="350">
        <v>418695.75944468955</v>
      </c>
      <c r="AG688" s="350">
        <v>417186.91318050952</v>
      </c>
      <c r="AH688" s="350">
        <v>415555.16991927644</v>
      </c>
      <c r="AI688" s="350">
        <v>413597.54457705817</v>
      </c>
      <c r="AJ688" s="350">
        <v>411134.21447513183</v>
      </c>
      <c r="AK688" s="348">
        <v>2076169.6015966656</v>
      </c>
      <c r="AL688" s="369"/>
      <c r="AM688" s="350">
        <v>12089920.580418916</v>
      </c>
      <c r="AN688" s="350">
        <v>11983358.186571045</v>
      </c>
      <c r="AO688" s="350">
        <v>11866546.448064782</v>
      </c>
      <c r="AP688" s="350">
        <v>11716667.821349369</v>
      </c>
      <c r="AQ688" s="350">
        <v>11514196.804795826</v>
      </c>
      <c r="AR688" s="348">
        <v>59170689.841199934</v>
      </c>
      <c r="AS688" s="369"/>
      <c r="AT688" s="350">
        <f t="shared" si="291"/>
        <v>11671224.820974227</v>
      </c>
      <c r="AU688" s="350">
        <f t="shared" si="274"/>
        <v>11566171.273390535</v>
      </c>
      <c r="AV688" s="350">
        <f t="shared" si="275"/>
        <v>11450991.278145505</v>
      </c>
      <c r="AW688" s="350">
        <f t="shared" si="276"/>
        <v>11303070.276772311</v>
      </c>
      <c r="AX688" s="350">
        <f t="shared" si="277"/>
        <v>11103062.590320693</v>
      </c>
      <c r="AY688" s="350">
        <f t="shared" si="278"/>
        <v>57094520.239603266</v>
      </c>
      <c r="AZ688" s="365"/>
      <c r="BA688" s="377">
        <f t="shared" si="279"/>
        <v>0</v>
      </c>
      <c r="BB688" s="377">
        <f t="shared" si="280"/>
        <v>0</v>
      </c>
      <c r="BC688" s="377">
        <f t="shared" si="281"/>
        <v>0</v>
      </c>
      <c r="BD688" s="377">
        <f t="shared" si="282"/>
        <v>0</v>
      </c>
      <c r="BE688" s="377">
        <f t="shared" si="283"/>
        <v>0</v>
      </c>
      <c r="BF688" s="377">
        <f t="shared" si="284"/>
        <v>0</v>
      </c>
      <c r="BG688" s="328"/>
    </row>
    <row r="689" spans="2:59">
      <c r="B689" s="332">
        <v>674</v>
      </c>
      <c r="C689" s="350">
        <v>3943536.2728453553</v>
      </c>
      <c r="D689" s="350">
        <v>3929325.0231760656</v>
      </c>
      <c r="E689" s="350">
        <v>3913956.253386809</v>
      </c>
      <c r="F689" s="350">
        <v>3895518.1240971358</v>
      </c>
      <c r="G689" s="350">
        <v>3872316.953820603</v>
      </c>
      <c r="H689" s="348">
        <v>19554652.627325967</v>
      </c>
      <c r="I689" s="369"/>
      <c r="J689" s="350">
        <v>13877814.193250608</v>
      </c>
      <c r="K689" s="350">
        <v>13594826.177995855</v>
      </c>
      <c r="L689" s="350">
        <v>13303353.938907446</v>
      </c>
      <c r="M689" s="350">
        <v>12982394.581931574</v>
      </c>
      <c r="N689" s="350">
        <v>12614293.578540048</v>
      </c>
      <c r="O689" s="348">
        <v>66372682.470625535</v>
      </c>
      <c r="P689" s="369"/>
      <c r="Q689" s="350">
        <f t="shared" si="285"/>
        <v>9934277.9204052519</v>
      </c>
      <c r="R689" s="350">
        <f t="shared" si="286"/>
        <v>9665501.1548197903</v>
      </c>
      <c r="S689" s="350">
        <f t="shared" si="287"/>
        <v>9389397.6855206378</v>
      </c>
      <c r="T689" s="350">
        <f t="shared" si="288"/>
        <v>9086876.4578344375</v>
      </c>
      <c r="U689" s="350">
        <f t="shared" si="289"/>
        <v>8741976.6247194447</v>
      </c>
      <c r="V689" s="350">
        <f t="shared" si="290"/>
        <v>46818029.843299568</v>
      </c>
      <c r="W689" s="365"/>
      <c r="X689" s="377">
        <f t="shared" si="268"/>
        <v>0</v>
      </c>
      <c r="Y689" s="377">
        <f t="shared" si="269"/>
        <v>0</v>
      </c>
      <c r="Z689" s="377">
        <f t="shared" si="270"/>
        <v>0</v>
      </c>
      <c r="AA689" s="377">
        <f t="shared" si="271"/>
        <v>0</v>
      </c>
      <c r="AB689" s="377">
        <f t="shared" si="272"/>
        <v>0</v>
      </c>
      <c r="AC689" s="377">
        <f t="shared" si="273"/>
        <v>0</v>
      </c>
      <c r="AD689" s="376"/>
      <c r="AE689" s="332">
        <v>674</v>
      </c>
      <c r="AF689" s="350">
        <v>501592.37967326341</v>
      </c>
      <c r="AG689" s="350">
        <v>499784.80037220957</v>
      </c>
      <c r="AH689" s="350">
        <v>497829.99197743821</v>
      </c>
      <c r="AI689" s="350">
        <v>495484.78085035563</v>
      </c>
      <c r="AJ689" s="350">
        <v>492533.74162945495</v>
      </c>
      <c r="AK689" s="348">
        <v>2487225.6945027215</v>
      </c>
      <c r="AL689" s="369"/>
      <c r="AM689" s="350">
        <v>14297748.950182784</v>
      </c>
      <c r="AN689" s="350">
        <v>14171427.836784784</v>
      </c>
      <c r="AO689" s="350">
        <v>14032991.76844845</v>
      </c>
      <c r="AP689" s="350">
        <v>13855465.967224441</v>
      </c>
      <c r="AQ689" s="350">
        <v>13615768.080743464</v>
      </c>
      <c r="AR689" s="348">
        <v>69973402.603383929</v>
      </c>
      <c r="AS689" s="369"/>
      <c r="AT689" s="350">
        <f t="shared" si="291"/>
        <v>13796156.570509521</v>
      </c>
      <c r="AU689" s="350">
        <f t="shared" si="274"/>
        <v>13671643.036412574</v>
      </c>
      <c r="AV689" s="350">
        <f t="shared" si="275"/>
        <v>13535161.776471011</v>
      </c>
      <c r="AW689" s="350">
        <f t="shared" si="276"/>
        <v>13359981.186374085</v>
      </c>
      <c r="AX689" s="350">
        <f t="shared" si="277"/>
        <v>13123234.339114008</v>
      </c>
      <c r="AY689" s="350">
        <f t="shared" si="278"/>
        <v>67486176.908881202</v>
      </c>
      <c r="AZ689" s="365"/>
      <c r="BA689" s="377">
        <f t="shared" si="279"/>
        <v>0</v>
      </c>
      <c r="BB689" s="377">
        <f t="shared" si="280"/>
        <v>0</v>
      </c>
      <c r="BC689" s="377">
        <f t="shared" si="281"/>
        <v>0</v>
      </c>
      <c r="BD689" s="377">
        <f t="shared" si="282"/>
        <v>0</v>
      </c>
      <c r="BE689" s="377">
        <f t="shared" si="283"/>
        <v>0</v>
      </c>
      <c r="BF689" s="377">
        <f t="shared" si="284"/>
        <v>0</v>
      </c>
      <c r="BG689" s="328"/>
    </row>
    <row r="690" spans="2:59">
      <c r="B690" s="332">
        <v>675</v>
      </c>
      <c r="C690" s="350">
        <v>7204576.1946055219</v>
      </c>
      <c r="D690" s="350">
        <v>7178613.1949070077</v>
      </c>
      <c r="E690" s="350">
        <v>7150535.4836085271</v>
      </c>
      <c r="F690" s="350">
        <v>7116850.2584292479</v>
      </c>
      <c r="G690" s="350">
        <v>7074463.276924273</v>
      </c>
      <c r="H690" s="348">
        <v>35725038.408474579</v>
      </c>
      <c r="I690" s="369"/>
      <c r="J690" s="350">
        <v>24772429.888476029</v>
      </c>
      <c r="K690" s="350">
        <v>24259620.171806842</v>
      </c>
      <c r="L690" s="350">
        <v>23731822.315799963</v>
      </c>
      <c r="M690" s="350">
        <v>23151792.911461718</v>
      </c>
      <c r="N690" s="350">
        <v>22488244.971107423</v>
      </c>
      <c r="O690" s="348">
        <v>118403910.25865197</v>
      </c>
      <c r="P690" s="369"/>
      <c r="Q690" s="350">
        <f t="shared" si="285"/>
        <v>17567853.693870507</v>
      </c>
      <c r="R690" s="350">
        <f t="shared" si="286"/>
        <v>17081006.976899832</v>
      </c>
      <c r="S690" s="350">
        <f t="shared" si="287"/>
        <v>16581286.832191436</v>
      </c>
      <c r="T690" s="350">
        <f t="shared" si="288"/>
        <v>16034942.65303247</v>
      </c>
      <c r="U690" s="350">
        <f t="shared" si="289"/>
        <v>15413781.69418315</v>
      </c>
      <c r="V690" s="350">
        <f t="shared" si="290"/>
        <v>82678871.850177392</v>
      </c>
      <c r="W690" s="365"/>
      <c r="X690" s="377">
        <f t="shared" si="268"/>
        <v>0</v>
      </c>
      <c r="Y690" s="377">
        <f t="shared" si="269"/>
        <v>0</v>
      </c>
      <c r="Z690" s="377">
        <f t="shared" si="270"/>
        <v>0</v>
      </c>
      <c r="AA690" s="377">
        <f t="shared" si="271"/>
        <v>0</v>
      </c>
      <c r="AB690" s="377">
        <f t="shared" si="272"/>
        <v>0</v>
      </c>
      <c r="AC690" s="377">
        <f t="shared" si="273"/>
        <v>0</v>
      </c>
      <c r="AD690" s="376"/>
      <c r="AE690" s="332">
        <v>675</v>
      </c>
      <c r="AF690" s="350">
        <v>457221.2198985517</v>
      </c>
      <c r="AG690" s="350">
        <v>455573.54013589356</v>
      </c>
      <c r="AH690" s="350">
        <v>453791.65525257948</v>
      </c>
      <c r="AI690" s="350">
        <v>451653.90289449372</v>
      </c>
      <c r="AJ690" s="350">
        <v>448963.91435553791</v>
      </c>
      <c r="AK690" s="348">
        <v>2267204.2325370563</v>
      </c>
      <c r="AL690" s="369"/>
      <c r="AM690" s="350">
        <v>12974588.823445475</v>
      </c>
      <c r="AN690" s="350">
        <v>12859862.864481382</v>
      </c>
      <c r="AO690" s="350">
        <v>12734145.048001183</v>
      </c>
      <c r="AP690" s="350">
        <v>12572959.998165118</v>
      </c>
      <c r="AQ690" s="350">
        <v>12355364.292419977</v>
      </c>
      <c r="AR690" s="348">
        <v>63496921.026513137</v>
      </c>
      <c r="AS690" s="369"/>
      <c r="AT690" s="350">
        <f t="shared" si="291"/>
        <v>12517367.603546923</v>
      </c>
      <c r="AU690" s="350">
        <f t="shared" si="274"/>
        <v>12404289.324345488</v>
      </c>
      <c r="AV690" s="350">
        <f t="shared" si="275"/>
        <v>12280353.392748604</v>
      </c>
      <c r="AW690" s="350">
        <f t="shared" si="276"/>
        <v>12121306.095270624</v>
      </c>
      <c r="AX690" s="350">
        <f t="shared" si="277"/>
        <v>11906400.378064439</v>
      </c>
      <c r="AY690" s="350">
        <f t="shared" si="278"/>
        <v>61229716.793976083</v>
      </c>
      <c r="AZ690" s="365"/>
      <c r="BA690" s="377">
        <f t="shared" si="279"/>
        <v>0</v>
      </c>
      <c r="BB690" s="377">
        <f t="shared" si="280"/>
        <v>0</v>
      </c>
      <c r="BC690" s="377">
        <f t="shared" si="281"/>
        <v>0</v>
      </c>
      <c r="BD690" s="377">
        <f t="shared" si="282"/>
        <v>0</v>
      </c>
      <c r="BE690" s="377">
        <f t="shared" si="283"/>
        <v>0</v>
      </c>
      <c r="BF690" s="377">
        <f t="shared" si="284"/>
        <v>0</v>
      </c>
      <c r="BG690" s="328"/>
    </row>
    <row r="691" spans="2:59">
      <c r="B691" s="332">
        <v>676</v>
      </c>
      <c r="C691" s="350">
        <v>5281443.4111770084</v>
      </c>
      <c r="D691" s="350">
        <v>5262410.7699794918</v>
      </c>
      <c r="E691" s="350">
        <v>5241827.9016284924</v>
      </c>
      <c r="F691" s="350">
        <v>5217134.344954012</v>
      </c>
      <c r="G691" s="350">
        <v>5186061.8102007871</v>
      </c>
      <c r="H691" s="348">
        <v>26188878.237939794</v>
      </c>
      <c r="I691" s="369"/>
      <c r="J691" s="350">
        <v>16899135.45234786</v>
      </c>
      <c r="K691" s="350">
        <v>16532297.711182496</v>
      </c>
      <c r="L691" s="350">
        <v>16155582.814064031</v>
      </c>
      <c r="M691" s="350">
        <v>15744133.65235132</v>
      </c>
      <c r="N691" s="350">
        <v>15277110.856285293</v>
      </c>
      <c r="O691" s="348">
        <v>80608260.486230999</v>
      </c>
      <c r="P691" s="369"/>
      <c r="Q691" s="350">
        <f t="shared" si="285"/>
        <v>11617692.04117085</v>
      </c>
      <c r="R691" s="350">
        <f t="shared" si="286"/>
        <v>11269886.941203004</v>
      </c>
      <c r="S691" s="350">
        <f t="shared" si="287"/>
        <v>10913754.912435539</v>
      </c>
      <c r="T691" s="350">
        <f t="shared" si="288"/>
        <v>10526999.307397308</v>
      </c>
      <c r="U691" s="350">
        <f t="shared" si="289"/>
        <v>10091049.046084505</v>
      </c>
      <c r="V691" s="350">
        <f t="shared" si="290"/>
        <v>54419382.248291209</v>
      </c>
      <c r="W691" s="365"/>
      <c r="X691" s="377">
        <f t="shared" si="268"/>
        <v>0</v>
      </c>
      <c r="Y691" s="377">
        <f t="shared" si="269"/>
        <v>0</v>
      </c>
      <c r="Z691" s="377">
        <f t="shared" si="270"/>
        <v>0</v>
      </c>
      <c r="AA691" s="377">
        <f t="shared" si="271"/>
        <v>0</v>
      </c>
      <c r="AB691" s="377">
        <f t="shared" si="272"/>
        <v>0</v>
      </c>
      <c r="AC691" s="377">
        <f t="shared" si="273"/>
        <v>0</v>
      </c>
      <c r="AD691" s="376"/>
      <c r="AE691" s="332">
        <v>676</v>
      </c>
      <c r="AF691" s="350">
        <v>734067.45884892112</v>
      </c>
      <c r="AG691" s="350">
        <v>731422.11334934086</v>
      </c>
      <c r="AH691" s="350">
        <v>728561.30188362231</v>
      </c>
      <c r="AI691" s="350">
        <v>725129.14612869802</v>
      </c>
      <c r="AJ691" s="350">
        <v>720810.37664647202</v>
      </c>
      <c r="AK691" s="348">
        <v>3639990.3968570549</v>
      </c>
      <c r="AL691" s="369"/>
      <c r="AM691" s="350">
        <v>20903492.745019969</v>
      </c>
      <c r="AN691" s="350">
        <v>20718775.647237018</v>
      </c>
      <c r="AO691" s="350">
        <v>20516347.024021525</v>
      </c>
      <c r="AP691" s="350">
        <v>20256770.501568288</v>
      </c>
      <c r="AQ691" s="350">
        <v>19906300.391181137</v>
      </c>
      <c r="AR691" s="348">
        <v>102301686.30902794</v>
      </c>
      <c r="AS691" s="369"/>
      <c r="AT691" s="350">
        <f t="shared" si="291"/>
        <v>20169425.286171049</v>
      </c>
      <c r="AU691" s="350">
        <f t="shared" si="274"/>
        <v>19987353.533887677</v>
      </c>
      <c r="AV691" s="350">
        <f t="shared" si="275"/>
        <v>19787785.722137902</v>
      </c>
      <c r="AW691" s="350">
        <f t="shared" si="276"/>
        <v>19531641.355439588</v>
      </c>
      <c r="AX691" s="350">
        <f t="shared" si="277"/>
        <v>19185490.014534667</v>
      </c>
      <c r="AY691" s="350">
        <f t="shared" si="278"/>
        <v>98661695.912170887</v>
      </c>
      <c r="AZ691" s="365"/>
      <c r="BA691" s="377">
        <f t="shared" si="279"/>
        <v>0</v>
      </c>
      <c r="BB691" s="377">
        <f t="shared" si="280"/>
        <v>0</v>
      </c>
      <c r="BC691" s="377">
        <f t="shared" si="281"/>
        <v>0</v>
      </c>
      <c r="BD691" s="377">
        <f t="shared" si="282"/>
        <v>0</v>
      </c>
      <c r="BE691" s="377">
        <f t="shared" si="283"/>
        <v>0</v>
      </c>
      <c r="BF691" s="377">
        <f t="shared" si="284"/>
        <v>0</v>
      </c>
      <c r="BG691" s="328"/>
    </row>
    <row r="692" spans="2:59">
      <c r="B692" s="332">
        <v>677</v>
      </c>
      <c r="C692" s="350">
        <v>7371846.4599948116</v>
      </c>
      <c r="D692" s="350">
        <v>7345280.6714947717</v>
      </c>
      <c r="E692" s="350">
        <v>7316551.0736600682</v>
      </c>
      <c r="F692" s="350">
        <v>7282083.7710340079</v>
      </c>
      <c r="G692" s="350">
        <v>7238712.6814491283</v>
      </c>
      <c r="H692" s="348">
        <v>36554474.657632791</v>
      </c>
      <c r="I692" s="369"/>
      <c r="J692" s="350">
        <v>25443827.776785754</v>
      </c>
      <c r="K692" s="350">
        <v>24918418.327023864</v>
      </c>
      <c r="L692" s="350">
        <v>24377587.999329008</v>
      </c>
      <c r="M692" s="350">
        <v>23783042.045260463</v>
      </c>
      <c r="N692" s="350">
        <v>23102607.052413121</v>
      </c>
      <c r="O692" s="348">
        <v>121625483.20081221</v>
      </c>
      <c r="P692" s="369"/>
      <c r="Q692" s="350">
        <f t="shared" si="285"/>
        <v>18071981.316790942</v>
      </c>
      <c r="R692" s="350">
        <f t="shared" si="286"/>
        <v>17573137.655529093</v>
      </c>
      <c r="S692" s="350">
        <f t="shared" si="287"/>
        <v>17061036.92566894</v>
      </c>
      <c r="T692" s="350">
        <f t="shared" si="288"/>
        <v>16500958.274226455</v>
      </c>
      <c r="U692" s="350">
        <f t="shared" si="289"/>
        <v>15863894.370963993</v>
      </c>
      <c r="V692" s="350">
        <f t="shared" si="290"/>
        <v>85071008.543179423</v>
      </c>
      <c r="W692" s="365"/>
      <c r="X692" s="377">
        <f t="shared" si="268"/>
        <v>0</v>
      </c>
      <c r="Y692" s="377">
        <f t="shared" si="269"/>
        <v>0</v>
      </c>
      <c r="Z692" s="377">
        <f t="shared" si="270"/>
        <v>0</v>
      </c>
      <c r="AA692" s="377">
        <f t="shared" si="271"/>
        <v>0</v>
      </c>
      <c r="AB692" s="377">
        <f t="shared" si="272"/>
        <v>0</v>
      </c>
      <c r="AC692" s="377">
        <f t="shared" si="273"/>
        <v>0</v>
      </c>
      <c r="AD692" s="376"/>
      <c r="AE692" s="332">
        <v>677</v>
      </c>
      <c r="AF692" s="350">
        <v>560353.69201385882</v>
      </c>
      <c r="AG692" s="350">
        <v>558334.35564432887</v>
      </c>
      <c r="AH692" s="350">
        <v>556150.54236171197</v>
      </c>
      <c r="AI692" s="350">
        <v>553530.59084955242</v>
      </c>
      <c r="AJ692" s="350">
        <v>550233.83876614447</v>
      </c>
      <c r="AK692" s="348">
        <v>2778603.0196355968</v>
      </c>
      <c r="AL692" s="369"/>
      <c r="AM692" s="350">
        <v>16198863.098542506</v>
      </c>
      <c r="AN692" s="350">
        <v>16056113.655900367</v>
      </c>
      <c r="AO692" s="350">
        <v>15899630.86527897</v>
      </c>
      <c r="AP692" s="350">
        <v>15698841.333319575</v>
      </c>
      <c r="AQ692" s="350">
        <v>15427582.638698796</v>
      </c>
      <c r="AR692" s="348">
        <v>79281031.591740221</v>
      </c>
      <c r="AS692" s="369"/>
      <c r="AT692" s="350">
        <f t="shared" si="291"/>
        <v>15638509.406528648</v>
      </c>
      <c r="AU692" s="350">
        <f t="shared" si="274"/>
        <v>15497779.300256038</v>
      </c>
      <c r="AV692" s="350">
        <f t="shared" si="275"/>
        <v>15343480.322917258</v>
      </c>
      <c r="AW692" s="350">
        <f t="shared" si="276"/>
        <v>15145310.742470022</v>
      </c>
      <c r="AX692" s="350">
        <f t="shared" si="277"/>
        <v>14877348.799932651</v>
      </c>
      <c r="AY692" s="350">
        <f t="shared" si="278"/>
        <v>76502428.572104618</v>
      </c>
      <c r="AZ692" s="365"/>
      <c r="BA692" s="377">
        <f t="shared" si="279"/>
        <v>0</v>
      </c>
      <c r="BB692" s="377">
        <f t="shared" si="280"/>
        <v>0</v>
      </c>
      <c r="BC692" s="377">
        <f t="shared" si="281"/>
        <v>0</v>
      </c>
      <c r="BD692" s="377">
        <f t="shared" si="282"/>
        <v>0</v>
      </c>
      <c r="BE692" s="377">
        <f t="shared" si="283"/>
        <v>0</v>
      </c>
      <c r="BF692" s="377">
        <f t="shared" si="284"/>
        <v>0</v>
      </c>
      <c r="BG692" s="328"/>
    </row>
    <row r="693" spans="2:59">
      <c r="B693" s="332">
        <v>678</v>
      </c>
      <c r="C693" s="350">
        <v>1210511.0839498471</v>
      </c>
      <c r="D693" s="350">
        <v>1206148.7872569242</v>
      </c>
      <c r="E693" s="350">
        <v>1201431.1772517436</v>
      </c>
      <c r="F693" s="350">
        <v>1195771.3941717353</v>
      </c>
      <c r="G693" s="350">
        <v>1188649.5441779257</v>
      </c>
      <c r="H693" s="348">
        <v>6002511.9868081752</v>
      </c>
      <c r="I693" s="369"/>
      <c r="J693" s="350">
        <v>3365944.7178494493</v>
      </c>
      <c r="K693" s="350">
        <v>3285521.8732895926</v>
      </c>
      <c r="L693" s="350">
        <v>3203281.9345506392</v>
      </c>
      <c r="M693" s="350">
        <v>3114511.4935522769</v>
      </c>
      <c r="N693" s="350">
        <v>3015277.677043627</v>
      </c>
      <c r="O693" s="348">
        <v>15984537.696285583</v>
      </c>
      <c r="P693" s="369"/>
      <c r="Q693" s="350">
        <f t="shared" si="285"/>
        <v>2155433.6338996021</v>
      </c>
      <c r="R693" s="350">
        <f t="shared" si="286"/>
        <v>2079373.0860326684</v>
      </c>
      <c r="S693" s="350">
        <f t="shared" si="287"/>
        <v>2001850.7572988956</v>
      </c>
      <c r="T693" s="350">
        <f t="shared" si="288"/>
        <v>1918740.0993805416</v>
      </c>
      <c r="U693" s="350">
        <f t="shared" si="289"/>
        <v>1826628.1328657013</v>
      </c>
      <c r="V693" s="350">
        <f t="shared" si="290"/>
        <v>9982025.7094774079</v>
      </c>
      <c r="W693" s="365"/>
      <c r="X693" s="377">
        <f t="shared" si="268"/>
        <v>0</v>
      </c>
      <c r="Y693" s="377">
        <f t="shared" si="269"/>
        <v>0</v>
      </c>
      <c r="Z693" s="377">
        <f t="shared" si="270"/>
        <v>0</v>
      </c>
      <c r="AA693" s="377">
        <f t="shared" si="271"/>
        <v>0</v>
      </c>
      <c r="AB693" s="377">
        <f t="shared" si="272"/>
        <v>0</v>
      </c>
      <c r="AC693" s="377">
        <f t="shared" si="273"/>
        <v>0</v>
      </c>
      <c r="AD693" s="376"/>
      <c r="AE693" s="332">
        <v>678</v>
      </c>
      <c r="AF693" s="350">
        <v>715200.67219997023</v>
      </c>
      <c r="AG693" s="350">
        <v>712623.31659498578</v>
      </c>
      <c r="AH693" s="350">
        <v>709836.03286696458</v>
      </c>
      <c r="AI693" s="350">
        <v>706492.08937318018</v>
      </c>
      <c r="AJ693" s="350">
        <v>702284.31963821838</v>
      </c>
      <c r="AK693" s="348">
        <v>3546436.4306733189</v>
      </c>
      <c r="AL693" s="369"/>
      <c r="AM693" s="350">
        <v>20079096.796352454</v>
      </c>
      <c r="AN693" s="350">
        <v>19901196.769265767</v>
      </c>
      <c r="AO693" s="350">
        <v>19706293.280541867</v>
      </c>
      <c r="AP693" s="350">
        <v>19456520.365148488</v>
      </c>
      <c r="AQ693" s="350">
        <v>19119477.059243634</v>
      </c>
      <c r="AR693" s="348">
        <v>98262584.270552203</v>
      </c>
      <c r="AS693" s="369"/>
      <c r="AT693" s="350">
        <f t="shared" si="291"/>
        <v>19363896.124152482</v>
      </c>
      <c r="AU693" s="350">
        <f t="shared" si="274"/>
        <v>19188573.452670783</v>
      </c>
      <c r="AV693" s="350">
        <f t="shared" si="275"/>
        <v>18996457.247674901</v>
      </c>
      <c r="AW693" s="350">
        <f t="shared" si="276"/>
        <v>18750028.27577531</v>
      </c>
      <c r="AX693" s="350">
        <f t="shared" si="277"/>
        <v>18417192.739605416</v>
      </c>
      <c r="AY693" s="350">
        <f t="shared" si="278"/>
        <v>94716147.839878887</v>
      </c>
      <c r="AZ693" s="365"/>
      <c r="BA693" s="377">
        <f t="shared" si="279"/>
        <v>0</v>
      </c>
      <c r="BB693" s="377">
        <f t="shared" si="280"/>
        <v>0</v>
      </c>
      <c r="BC693" s="377">
        <f t="shared" si="281"/>
        <v>0</v>
      </c>
      <c r="BD693" s="377">
        <f t="shared" si="282"/>
        <v>0</v>
      </c>
      <c r="BE693" s="377">
        <f t="shared" si="283"/>
        <v>0</v>
      </c>
      <c r="BF693" s="377">
        <f t="shared" si="284"/>
        <v>0</v>
      </c>
      <c r="BG693" s="328"/>
    </row>
    <row r="694" spans="2:59">
      <c r="B694" s="332">
        <v>679</v>
      </c>
      <c r="C694" s="350">
        <v>5059138.7947436301</v>
      </c>
      <c r="D694" s="350">
        <v>5040907.2686337363</v>
      </c>
      <c r="E694" s="350">
        <v>5021190.7669741204</v>
      </c>
      <c r="F694" s="350">
        <v>4997536.6026054043</v>
      </c>
      <c r="G694" s="350">
        <v>4967771.9618088389</v>
      </c>
      <c r="H694" s="348">
        <v>25086545.394765727</v>
      </c>
      <c r="I694" s="369"/>
      <c r="J694" s="350">
        <v>19868772.055030458</v>
      </c>
      <c r="K694" s="350">
        <v>19490845.179182298</v>
      </c>
      <c r="L694" s="350">
        <v>19100215.559291549</v>
      </c>
      <c r="M694" s="350">
        <v>18665934.218500677</v>
      </c>
      <c r="N694" s="350">
        <v>18161918.962937597</v>
      </c>
      <c r="O694" s="348">
        <v>95287685.97494258</v>
      </c>
      <c r="P694" s="369"/>
      <c r="Q694" s="350">
        <f t="shared" si="285"/>
        <v>14809633.260286827</v>
      </c>
      <c r="R694" s="350">
        <f t="shared" si="286"/>
        <v>14449937.910548562</v>
      </c>
      <c r="S694" s="350">
        <f t="shared" si="287"/>
        <v>14079024.792317428</v>
      </c>
      <c r="T694" s="350">
        <f t="shared" si="288"/>
        <v>13668397.615895273</v>
      </c>
      <c r="U694" s="350">
        <f t="shared" si="289"/>
        <v>13194147.001128759</v>
      </c>
      <c r="V694" s="350">
        <f t="shared" si="290"/>
        <v>70201140.58017686</v>
      </c>
      <c r="W694" s="365"/>
      <c r="X694" s="377">
        <f t="shared" si="268"/>
        <v>0</v>
      </c>
      <c r="Y694" s="377">
        <f t="shared" si="269"/>
        <v>0</v>
      </c>
      <c r="Z694" s="377">
        <f t="shared" si="270"/>
        <v>0</v>
      </c>
      <c r="AA694" s="377">
        <f t="shared" si="271"/>
        <v>0</v>
      </c>
      <c r="AB694" s="377">
        <f t="shared" si="272"/>
        <v>0</v>
      </c>
      <c r="AC694" s="377">
        <f t="shared" si="273"/>
        <v>0</v>
      </c>
      <c r="AD694" s="376"/>
      <c r="AE694" s="332">
        <v>679</v>
      </c>
      <c r="AF694" s="350">
        <v>585502.16816462378</v>
      </c>
      <c r="AG694" s="350">
        <v>583392.20469072543</v>
      </c>
      <c r="AH694" s="350">
        <v>581110.38263786514</v>
      </c>
      <c r="AI694" s="350">
        <v>578372.84862547612</v>
      </c>
      <c r="AJ694" s="350">
        <v>574928.13947080041</v>
      </c>
      <c r="AK694" s="348">
        <v>2903305.7435894907</v>
      </c>
      <c r="AL694" s="369"/>
      <c r="AM694" s="350">
        <v>12281381.379911104</v>
      </c>
      <c r="AN694" s="350">
        <v>12165699.855261698</v>
      </c>
      <c r="AO694" s="350">
        <v>12039758.426172178</v>
      </c>
      <c r="AP694" s="350">
        <v>11880618.21491286</v>
      </c>
      <c r="AQ694" s="350">
        <v>11668664.606578175</v>
      </c>
      <c r="AR694" s="348">
        <v>60036122.482836008</v>
      </c>
      <c r="AS694" s="369"/>
      <c r="AT694" s="350">
        <f t="shared" si="291"/>
        <v>11695879.21174648</v>
      </c>
      <c r="AU694" s="350">
        <f t="shared" si="274"/>
        <v>11582307.650570974</v>
      </c>
      <c r="AV694" s="350">
        <f t="shared" si="275"/>
        <v>11458648.043534312</v>
      </c>
      <c r="AW694" s="350">
        <f t="shared" si="276"/>
        <v>11302245.366287384</v>
      </c>
      <c r="AX694" s="350">
        <f t="shared" si="277"/>
        <v>11093736.467107374</v>
      </c>
      <c r="AY694" s="350">
        <f t="shared" si="278"/>
        <v>57132816.739246517</v>
      </c>
      <c r="AZ694" s="365"/>
      <c r="BA694" s="377">
        <f t="shared" si="279"/>
        <v>0</v>
      </c>
      <c r="BB694" s="377">
        <f t="shared" si="280"/>
        <v>0</v>
      </c>
      <c r="BC694" s="377">
        <f t="shared" si="281"/>
        <v>0</v>
      </c>
      <c r="BD694" s="377">
        <f t="shared" si="282"/>
        <v>0</v>
      </c>
      <c r="BE694" s="377">
        <f t="shared" si="283"/>
        <v>0</v>
      </c>
      <c r="BF694" s="377">
        <f t="shared" si="284"/>
        <v>0</v>
      </c>
      <c r="BG694" s="328"/>
    </row>
    <row r="695" spans="2:59">
      <c r="B695" s="332">
        <v>680</v>
      </c>
      <c r="C695" s="350">
        <v>7060386.3743245499</v>
      </c>
      <c r="D695" s="350">
        <v>7034942.9888489079</v>
      </c>
      <c r="E695" s="350">
        <v>7007427.2148575857</v>
      </c>
      <c r="F695" s="350">
        <v>6974416.1537697874</v>
      </c>
      <c r="G695" s="350">
        <v>6932877.490206128</v>
      </c>
      <c r="H695" s="348">
        <v>35010050.222006962</v>
      </c>
      <c r="I695" s="369"/>
      <c r="J695" s="350">
        <v>21849785.774768602</v>
      </c>
      <c r="K695" s="350">
        <v>21364730.493358262</v>
      </c>
      <c r="L695" s="350">
        <v>20867124.058209129</v>
      </c>
      <c r="M695" s="350">
        <v>20325174.630754784</v>
      </c>
      <c r="N695" s="350">
        <v>19712256.310736299</v>
      </c>
      <c r="O695" s="348">
        <v>104119071.26782706</v>
      </c>
      <c r="P695" s="369"/>
      <c r="Q695" s="350">
        <f t="shared" si="285"/>
        <v>14789399.400444053</v>
      </c>
      <c r="R695" s="350">
        <f t="shared" si="286"/>
        <v>14329787.504509354</v>
      </c>
      <c r="S695" s="350">
        <f t="shared" si="287"/>
        <v>13859696.843351543</v>
      </c>
      <c r="T695" s="350">
        <f t="shared" si="288"/>
        <v>13350758.476984996</v>
      </c>
      <c r="U695" s="350">
        <f t="shared" si="289"/>
        <v>12779378.820530171</v>
      </c>
      <c r="V695" s="350">
        <f t="shared" si="290"/>
        <v>69109021.045820102</v>
      </c>
      <c r="W695" s="365"/>
      <c r="X695" s="377">
        <f t="shared" si="268"/>
        <v>0</v>
      </c>
      <c r="Y695" s="377">
        <f t="shared" si="269"/>
        <v>0</v>
      </c>
      <c r="Z695" s="377">
        <f t="shared" si="270"/>
        <v>0</v>
      </c>
      <c r="AA695" s="377">
        <f t="shared" si="271"/>
        <v>0</v>
      </c>
      <c r="AB695" s="377">
        <f t="shared" si="272"/>
        <v>0</v>
      </c>
      <c r="AC695" s="377">
        <f t="shared" si="273"/>
        <v>0</v>
      </c>
      <c r="AD695" s="376"/>
      <c r="AE695" s="332">
        <v>680</v>
      </c>
      <c r="AF695" s="350">
        <v>490314.62775640859</v>
      </c>
      <c r="AG695" s="350">
        <v>488547.68988403957</v>
      </c>
      <c r="AH695" s="350">
        <v>486636.83320188319</v>
      </c>
      <c r="AI695" s="350">
        <v>484344.351562639</v>
      </c>
      <c r="AJ695" s="350">
        <v>481459.66320666159</v>
      </c>
      <c r="AK695" s="348">
        <v>2431303.1656116322</v>
      </c>
      <c r="AL695" s="369"/>
      <c r="AM695" s="350">
        <v>15342380.643514728</v>
      </c>
      <c r="AN695" s="350">
        <v>15209053.735961057</v>
      </c>
      <c r="AO695" s="350">
        <v>15062681.317262808</v>
      </c>
      <c r="AP695" s="350">
        <v>14874245.946904669</v>
      </c>
      <c r="AQ695" s="350">
        <v>14618912.959080864</v>
      </c>
      <c r="AR695" s="348">
        <v>75107274.60272412</v>
      </c>
      <c r="AS695" s="369"/>
      <c r="AT695" s="350">
        <f t="shared" si="291"/>
        <v>14852066.015758319</v>
      </c>
      <c r="AU695" s="350">
        <f t="shared" si="274"/>
        <v>14720506.046077017</v>
      </c>
      <c r="AV695" s="350">
        <f t="shared" si="275"/>
        <v>14576044.484060925</v>
      </c>
      <c r="AW695" s="350">
        <f t="shared" si="276"/>
        <v>14389901.595342029</v>
      </c>
      <c r="AX695" s="350">
        <f t="shared" si="277"/>
        <v>14137453.295874203</v>
      </c>
      <c r="AY695" s="350">
        <f t="shared" si="278"/>
        <v>72675971.43711248</v>
      </c>
      <c r="AZ695" s="365"/>
      <c r="BA695" s="377">
        <f t="shared" si="279"/>
        <v>0</v>
      </c>
      <c r="BB695" s="377">
        <f t="shared" si="280"/>
        <v>0</v>
      </c>
      <c r="BC695" s="377">
        <f t="shared" si="281"/>
        <v>0</v>
      </c>
      <c r="BD695" s="377">
        <f t="shared" si="282"/>
        <v>0</v>
      </c>
      <c r="BE695" s="377">
        <f t="shared" si="283"/>
        <v>0</v>
      </c>
      <c r="BF695" s="377">
        <f t="shared" si="284"/>
        <v>0</v>
      </c>
      <c r="BG695" s="328"/>
    </row>
    <row r="696" spans="2:59">
      <c r="B696" s="332">
        <v>681</v>
      </c>
      <c r="C696" s="350">
        <v>4184493.9798974618</v>
      </c>
      <c r="D696" s="350">
        <v>4169414.3953384347</v>
      </c>
      <c r="E696" s="350">
        <v>4153106.5639373632</v>
      </c>
      <c r="F696" s="350">
        <v>4133541.8292233753</v>
      </c>
      <c r="G696" s="350">
        <v>4108923.0224896213</v>
      </c>
      <c r="H696" s="348">
        <v>20749479.790886257</v>
      </c>
      <c r="I696" s="369"/>
      <c r="J696" s="350">
        <v>15361307.23678215</v>
      </c>
      <c r="K696" s="350">
        <v>15056447.597470861</v>
      </c>
      <c r="L696" s="350">
        <v>14742025.701554928</v>
      </c>
      <c r="M696" s="350">
        <v>14394522.905995499</v>
      </c>
      <c r="N696" s="350">
        <v>13994149.314153291</v>
      </c>
      <c r="O696" s="348">
        <v>73548452.755956739</v>
      </c>
      <c r="P696" s="369"/>
      <c r="Q696" s="350">
        <f t="shared" si="285"/>
        <v>11176813.256884689</v>
      </c>
      <c r="R696" s="350">
        <f t="shared" si="286"/>
        <v>10887033.202132426</v>
      </c>
      <c r="S696" s="350">
        <f t="shared" si="287"/>
        <v>10588919.137617566</v>
      </c>
      <c r="T696" s="350">
        <f t="shared" si="288"/>
        <v>10260981.076772124</v>
      </c>
      <c r="U696" s="350">
        <f t="shared" si="289"/>
        <v>9885226.291663669</v>
      </c>
      <c r="V696" s="350">
        <f t="shared" si="290"/>
        <v>52798972.965070486</v>
      </c>
      <c r="W696" s="365"/>
      <c r="X696" s="377">
        <f t="shared" si="268"/>
        <v>0</v>
      </c>
      <c r="Y696" s="377">
        <f t="shared" si="269"/>
        <v>0</v>
      </c>
      <c r="Z696" s="377">
        <f t="shared" si="270"/>
        <v>0</v>
      </c>
      <c r="AA696" s="377">
        <f t="shared" si="271"/>
        <v>0</v>
      </c>
      <c r="AB696" s="377">
        <f t="shared" si="272"/>
        <v>0</v>
      </c>
      <c r="AC696" s="377">
        <f t="shared" si="273"/>
        <v>0</v>
      </c>
      <c r="AD696" s="376"/>
      <c r="AE696" s="332">
        <v>681</v>
      </c>
      <c r="AF696" s="350">
        <v>427640.08120109484</v>
      </c>
      <c r="AG696" s="350">
        <v>426099.00244789786</v>
      </c>
      <c r="AH696" s="350">
        <v>424432.40133003949</v>
      </c>
      <c r="AI696" s="350">
        <v>422432.9565269255</v>
      </c>
      <c r="AJ696" s="350">
        <v>419917.00392637838</v>
      </c>
      <c r="AK696" s="348">
        <v>2120521.4454323361</v>
      </c>
      <c r="AL696" s="369"/>
      <c r="AM696" s="350">
        <v>10737849.879947087</v>
      </c>
      <c r="AN696" s="350">
        <v>10640617.36749747</v>
      </c>
      <c r="AO696" s="350">
        <v>10534334.577484274</v>
      </c>
      <c r="AP696" s="350">
        <v>10398819.322196476</v>
      </c>
      <c r="AQ696" s="350">
        <v>10216806.358608024</v>
      </c>
      <c r="AR696" s="348">
        <v>52528427.505733326</v>
      </c>
      <c r="AS696" s="369"/>
      <c r="AT696" s="350">
        <f t="shared" si="291"/>
        <v>10310209.798745992</v>
      </c>
      <c r="AU696" s="350">
        <f t="shared" si="274"/>
        <v>10214518.365049573</v>
      </c>
      <c r="AV696" s="350">
        <f t="shared" si="275"/>
        <v>10109902.176154235</v>
      </c>
      <c r="AW696" s="350">
        <f t="shared" si="276"/>
        <v>9976386.3656695504</v>
      </c>
      <c r="AX696" s="350">
        <f t="shared" si="277"/>
        <v>9796889.3546816465</v>
      </c>
      <c r="AY696" s="350">
        <f t="shared" si="278"/>
        <v>50407906.060300991</v>
      </c>
      <c r="AZ696" s="365"/>
      <c r="BA696" s="377">
        <f t="shared" si="279"/>
        <v>0</v>
      </c>
      <c r="BB696" s="377">
        <f t="shared" si="280"/>
        <v>0</v>
      </c>
      <c r="BC696" s="377">
        <f t="shared" si="281"/>
        <v>0</v>
      </c>
      <c r="BD696" s="377">
        <f t="shared" si="282"/>
        <v>0</v>
      </c>
      <c r="BE696" s="377">
        <f t="shared" si="283"/>
        <v>0</v>
      </c>
      <c r="BF696" s="377">
        <f t="shared" si="284"/>
        <v>0</v>
      </c>
      <c r="BG696" s="328"/>
    </row>
    <row r="697" spans="2:59">
      <c r="B697" s="332">
        <v>682</v>
      </c>
      <c r="C697" s="350">
        <v>4730763.9023700003</v>
      </c>
      <c r="D697" s="350">
        <v>4713715.7348646112</v>
      </c>
      <c r="E697" s="350">
        <v>4695278.9775198158</v>
      </c>
      <c r="F697" s="350">
        <v>4673160.1404061718</v>
      </c>
      <c r="G697" s="350">
        <v>4645327.4412136348</v>
      </c>
      <c r="H697" s="348">
        <v>23458246.196374234</v>
      </c>
      <c r="I697" s="369"/>
      <c r="J697" s="350">
        <v>14018635.7607082</v>
      </c>
      <c r="K697" s="350">
        <v>13698108.329589974</v>
      </c>
      <c r="L697" s="350">
        <v>13369718.502590649</v>
      </c>
      <c r="M697" s="350">
        <v>13013369.914721455</v>
      </c>
      <c r="N697" s="350">
        <v>12612255.649235029</v>
      </c>
      <c r="O697" s="348">
        <v>66712088.156845301</v>
      </c>
      <c r="P697" s="369"/>
      <c r="Q697" s="350">
        <f t="shared" si="285"/>
        <v>9287871.8583381996</v>
      </c>
      <c r="R697" s="350">
        <f t="shared" si="286"/>
        <v>8984392.594725363</v>
      </c>
      <c r="S697" s="350">
        <f t="shared" si="287"/>
        <v>8674439.525070833</v>
      </c>
      <c r="T697" s="350">
        <f t="shared" si="288"/>
        <v>8340209.7743152836</v>
      </c>
      <c r="U697" s="350">
        <f t="shared" si="289"/>
        <v>7966928.208021394</v>
      </c>
      <c r="V697" s="350">
        <f t="shared" si="290"/>
        <v>43253841.960471064</v>
      </c>
      <c r="W697" s="365"/>
      <c r="X697" s="377">
        <f t="shared" si="268"/>
        <v>0</v>
      </c>
      <c r="Y697" s="377">
        <f t="shared" si="269"/>
        <v>0</v>
      </c>
      <c r="Z697" s="377">
        <f t="shared" si="270"/>
        <v>0</v>
      </c>
      <c r="AA697" s="377">
        <f t="shared" si="271"/>
        <v>0</v>
      </c>
      <c r="AB697" s="377">
        <f t="shared" si="272"/>
        <v>0</v>
      </c>
      <c r="AC697" s="377">
        <f t="shared" si="273"/>
        <v>0</v>
      </c>
      <c r="AD697" s="376"/>
      <c r="AE697" s="332">
        <v>682</v>
      </c>
      <c r="AF697" s="350">
        <v>519395.36953561608</v>
      </c>
      <c r="AG697" s="350">
        <v>517523.63392502465</v>
      </c>
      <c r="AH697" s="350">
        <v>515499.44362684863</v>
      </c>
      <c r="AI697" s="350">
        <v>513070.99405434204</v>
      </c>
      <c r="AJ697" s="350">
        <v>510015.21376586927</v>
      </c>
      <c r="AK697" s="348">
        <v>2575504.6549077011</v>
      </c>
      <c r="AL697" s="369"/>
      <c r="AM697" s="350">
        <v>15021428.762072431</v>
      </c>
      <c r="AN697" s="350">
        <v>14889065.832039095</v>
      </c>
      <c r="AO697" s="350">
        <v>14743967.563039605</v>
      </c>
      <c r="AP697" s="350">
        <v>14557782.484377833</v>
      </c>
      <c r="AQ697" s="350">
        <v>14306249.508837577</v>
      </c>
      <c r="AR697" s="348">
        <v>73518494.150366545</v>
      </c>
      <c r="AS697" s="369"/>
      <c r="AT697" s="350">
        <f t="shared" si="291"/>
        <v>14502033.392536815</v>
      </c>
      <c r="AU697" s="350">
        <f t="shared" si="274"/>
        <v>14371542.198114071</v>
      </c>
      <c r="AV697" s="350">
        <f t="shared" si="275"/>
        <v>14228468.119412756</v>
      </c>
      <c r="AW697" s="350">
        <f t="shared" si="276"/>
        <v>14044711.490323491</v>
      </c>
      <c r="AX697" s="350">
        <f t="shared" si="277"/>
        <v>13796234.295071708</v>
      </c>
      <c r="AY697" s="350">
        <f t="shared" si="278"/>
        <v>70942989.495458841</v>
      </c>
      <c r="AZ697" s="365"/>
      <c r="BA697" s="377">
        <f t="shared" si="279"/>
        <v>0</v>
      </c>
      <c r="BB697" s="377">
        <f t="shared" si="280"/>
        <v>0</v>
      </c>
      <c r="BC697" s="377">
        <f t="shared" si="281"/>
        <v>0</v>
      </c>
      <c r="BD697" s="377">
        <f t="shared" si="282"/>
        <v>0</v>
      </c>
      <c r="BE697" s="377">
        <f t="shared" si="283"/>
        <v>0</v>
      </c>
      <c r="BF697" s="377">
        <f t="shared" si="284"/>
        <v>0</v>
      </c>
      <c r="BG697" s="328"/>
    </row>
    <row r="698" spans="2:59">
      <c r="B698" s="332">
        <v>683</v>
      </c>
      <c r="C698" s="350">
        <v>6785251.4432922257</v>
      </c>
      <c r="D698" s="350">
        <v>6760799.5565444045</v>
      </c>
      <c r="E698" s="350">
        <v>6734356.0398174915</v>
      </c>
      <c r="F698" s="350">
        <v>6702631.3808519244</v>
      </c>
      <c r="G698" s="350">
        <v>6662711.4300227836</v>
      </c>
      <c r="H698" s="348">
        <v>33645749.850528829</v>
      </c>
      <c r="I698" s="369"/>
      <c r="J698" s="350">
        <v>18863544.834803861</v>
      </c>
      <c r="K698" s="350">
        <v>18412777.725128382</v>
      </c>
      <c r="L698" s="350">
        <v>17951828.389425263</v>
      </c>
      <c r="M698" s="350">
        <v>17454283.67417768</v>
      </c>
      <c r="N698" s="350">
        <v>16898104.569379088</v>
      </c>
      <c r="O698" s="348">
        <v>89580539.192914277</v>
      </c>
      <c r="P698" s="369"/>
      <c r="Q698" s="350">
        <f t="shared" si="285"/>
        <v>12078293.391511634</v>
      </c>
      <c r="R698" s="350">
        <f t="shared" si="286"/>
        <v>11651978.168583978</v>
      </c>
      <c r="S698" s="350">
        <f t="shared" si="287"/>
        <v>11217472.349607771</v>
      </c>
      <c r="T698" s="350">
        <f t="shared" si="288"/>
        <v>10751652.293325756</v>
      </c>
      <c r="U698" s="350">
        <f t="shared" si="289"/>
        <v>10235393.139356304</v>
      </c>
      <c r="V698" s="350">
        <f t="shared" si="290"/>
        <v>55934789.342385449</v>
      </c>
      <c r="W698" s="365"/>
      <c r="X698" s="377">
        <f t="shared" si="268"/>
        <v>0</v>
      </c>
      <c r="Y698" s="377">
        <f t="shared" si="269"/>
        <v>0</v>
      </c>
      <c r="Z698" s="377">
        <f t="shared" si="270"/>
        <v>0</v>
      </c>
      <c r="AA698" s="377">
        <f t="shared" si="271"/>
        <v>0</v>
      </c>
      <c r="AB698" s="377">
        <f t="shared" si="272"/>
        <v>0</v>
      </c>
      <c r="AC698" s="377">
        <f t="shared" si="273"/>
        <v>0</v>
      </c>
      <c r="AD698" s="376"/>
      <c r="AE698" s="332">
        <v>683</v>
      </c>
      <c r="AF698" s="350">
        <v>436553.30168396066</v>
      </c>
      <c r="AG698" s="350">
        <v>434980.10252083803</v>
      </c>
      <c r="AH698" s="350">
        <v>433278.76475439739</v>
      </c>
      <c r="AI698" s="350">
        <v>431237.64590538153</v>
      </c>
      <c r="AJ698" s="350">
        <v>428669.25378562446</v>
      </c>
      <c r="AK698" s="348">
        <v>2164719.0686502019</v>
      </c>
      <c r="AL698" s="369"/>
      <c r="AM698" s="350">
        <v>12212774.872732354</v>
      </c>
      <c r="AN698" s="350">
        <v>12104498.499130936</v>
      </c>
      <c r="AO698" s="350">
        <v>11985881.517549945</v>
      </c>
      <c r="AP698" s="350">
        <v>11833894.902202459</v>
      </c>
      <c r="AQ698" s="350">
        <v>11628833.430884719</v>
      </c>
      <c r="AR698" s="348">
        <v>59765883.222500414</v>
      </c>
      <c r="AS698" s="369"/>
      <c r="AT698" s="350">
        <f t="shared" si="291"/>
        <v>11776221.571048394</v>
      </c>
      <c r="AU698" s="350">
        <f t="shared" si="274"/>
        <v>11669518.396610098</v>
      </c>
      <c r="AV698" s="350">
        <f t="shared" si="275"/>
        <v>11552602.752795547</v>
      </c>
      <c r="AW698" s="350">
        <f t="shared" si="276"/>
        <v>11402657.256297078</v>
      </c>
      <c r="AX698" s="350">
        <f t="shared" si="277"/>
        <v>11200164.177099094</v>
      </c>
      <c r="AY698" s="350">
        <f t="shared" si="278"/>
        <v>57601164.153850213</v>
      </c>
      <c r="AZ698" s="365"/>
      <c r="BA698" s="377">
        <f t="shared" si="279"/>
        <v>0</v>
      </c>
      <c r="BB698" s="377">
        <f t="shared" si="280"/>
        <v>0</v>
      </c>
      <c r="BC698" s="377">
        <f t="shared" si="281"/>
        <v>0</v>
      </c>
      <c r="BD698" s="377">
        <f t="shared" si="282"/>
        <v>0</v>
      </c>
      <c r="BE698" s="377">
        <f t="shared" si="283"/>
        <v>0</v>
      </c>
      <c r="BF698" s="377">
        <f t="shared" si="284"/>
        <v>0</v>
      </c>
      <c r="BG698" s="328"/>
    </row>
    <row r="699" spans="2:59">
      <c r="B699" s="332">
        <v>684</v>
      </c>
      <c r="C699" s="350">
        <v>3840145.9158110768</v>
      </c>
      <c r="D699" s="350">
        <v>3826307.2520838324</v>
      </c>
      <c r="E699" s="350">
        <v>3811341.4157243082</v>
      </c>
      <c r="F699" s="350">
        <v>3793386.6913378518</v>
      </c>
      <c r="G699" s="350">
        <v>3770793.8018307937</v>
      </c>
      <c r="H699" s="348">
        <v>19041975.076787863</v>
      </c>
      <c r="I699" s="369"/>
      <c r="J699" s="350">
        <v>11357905.34174877</v>
      </c>
      <c r="K699" s="350">
        <v>11097876.157448018</v>
      </c>
      <c r="L699" s="350">
        <v>10831483.75228022</v>
      </c>
      <c r="M699" s="350">
        <v>10542456.94857187</v>
      </c>
      <c r="N699" s="350">
        <v>10217188.776273411</v>
      </c>
      <c r="O699" s="348">
        <v>54046910.976322293</v>
      </c>
      <c r="P699" s="369"/>
      <c r="Q699" s="350">
        <f t="shared" si="285"/>
        <v>7517759.4259376936</v>
      </c>
      <c r="R699" s="350">
        <f t="shared" si="286"/>
        <v>7271568.9053641856</v>
      </c>
      <c r="S699" s="350">
        <f t="shared" si="287"/>
        <v>7020142.3365559122</v>
      </c>
      <c r="T699" s="350">
        <f t="shared" si="288"/>
        <v>6749070.2572340183</v>
      </c>
      <c r="U699" s="350">
        <f t="shared" si="289"/>
        <v>6446394.974442617</v>
      </c>
      <c r="V699" s="350">
        <f t="shared" si="290"/>
        <v>35004935.899534434</v>
      </c>
      <c r="W699" s="365"/>
      <c r="X699" s="377">
        <f t="shared" si="268"/>
        <v>0</v>
      </c>
      <c r="Y699" s="377">
        <f t="shared" si="269"/>
        <v>0</v>
      </c>
      <c r="Z699" s="377">
        <f t="shared" si="270"/>
        <v>0</v>
      </c>
      <c r="AA699" s="377">
        <f t="shared" si="271"/>
        <v>0</v>
      </c>
      <c r="AB699" s="377">
        <f t="shared" si="272"/>
        <v>0</v>
      </c>
      <c r="AC699" s="377">
        <f t="shared" si="273"/>
        <v>0</v>
      </c>
      <c r="AD699" s="376"/>
      <c r="AE699" s="332">
        <v>684</v>
      </c>
      <c r="AF699" s="350">
        <v>539428.67721447523</v>
      </c>
      <c r="AG699" s="350">
        <v>537484.74793874985</v>
      </c>
      <c r="AH699" s="350">
        <v>535382.48373113526</v>
      </c>
      <c r="AI699" s="350">
        <v>532860.36779130611</v>
      </c>
      <c r="AJ699" s="350">
        <v>529686.72471408185</v>
      </c>
      <c r="AK699" s="348">
        <v>2674843.0013897484</v>
      </c>
      <c r="AL699" s="369"/>
      <c r="AM699" s="350">
        <v>20750017.102058556</v>
      </c>
      <c r="AN699" s="350">
        <v>20575436.681878537</v>
      </c>
      <c r="AO699" s="350">
        <v>20383095.478646293</v>
      </c>
      <c r="AP699" s="350">
        <v>20133563.086323198</v>
      </c>
      <c r="AQ699" s="350">
        <v>19793081.529985789</v>
      </c>
      <c r="AR699" s="348">
        <v>101635193.87889238</v>
      </c>
      <c r="AS699" s="369"/>
      <c r="AT699" s="350">
        <f t="shared" si="291"/>
        <v>20210588.424844082</v>
      </c>
      <c r="AU699" s="350">
        <f t="shared" si="274"/>
        <v>20037951.933939788</v>
      </c>
      <c r="AV699" s="350">
        <f t="shared" si="275"/>
        <v>19847712.994915158</v>
      </c>
      <c r="AW699" s="350">
        <f t="shared" si="276"/>
        <v>19600702.718531892</v>
      </c>
      <c r="AX699" s="350">
        <f t="shared" si="277"/>
        <v>19263394.805271707</v>
      </c>
      <c r="AY699" s="350">
        <f t="shared" si="278"/>
        <v>98960350.877502635</v>
      </c>
      <c r="AZ699" s="365"/>
      <c r="BA699" s="377">
        <f t="shared" si="279"/>
        <v>0</v>
      </c>
      <c r="BB699" s="377">
        <f t="shared" si="280"/>
        <v>0</v>
      </c>
      <c r="BC699" s="377">
        <f t="shared" si="281"/>
        <v>0</v>
      </c>
      <c r="BD699" s="377">
        <f t="shared" si="282"/>
        <v>0</v>
      </c>
      <c r="BE699" s="377">
        <f t="shared" si="283"/>
        <v>0</v>
      </c>
      <c r="BF699" s="377">
        <f t="shared" si="284"/>
        <v>0</v>
      </c>
      <c r="BG699" s="328"/>
    </row>
    <row r="700" spans="2:59">
      <c r="B700" s="332">
        <v>685</v>
      </c>
      <c r="C700" s="350">
        <v>3370711.5378413578</v>
      </c>
      <c r="D700" s="350">
        <v>3358564.5662115375</v>
      </c>
      <c r="E700" s="350">
        <v>3345428.2119176034</v>
      </c>
      <c r="F700" s="350">
        <v>3329668.3428983018</v>
      </c>
      <c r="G700" s="350">
        <v>3309837.2961088903</v>
      </c>
      <c r="H700" s="348">
        <v>16714209.954977691</v>
      </c>
      <c r="I700" s="369"/>
      <c r="J700" s="350">
        <v>13074239.298825283</v>
      </c>
      <c r="K700" s="350">
        <v>12823619.898633597</v>
      </c>
      <c r="L700" s="350">
        <v>12564681.175964558</v>
      </c>
      <c r="M700" s="350">
        <v>12277120.197215976</v>
      </c>
      <c r="N700" s="350">
        <v>11943831.33804643</v>
      </c>
      <c r="O700" s="348">
        <v>62683491.908685841</v>
      </c>
      <c r="P700" s="369"/>
      <c r="Q700" s="350">
        <f t="shared" si="285"/>
        <v>9703527.7609839253</v>
      </c>
      <c r="R700" s="350">
        <f t="shared" si="286"/>
        <v>9465055.332422059</v>
      </c>
      <c r="S700" s="350">
        <f t="shared" si="287"/>
        <v>9219252.9640469551</v>
      </c>
      <c r="T700" s="350">
        <f t="shared" si="288"/>
        <v>8947451.8543176744</v>
      </c>
      <c r="U700" s="350">
        <f t="shared" si="289"/>
        <v>8633994.0419375394</v>
      </c>
      <c r="V700" s="350">
        <f t="shared" si="290"/>
        <v>45969281.953708149</v>
      </c>
      <c r="W700" s="365"/>
      <c r="X700" s="377">
        <f t="shared" si="268"/>
        <v>0</v>
      </c>
      <c r="Y700" s="377">
        <f t="shared" si="269"/>
        <v>0</v>
      </c>
      <c r="Z700" s="377">
        <f t="shared" si="270"/>
        <v>0</v>
      </c>
      <c r="AA700" s="377">
        <f t="shared" si="271"/>
        <v>0</v>
      </c>
      <c r="AB700" s="377">
        <f t="shared" si="272"/>
        <v>0</v>
      </c>
      <c r="AC700" s="377">
        <f t="shared" si="273"/>
        <v>0</v>
      </c>
      <c r="AD700" s="376"/>
      <c r="AE700" s="332">
        <v>685</v>
      </c>
      <c r="AF700" s="350">
        <v>472758.62863132503</v>
      </c>
      <c r="AG700" s="350">
        <v>471054.95699248317</v>
      </c>
      <c r="AH700" s="350">
        <v>469212.51964016311</v>
      </c>
      <c r="AI700" s="350">
        <v>467002.12163329415</v>
      </c>
      <c r="AJ700" s="350">
        <v>464220.72121405526</v>
      </c>
      <c r="AK700" s="348">
        <v>2344248.9481113204</v>
      </c>
      <c r="AL700" s="369"/>
      <c r="AM700" s="350">
        <v>14756136.238004748</v>
      </c>
      <c r="AN700" s="350">
        <v>14627849.140695946</v>
      </c>
      <c r="AO700" s="350">
        <v>14487016.128755521</v>
      </c>
      <c r="AP700" s="350">
        <v>14305730.307963794</v>
      </c>
      <c r="AQ700" s="350">
        <v>14060107.585093576</v>
      </c>
      <c r="AR700" s="348">
        <v>72236839.400513589</v>
      </c>
      <c r="AS700" s="369"/>
      <c r="AT700" s="350">
        <f t="shared" si="291"/>
        <v>14283377.609373422</v>
      </c>
      <c r="AU700" s="350">
        <f t="shared" si="274"/>
        <v>14156794.183703464</v>
      </c>
      <c r="AV700" s="350">
        <f t="shared" si="275"/>
        <v>14017803.609115358</v>
      </c>
      <c r="AW700" s="350">
        <f t="shared" si="276"/>
        <v>13838728.186330499</v>
      </c>
      <c r="AX700" s="350">
        <f t="shared" si="277"/>
        <v>13595886.86387952</v>
      </c>
      <c r="AY700" s="350">
        <f t="shared" si="278"/>
        <v>69892590.452402264</v>
      </c>
      <c r="AZ700" s="365"/>
      <c r="BA700" s="377">
        <f t="shared" si="279"/>
        <v>0</v>
      </c>
      <c r="BB700" s="377">
        <f t="shared" si="280"/>
        <v>0</v>
      </c>
      <c r="BC700" s="377">
        <f t="shared" si="281"/>
        <v>0</v>
      </c>
      <c r="BD700" s="377">
        <f t="shared" si="282"/>
        <v>0</v>
      </c>
      <c r="BE700" s="377">
        <f t="shared" si="283"/>
        <v>0</v>
      </c>
      <c r="BF700" s="377">
        <f t="shared" si="284"/>
        <v>0</v>
      </c>
      <c r="BG700" s="328"/>
    </row>
    <row r="701" spans="2:59">
      <c r="B701" s="332">
        <v>686</v>
      </c>
      <c r="C701" s="350">
        <v>6213969.2728091907</v>
      </c>
      <c r="D701" s="350">
        <v>6191576.1051892387</v>
      </c>
      <c r="E701" s="350">
        <v>6167358.9922672845</v>
      </c>
      <c r="F701" s="350">
        <v>6138305.3812626014</v>
      </c>
      <c r="G701" s="350">
        <v>6101746.4784868518</v>
      </c>
      <c r="H701" s="348">
        <v>30812956.230015166</v>
      </c>
      <c r="I701" s="369"/>
      <c r="J701" s="350">
        <v>18136221.697812293</v>
      </c>
      <c r="K701" s="350">
        <v>17717202.059753168</v>
      </c>
      <c r="L701" s="350">
        <v>17288099.41344928</v>
      </c>
      <c r="M701" s="350">
        <v>16823055.008860171</v>
      </c>
      <c r="N701" s="350">
        <v>16300454.082795989</v>
      </c>
      <c r="O701" s="348">
        <v>86265032.262670904</v>
      </c>
      <c r="P701" s="369"/>
      <c r="Q701" s="350">
        <f t="shared" si="285"/>
        <v>11922252.425003102</v>
      </c>
      <c r="R701" s="350">
        <f t="shared" si="286"/>
        <v>11525625.954563931</v>
      </c>
      <c r="S701" s="350">
        <f t="shared" si="287"/>
        <v>11120740.421181995</v>
      </c>
      <c r="T701" s="350">
        <f t="shared" si="288"/>
        <v>10684749.62759757</v>
      </c>
      <c r="U701" s="350">
        <f t="shared" si="289"/>
        <v>10198707.604309138</v>
      </c>
      <c r="V701" s="350">
        <f t="shared" si="290"/>
        <v>55452076.032655738</v>
      </c>
      <c r="W701" s="365"/>
      <c r="X701" s="377">
        <f t="shared" si="268"/>
        <v>0</v>
      </c>
      <c r="Y701" s="377">
        <f t="shared" si="269"/>
        <v>0</v>
      </c>
      <c r="Z701" s="377">
        <f t="shared" si="270"/>
        <v>0</v>
      </c>
      <c r="AA701" s="377">
        <f t="shared" si="271"/>
        <v>0</v>
      </c>
      <c r="AB701" s="377">
        <f t="shared" si="272"/>
        <v>0</v>
      </c>
      <c r="AC701" s="377">
        <f t="shared" si="273"/>
        <v>0</v>
      </c>
      <c r="AD701" s="376"/>
      <c r="AE701" s="332">
        <v>686</v>
      </c>
      <c r="AF701" s="350">
        <v>503290.24519393157</v>
      </c>
      <c r="AG701" s="350">
        <v>501476.54732589889</v>
      </c>
      <c r="AH701" s="350">
        <v>499515.12200091191</v>
      </c>
      <c r="AI701" s="350">
        <v>497161.97244957747</v>
      </c>
      <c r="AJ701" s="350">
        <v>494200.94410614169</v>
      </c>
      <c r="AK701" s="348">
        <v>2495644.8310764614</v>
      </c>
      <c r="AL701" s="369"/>
      <c r="AM701" s="350">
        <v>10707671.269922137</v>
      </c>
      <c r="AN701" s="350">
        <v>10607146.376599664</v>
      </c>
      <c r="AO701" s="350">
        <v>10497669.452193102</v>
      </c>
      <c r="AP701" s="350">
        <v>10359230.188859988</v>
      </c>
      <c r="AQ701" s="350">
        <v>10174717.471092105</v>
      </c>
      <c r="AR701" s="348">
        <v>52346434.758666992</v>
      </c>
      <c r="AS701" s="369"/>
      <c r="AT701" s="350">
        <f t="shared" si="291"/>
        <v>10204381.024728205</v>
      </c>
      <c r="AU701" s="350">
        <f t="shared" si="274"/>
        <v>10105669.829273764</v>
      </c>
      <c r="AV701" s="350">
        <f t="shared" si="275"/>
        <v>9998154.3301921897</v>
      </c>
      <c r="AW701" s="350">
        <f t="shared" si="276"/>
        <v>9862068.2164104097</v>
      </c>
      <c r="AX701" s="350">
        <f t="shared" si="277"/>
        <v>9680516.5269859638</v>
      </c>
      <c r="AY701" s="350">
        <f t="shared" si="278"/>
        <v>49850789.927590534</v>
      </c>
      <c r="AZ701" s="365"/>
      <c r="BA701" s="377">
        <f t="shared" si="279"/>
        <v>0</v>
      </c>
      <c r="BB701" s="377">
        <f t="shared" si="280"/>
        <v>0</v>
      </c>
      <c r="BC701" s="377">
        <f t="shared" si="281"/>
        <v>0</v>
      </c>
      <c r="BD701" s="377">
        <f t="shared" si="282"/>
        <v>0</v>
      </c>
      <c r="BE701" s="377">
        <f t="shared" si="283"/>
        <v>0</v>
      </c>
      <c r="BF701" s="377">
        <f t="shared" si="284"/>
        <v>0</v>
      </c>
      <c r="BG701" s="328"/>
    </row>
    <row r="702" spans="2:59">
      <c r="B702" s="332">
        <v>687</v>
      </c>
      <c r="C702" s="350">
        <v>4532750.4582748637</v>
      </c>
      <c r="D702" s="350">
        <v>4516415.8682028288</v>
      </c>
      <c r="E702" s="350">
        <v>4498750.8098679883</v>
      </c>
      <c r="F702" s="350">
        <v>4477557.7909111213</v>
      </c>
      <c r="G702" s="350">
        <v>4450890.0724150054</v>
      </c>
      <c r="H702" s="348">
        <v>22476364.999671806</v>
      </c>
      <c r="I702" s="369"/>
      <c r="J702" s="350">
        <v>18258570.837023661</v>
      </c>
      <c r="K702" s="350">
        <v>17916671.747424845</v>
      </c>
      <c r="L702" s="350">
        <v>17562989.100747205</v>
      </c>
      <c r="M702" s="350">
        <v>17168907.683066331</v>
      </c>
      <c r="N702" s="350">
        <v>16710299.119825467</v>
      </c>
      <c r="O702" s="348">
        <v>87617438.488087505</v>
      </c>
      <c r="P702" s="369"/>
      <c r="Q702" s="350">
        <f t="shared" si="285"/>
        <v>13725820.378748797</v>
      </c>
      <c r="R702" s="350">
        <f t="shared" si="286"/>
        <v>13400255.879222017</v>
      </c>
      <c r="S702" s="350">
        <f t="shared" si="287"/>
        <v>13064238.290879216</v>
      </c>
      <c r="T702" s="350">
        <f t="shared" si="288"/>
        <v>12691349.89215521</v>
      </c>
      <c r="U702" s="350">
        <f t="shared" si="289"/>
        <v>12259409.047410462</v>
      </c>
      <c r="V702" s="350">
        <f t="shared" si="290"/>
        <v>65141073.488415703</v>
      </c>
      <c r="W702" s="365"/>
      <c r="X702" s="377">
        <f t="shared" si="268"/>
        <v>0</v>
      </c>
      <c r="Y702" s="377">
        <f t="shared" si="269"/>
        <v>0</v>
      </c>
      <c r="Z702" s="377">
        <f t="shared" si="270"/>
        <v>0</v>
      </c>
      <c r="AA702" s="377">
        <f t="shared" si="271"/>
        <v>0</v>
      </c>
      <c r="AB702" s="377">
        <f t="shared" si="272"/>
        <v>0</v>
      </c>
      <c r="AC702" s="377">
        <f t="shared" si="273"/>
        <v>0</v>
      </c>
      <c r="AD702" s="376"/>
      <c r="AE702" s="332">
        <v>687</v>
      </c>
      <c r="AF702" s="350">
        <v>269569.70123133983</v>
      </c>
      <c r="AG702" s="350">
        <v>268598.25782054797</v>
      </c>
      <c r="AH702" s="350">
        <v>267547.68939826393</v>
      </c>
      <c r="AI702" s="350">
        <v>266287.30768500123</v>
      </c>
      <c r="AJ702" s="350">
        <v>264701.33709745307</v>
      </c>
      <c r="AK702" s="348">
        <v>1336704.2932326058</v>
      </c>
      <c r="AL702" s="369"/>
      <c r="AM702" s="350">
        <v>8701284.5999502745</v>
      </c>
      <c r="AN702" s="350">
        <v>8626064.2373926193</v>
      </c>
      <c r="AO702" s="350">
        <v>8543437.1776417457</v>
      </c>
      <c r="AP702" s="350">
        <v>8436933.7084961198</v>
      </c>
      <c r="AQ702" s="350">
        <v>8292457.3961345516</v>
      </c>
      <c r="AR702" s="348">
        <v>42600177.119615316</v>
      </c>
      <c r="AS702" s="369"/>
      <c r="AT702" s="350">
        <f t="shared" si="291"/>
        <v>8431714.8987189345</v>
      </c>
      <c r="AU702" s="350">
        <f t="shared" si="274"/>
        <v>8357465.9795720717</v>
      </c>
      <c r="AV702" s="350">
        <f t="shared" si="275"/>
        <v>8275889.4882434821</v>
      </c>
      <c r="AW702" s="350">
        <f t="shared" si="276"/>
        <v>8170646.400811119</v>
      </c>
      <c r="AX702" s="350">
        <f t="shared" si="277"/>
        <v>8027756.0590370987</v>
      </c>
      <c r="AY702" s="350">
        <f t="shared" si="278"/>
        <v>41263472.826382712</v>
      </c>
      <c r="AZ702" s="365"/>
      <c r="BA702" s="377">
        <f t="shared" si="279"/>
        <v>0</v>
      </c>
      <c r="BB702" s="377">
        <f t="shared" si="280"/>
        <v>0</v>
      </c>
      <c r="BC702" s="377">
        <f t="shared" si="281"/>
        <v>0</v>
      </c>
      <c r="BD702" s="377">
        <f t="shared" si="282"/>
        <v>0</v>
      </c>
      <c r="BE702" s="377">
        <f t="shared" si="283"/>
        <v>0</v>
      </c>
      <c r="BF702" s="377">
        <f t="shared" si="284"/>
        <v>0</v>
      </c>
      <c r="BG702" s="328"/>
    </row>
    <row r="703" spans="2:59">
      <c r="B703" s="332">
        <v>688</v>
      </c>
      <c r="C703" s="350">
        <v>4815216.3447620841</v>
      </c>
      <c r="D703" s="350">
        <v>4797863.8375318954</v>
      </c>
      <c r="E703" s="350">
        <v>4779097.9516954459</v>
      </c>
      <c r="F703" s="350">
        <v>4756584.25450092</v>
      </c>
      <c r="G703" s="350">
        <v>4728254.6927564396</v>
      </c>
      <c r="H703" s="348">
        <v>23877017.081246786</v>
      </c>
      <c r="I703" s="369"/>
      <c r="J703" s="350">
        <v>15663460.654862449</v>
      </c>
      <c r="K703" s="350">
        <v>15327160.090466447</v>
      </c>
      <c r="L703" s="350">
        <v>14981628.757978169</v>
      </c>
      <c r="M703" s="350">
        <v>14603707.173075099</v>
      </c>
      <c r="N703" s="350">
        <v>14173969.762104314</v>
      </c>
      <c r="O703" s="348">
        <v>74749926.438486487</v>
      </c>
      <c r="P703" s="369"/>
      <c r="Q703" s="350">
        <f t="shared" si="285"/>
        <v>10848244.310100365</v>
      </c>
      <c r="R703" s="350">
        <f t="shared" si="286"/>
        <v>10529296.252934553</v>
      </c>
      <c r="S703" s="350">
        <f t="shared" si="287"/>
        <v>10202530.806282723</v>
      </c>
      <c r="T703" s="350">
        <f t="shared" si="288"/>
        <v>9847122.9185741786</v>
      </c>
      <c r="U703" s="350">
        <f t="shared" si="289"/>
        <v>9445715.0693478733</v>
      </c>
      <c r="V703" s="350">
        <f t="shared" si="290"/>
        <v>50872909.357239701</v>
      </c>
      <c r="W703" s="365"/>
      <c r="X703" s="377">
        <f t="shared" si="268"/>
        <v>0</v>
      </c>
      <c r="Y703" s="377">
        <f t="shared" si="269"/>
        <v>0</v>
      </c>
      <c r="Z703" s="377">
        <f t="shared" si="270"/>
        <v>0</v>
      </c>
      <c r="AA703" s="377">
        <f t="shared" si="271"/>
        <v>0</v>
      </c>
      <c r="AB703" s="377">
        <f t="shared" si="272"/>
        <v>0</v>
      </c>
      <c r="AC703" s="377">
        <f t="shared" si="273"/>
        <v>0</v>
      </c>
      <c r="AD703" s="376"/>
      <c r="AE703" s="332">
        <v>688</v>
      </c>
      <c r="AF703" s="350">
        <v>535639.81519689143</v>
      </c>
      <c r="AG703" s="350">
        <v>533709.53977404535</v>
      </c>
      <c r="AH703" s="350">
        <v>531622.04153891909</v>
      </c>
      <c r="AI703" s="350">
        <v>529117.64054397878</v>
      </c>
      <c r="AJ703" s="350">
        <v>525966.2886355794</v>
      </c>
      <c r="AK703" s="348">
        <v>2656055.3256894141</v>
      </c>
      <c r="AL703" s="369"/>
      <c r="AM703" s="350">
        <v>17655588.879369259</v>
      </c>
      <c r="AN703" s="350">
        <v>17503486.917419456</v>
      </c>
      <c r="AO703" s="350">
        <v>17336345.443942733</v>
      </c>
      <c r="AP703" s="350">
        <v>17120729.131522562</v>
      </c>
      <c r="AQ703" s="350">
        <v>16828019.630288623</v>
      </c>
      <c r="AR703" s="348">
        <v>86444170.002542645</v>
      </c>
      <c r="AS703" s="369"/>
      <c r="AT703" s="350">
        <f t="shared" si="291"/>
        <v>17119949.064172368</v>
      </c>
      <c r="AU703" s="350">
        <f t="shared" si="274"/>
        <v>16969777.377645411</v>
      </c>
      <c r="AV703" s="350">
        <f t="shared" si="275"/>
        <v>16804723.402403813</v>
      </c>
      <c r="AW703" s="350">
        <f t="shared" si="276"/>
        <v>16591611.490978584</v>
      </c>
      <c r="AX703" s="350">
        <f t="shared" si="277"/>
        <v>16302053.341653043</v>
      </c>
      <c r="AY703" s="350">
        <f t="shared" si="278"/>
        <v>83788114.676853225</v>
      </c>
      <c r="AZ703" s="365"/>
      <c r="BA703" s="377">
        <f t="shared" si="279"/>
        <v>0</v>
      </c>
      <c r="BB703" s="377">
        <f t="shared" si="280"/>
        <v>0</v>
      </c>
      <c r="BC703" s="377">
        <f t="shared" si="281"/>
        <v>0</v>
      </c>
      <c r="BD703" s="377">
        <f t="shared" si="282"/>
        <v>0</v>
      </c>
      <c r="BE703" s="377">
        <f t="shared" si="283"/>
        <v>0</v>
      </c>
      <c r="BF703" s="377">
        <f t="shared" si="284"/>
        <v>0</v>
      </c>
      <c r="BG703" s="328"/>
    </row>
    <row r="704" spans="2:59">
      <c r="B704" s="332">
        <v>689</v>
      </c>
      <c r="C704" s="350">
        <v>6388805.5742858788</v>
      </c>
      <c r="D704" s="350">
        <v>6365782.352278281</v>
      </c>
      <c r="E704" s="350">
        <v>6340883.8664254639</v>
      </c>
      <c r="F704" s="350">
        <v>6311012.8027315885</v>
      </c>
      <c r="G704" s="350">
        <v>6273425.2783024749</v>
      </c>
      <c r="H704" s="348">
        <v>31679909.874023691</v>
      </c>
      <c r="I704" s="369"/>
      <c r="J704" s="350">
        <v>19174895.689225279</v>
      </c>
      <c r="K704" s="350">
        <v>18740278.189480398</v>
      </c>
      <c r="L704" s="350">
        <v>18294828.698694982</v>
      </c>
      <c r="M704" s="350">
        <v>17810936.237959933</v>
      </c>
      <c r="N704" s="350">
        <v>17265499.378581394</v>
      </c>
      <c r="O704" s="348">
        <v>91286438.193941981</v>
      </c>
      <c r="P704" s="369"/>
      <c r="Q704" s="350">
        <f t="shared" si="285"/>
        <v>12786090.114939399</v>
      </c>
      <c r="R704" s="350">
        <f t="shared" si="286"/>
        <v>12374495.837202117</v>
      </c>
      <c r="S704" s="350">
        <f t="shared" si="287"/>
        <v>11953944.832269518</v>
      </c>
      <c r="T704" s="350">
        <f t="shared" si="288"/>
        <v>11499923.435228344</v>
      </c>
      <c r="U704" s="350">
        <f t="shared" si="289"/>
        <v>10992074.100278918</v>
      </c>
      <c r="V704" s="350">
        <f t="shared" si="290"/>
        <v>59606528.31991829</v>
      </c>
      <c r="W704" s="365"/>
      <c r="X704" s="377">
        <f t="shared" si="268"/>
        <v>0</v>
      </c>
      <c r="Y704" s="377">
        <f t="shared" si="269"/>
        <v>0</v>
      </c>
      <c r="Z704" s="377">
        <f t="shared" si="270"/>
        <v>0</v>
      </c>
      <c r="AA704" s="377">
        <f t="shared" si="271"/>
        <v>0</v>
      </c>
      <c r="AB704" s="377">
        <f t="shared" si="272"/>
        <v>0</v>
      </c>
      <c r="AC704" s="377">
        <f t="shared" si="273"/>
        <v>0</v>
      </c>
      <c r="AD704" s="376"/>
      <c r="AE704" s="332">
        <v>689</v>
      </c>
      <c r="AF704" s="350">
        <v>402968.96810455213</v>
      </c>
      <c r="AG704" s="350">
        <v>401516.79619120032</v>
      </c>
      <c r="AH704" s="350">
        <v>399946.34346184216</v>
      </c>
      <c r="AI704" s="350">
        <v>398062.24923281232</v>
      </c>
      <c r="AJ704" s="350">
        <v>395691.44521370606</v>
      </c>
      <c r="AK704" s="348">
        <v>1998185.8022041128</v>
      </c>
      <c r="AL704" s="369"/>
      <c r="AM704" s="350">
        <v>12896314.82347052</v>
      </c>
      <c r="AN704" s="350">
        <v>12784670.118416136</v>
      </c>
      <c r="AO704" s="350">
        <v>12662051.082199983</v>
      </c>
      <c r="AP704" s="350">
        <v>12504052.835297745</v>
      </c>
      <c r="AQ704" s="350">
        <v>12289787.545422545</v>
      </c>
      <c r="AR704" s="348">
        <v>63136876.404806934</v>
      </c>
      <c r="AS704" s="369"/>
      <c r="AT704" s="350">
        <f t="shared" si="291"/>
        <v>12493345.855365967</v>
      </c>
      <c r="AU704" s="350">
        <f t="shared" si="274"/>
        <v>12383153.322224936</v>
      </c>
      <c r="AV704" s="350">
        <f t="shared" si="275"/>
        <v>12262104.738738142</v>
      </c>
      <c r="AW704" s="350">
        <f t="shared" si="276"/>
        <v>12105990.586064933</v>
      </c>
      <c r="AX704" s="350">
        <f t="shared" si="277"/>
        <v>11894096.100208839</v>
      </c>
      <c r="AY704" s="350">
        <f t="shared" si="278"/>
        <v>61138690.602602825</v>
      </c>
      <c r="AZ704" s="365"/>
      <c r="BA704" s="377">
        <f t="shared" si="279"/>
        <v>0</v>
      </c>
      <c r="BB704" s="377">
        <f t="shared" si="280"/>
        <v>0</v>
      </c>
      <c r="BC704" s="377">
        <f t="shared" si="281"/>
        <v>0</v>
      </c>
      <c r="BD704" s="377">
        <f t="shared" si="282"/>
        <v>0</v>
      </c>
      <c r="BE704" s="377">
        <f t="shared" si="283"/>
        <v>0</v>
      </c>
      <c r="BF704" s="377">
        <f t="shared" si="284"/>
        <v>0</v>
      </c>
      <c r="BG704" s="328"/>
    </row>
    <row r="705" spans="2:59">
      <c r="B705" s="332">
        <v>690</v>
      </c>
      <c r="C705" s="350">
        <v>6598155.0551956035</v>
      </c>
      <c r="D705" s="350">
        <v>6574377.4042857466</v>
      </c>
      <c r="E705" s="350">
        <v>6548663.0405621547</v>
      </c>
      <c r="F705" s="350">
        <v>6517813.15671077</v>
      </c>
      <c r="G705" s="350">
        <v>6478993.9578103591</v>
      </c>
      <c r="H705" s="348">
        <v>32718002.614564635</v>
      </c>
      <c r="I705" s="369"/>
      <c r="J705" s="350">
        <v>21095257.914114524</v>
      </c>
      <c r="K705" s="350">
        <v>20637086.620646879</v>
      </c>
      <c r="L705" s="350">
        <v>20166590.663297646</v>
      </c>
      <c r="M705" s="350">
        <v>19652748.768718056</v>
      </c>
      <c r="N705" s="350">
        <v>19069554.363037698</v>
      </c>
      <c r="O705" s="348">
        <v>100621238.32981479</v>
      </c>
      <c r="P705" s="369"/>
      <c r="Q705" s="350">
        <f t="shared" si="285"/>
        <v>14497102.85891892</v>
      </c>
      <c r="R705" s="350">
        <f t="shared" si="286"/>
        <v>14062709.216361132</v>
      </c>
      <c r="S705" s="350">
        <f t="shared" si="287"/>
        <v>13617927.622735491</v>
      </c>
      <c r="T705" s="350">
        <f t="shared" si="288"/>
        <v>13134935.612007286</v>
      </c>
      <c r="U705" s="350">
        <f t="shared" si="289"/>
        <v>12590560.405227339</v>
      </c>
      <c r="V705" s="350">
        <f t="shared" si="290"/>
        <v>67903235.715250164</v>
      </c>
      <c r="W705" s="365"/>
      <c r="X705" s="377">
        <f t="shared" si="268"/>
        <v>0</v>
      </c>
      <c r="Y705" s="377">
        <f t="shared" si="269"/>
        <v>0</v>
      </c>
      <c r="Z705" s="377">
        <f t="shared" si="270"/>
        <v>0</v>
      </c>
      <c r="AA705" s="377">
        <f t="shared" si="271"/>
        <v>0</v>
      </c>
      <c r="AB705" s="377">
        <f t="shared" si="272"/>
        <v>0</v>
      </c>
      <c r="AC705" s="377">
        <f t="shared" si="273"/>
        <v>0</v>
      </c>
      <c r="AD705" s="376"/>
      <c r="AE705" s="332">
        <v>690</v>
      </c>
      <c r="AF705" s="350">
        <v>440051.28420625231</v>
      </c>
      <c r="AG705" s="350">
        <v>438465.47942737699</v>
      </c>
      <c r="AH705" s="350">
        <v>436750.50930550887</v>
      </c>
      <c r="AI705" s="350">
        <v>434693.03552793741</v>
      </c>
      <c r="AJ705" s="350">
        <v>432104.06358273706</v>
      </c>
      <c r="AK705" s="348">
        <v>2182064.3720498127</v>
      </c>
      <c r="AL705" s="369"/>
      <c r="AM705" s="350">
        <v>14540248.247829987</v>
      </c>
      <c r="AN705" s="350">
        <v>14415034.634099929</v>
      </c>
      <c r="AO705" s="350">
        <v>14277434.222832927</v>
      </c>
      <c r="AP705" s="350">
        <v>14099909.762704974</v>
      </c>
      <c r="AQ705" s="350">
        <v>13858891.154568888</v>
      </c>
      <c r="AR705" s="348">
        <v>71191518.022036701</v>
      </c>
      <c r="AS705" s="369"/>
      <c r="AT705" s="350">
        <f t="shared" si="291"/>
        <v>14100196.963623734</v>
      </c>
      <c r="AU705" s="350">
        <f t="shared" si="274"/>
        <v>13976569.154672552</v>
      </c>
      <c r="AV705" s="350">
        <f t="shared" si="275"/>
        <v>13840683.713527419</v>
      </c>
      <c r="AW705" s="350">
        <f t="shared" si="276"/>
        <v>13665216.727177037</v>
      </c>
      <c r="AX705" s="350">
        <f t="shared" si="277"/>
        <v>13426787.090986151</v>
      </c>
      <c r="AY705" s="350">
        <f t="shared" si="278"/>
        <v>69009453.649986893</v>
      </c>
      <c r="AZ705" s="365"/>
      <c r="BA705" s="377">
        <f t="shared" si="279"/>
        <v>0</v>
      </c>
      <c r="BB705" s="377">
        <f t="shared" si="280"/>
        <v>0</v>
      </c>
      <c r="BC705" s="377">
        <f t="shared" si="281"/>
        <v>0</v>
      </c>
      <c r="BD705" s="377">
        <f t="shared" si="282"/>
        <v>0</v>
      </c>
      <c r="BE705" s="377">
        <f t="shared" si="283"/>
        <v>0</v>
      </c>
      <c r="BF705" s="377">
        <f t="shared" si="284"/>
        <v>0</v>
      </c>
      <c r="BG705" s="328"/>
    </row>
    <row r="706" spans="2:59">
      <c r="B706" s="332">
        <v>691</v>
      </c>
      <c r="C706" s="350">
        <v>5322588.2263449766</v>
      </c>
      <c r="D706" s="350">
        <v>5303407.3123282176</v>
      </c>
      <c r="E706" s="350">
        <v>5282664.0941925114</v>
      </c>
      <c r="F706" s="350">
        <v>5257778.1636258746</v>
      </c>
      <c r="G706" s="350">
        <v>5226463.5598775493</v>
      </c>
      <c r="H706" s="348">
        <v>26392901.356369127</v>
      </c>
      <c r="I706" s="369"/>
      <c r="J706" s="350">
        <v>16971917.201075852</v>
      </c>
      <c r="K706" s="350">
        <v>16602645.92745309</v>
      </c>
      <c r="L706" s="350">
        <v>16223472.389654113</v>
      </c>
      <c r="M706" s="350">
        <v>15809459.992681999</v>
      </c>
      <c r="N706" s="350">
        <v>15339704.896831527</v>
      </c>
      <c r="O706" s="348">
        <v>80947200.407696575</v>
      </c>
      <c r="P706" s="369"/>
      <c r="Q706" s="350">
        <f t="shared" si="285"/>
        <v>11649328.974730875</v>
      </c>
      <c r="R706" s="350">
        <f t="shared" si="286"/>
        <v>11299238.615124872</v>
      </c>
      <c r="S706" s="350">
        <f t="shared" si="287"/>
        <v>10940808.295461603</v>
      </c>
      <c r="T706" s="350">
        <f t="shared" si="288"/>
        <v>10551681.829056125</v>
      </c>
      <c r="U706" s="350">
        <f t="shared" si="289"/>
        <v>10113241.336953979</v>
      </c>
      <c r="V706" s="350">
        <f t="shared" si="290"/>
        <v>54554299.051327452</v>
      </c>
      <c r="W706" s="365"/>
      <c r="X706" s="377">
        <f t="shared" si="268"/>
        <v>0</v>
      </c>
      <c r="Y706" s="377">
        <f t="shared" si="269"/>
        <v>0</v>
      </c>
      <c r="Z706" s="377">
        <f t="shared" si="270"/>
        <v>0</v>
      </c>
      <c r="AA706" s="377">
        <f t="shared" si="271"/>
        <v>0</v>
      </c>
      <c r="AB706" s="377">
        <f t="shared" si="272"/>
        <v>0</v>
      </c>
      <c r="AC706" s="377">
        <f t="shared" si="273"/>
        <v>0</v>
      </c>
      <c r="AD706" s="376"/>
      <c r="AE706" s="332">
        <v>691</v>
      </c>
      <c r="AF706" s="350">
        <v>192899.96066658737</v>
      </c>
      <c r="AG706" s="350">
        <v>192204.81060010879</v>
      </c>
      <c r="AH706" s="350">
        <v>191453.03988399912</v>
      </c>
      <c r="AI706" s="350">
        <v>190551.12998165219</v>
      </c>
      <c r="AJ706" s="350">
        <v>189416.23365406427</v>
      </c>
      <c r="AK706" s="348">
        <v>956525.17478641181</v>
      </c>
      <c r="AL706" s="369"/>
      <c r="AM706" s="350">
        <v>6682418.5211210493</v>
      </c>
      <c r="AN706" s="350">
        <v>6625306.0539069725</v>
      </c>
      <c r="AO706" s="350">
        <v>6562492.0046640746</v>
      </c>
      <c r="AP706" s="350">
        <v>6481306.7880195379</v>
      </c>
      <c r="AQ706" s="350">
        <v>6370905.2065130854</v>
      </c>
      <c r="AR706" s="348">
        <v>32722428.574224718</v>
      </c>
      <c r="AS706" s="369"/>
      <c r="AT706" s="350">
        <f t="shared" si="291"/>
        <v>6489518.5604544617</v>
      </c>
      <c r="AU706" s="350">
        <f t="shared" si="274"/>
        <v>6433101.2433068641</v>
      </c>
      <c r="AV706" s="350">
        <f t="shared" si="275"/>
        <v>6371038.9647800755</v>
      </c>
      <c r="AW706" s="350">
        <f t="shared" si="276"/>
        <v>6290755.658037886</v>
      </c>
      <c r="AX706" s="350">
        <f t="shared" si="277"/>
        <v>6181488.9728590213</v>
      </c>
      <c r="AY706" s="350">
        <f t="shared" si="278"/>
        <v>31765903.399438307</v>
      </c>
      <c r="AZ706" s="365"/>
      <c r="BA706" s="377">
        <f t="shared" si="279"/>
        <v>0</v>
      </c>
      <c r="BB706" s="377">
        <f t="shared" si="280"/>
        <v>0</v>
      </c>
      <c r="BC706" s="377">
        <f t="shared" si="281"/>
        <v>0</v>
      </c>
      <c r="BD706" s="377">
        <f t="shared" si="282"/>
        <v>0</v>
      </c>
      <c r="BE706" s="377">
        <f t="shared" si="283"/>
        <v>0</v>
      </c>
      <c r="BF706" s="377">
        <f t="shared" si="284"/>
        <v>0</v>
      </c>
      <c r="BG706" s="328"/>
    </row>
    <row r="707" spans="2:59">
      <c r="B707" s="332">
        <v>692</v>
      </c>
      <c r="C707" s="350">
        <v>6001429.8112561367</v>
      </c>
      <c r="D707" s="350">
        <v>5979802.5682134489</v>
      </c>
      <c r="E707" s="350">
        <v>5956413.7651711926</v>
      </c>
      <c r="F707" s="350">
        <v>5928353.8891799925</v>
      </c>
      <c r="G707" s="350">
        <v>5893045.4286207715</v>
      </c>
      <c r="H707" s="348">
        <v>29759045.462441541</v>
      </c>
      <c r="I707" s="369"/>
      <c r="J707" s="350">
        <v>21232526.853700303</v>
      </c>
      <c r="K707" s="350">
        <v>20801052.067419533</v>
      </c>
      <c r="L707" s="350">
        <v>20356566.395910278</v>
      </c>
      <c r="M707" s="350">
        <v>19866888.216070514</v>
      </c>
      <c r="N707" s="350">
        <v>19304962.758497916</v>
      </c>
      <c r="O707" s="348">
        <v>101561996.29159856</v>
      </c>
      <c r="P707" s="369"/>
      <c r="Q707" s="350">
        <f t="shared" si="285"/>
        <v>15231097.042444166</v>
      </c>
      <c r="R707" s="350">
        <f t="shared" si="286"/>
        <v>14821249.499206085</v>
      </c>
      <c r="S707" s="350">
        <f t="shared" si="287"/>
        <v>14400152.630739085</v>
      </c>
      <c r="T707" s="350">
        <f t="shared" si="288"/>
        <v>13938534.326890521</v>
      </c>
      <c r="U707" s="350">
        <f t="shared" si="289"/>
        <v>13411917.329877146</v>
      </c>
      <c r="V707" s="350">
        <f t="shared" si="290"/>
        <v>71802950.829157025</v>
      </c>
      <c r="W707" s="365"/>
      <c r="X707" s="377">
        <f t="shared" si="268"/>
        <v>0</v>
      </c>
      <c r="Y707" s="377">
        <f t="shared" si="269"/>
        <v>0</v>
      </c>
      <c r="Z707" s="377">
        <f t="shared" si="270"/>
        <v>0</v>
      </c>
      <c r="AA707" s="377">
        <f t="shared" si="271"/>
        <v>0</v>
      </c>
      <c r="AB707" s="377">
        <f t="shared" si="272"/>
        <v>0</v>
      </c>
      <c r="AC707" s="377">
        <f t="shared" si="273"/>
        <v>0</v>
      </c>
      <c r="AD707" s="376"/>
      <c r="AE707" s="332">
        <v>692</v>
      </c>
      <c r="AF707" s="350">
        <v>452927.50229986524</v>
      </c>
      <c r="AG707" s="350">
        <v>451295.29572892707</v>
      </c>
      <c r="AH707" s="350">
        <v>449530.14434386138</v>
      </c>
      <c r="AI707" s="350">
        <v>447412.46739899385</v>
      </c>
      <c r="AJ707" s="350">
        <v>444747.74026661174</v>
      </c>
      <c r="AK707" s="348">
        <v>2245913.1500382591</v>
      </c>
      <c r="AL707" s="369"/>
      <c r="AM707" s="350">
        <v>13505347.540632587</v>
      </c>
      <c r="AN707" s="350">
        <v>13386995.423358582</v>
      </c>
      <c r="AO707" s="350">
        <v>13257180.010348655</v>
      </c>
      <c r="AP707" s="350">
        <v>13090390.237591203</v>
      </c>
      <c r="AQ707" s="350">
        <v>12864794.337008344</v>
      </c>
      <c r="AR707" s="348">
        <v>66104707.548939377</v>
      </c>
      <c r="AS707" s="369"/>
      <c r="AT707" s="350">
        <f t="shared" si="291"/>
        <v>13052420.038332721</v>
      </c>
      <c r="AU707" s="350">
        <f t="shared" si="274"/>
        <v>12935700.127629654</v>
      </c>
      <c r="AV707" s="350">
        <f t="shared" si="275"/>
        <v>12807649.866004795</v>
      </c>
      <c r="AW707" s="350">
        <f t="shared" si="276"/>
        <v>12642977.77019221</v>
      </c>
      <c r="AX707" s="350">
        <f t="shared" si="277"/>
        <v>12420046.596741732</v>
      </c>
      <c r="AY707" s="350">
        <f t="shared" si="278"/>
        <v>63858794.39890112</v>
      </c>
      <c r="AZ707" s="365"/>
      <c r="BA707" s="377">
        <f t="shared" si="279"/>
        <v>0</v>
      </c>
      <c r="BB707" s="377">
        <f t="shared" si="280"/>
        <v>0</v>
      </c>
      <c r="BC707" s="377">
        <f t="shared" si="281"/>
        <v>0</v>
      </c>
      <c r="BD707" s="377">
        <f t="shared" si="282"/>
        <v>0</v>
      </c>
      <c r="BE707" s="377">
        <f t="shared" si="283"/>
        <v>0</v>
      </c>
      <c r="BF707" s="377">
        <f t="shared" si="284"/>
        <v>0</v>
      </c>
      <c r="BG707" s="328"/>
    </row>
    <row r="708" spans="2:59">
      <c r="B708" s="332">
        <v>693</v>
      </c>
      <c r="C708" s="350">
        <v>6307885.1188716972</v>
      </c>
      <c r="D708" s="350">
        <v>6285153.5084319124</v>
      </c>
      <c r="E708" s="350">
        <v>6260570.3861929802</v>
      </c>
      <c r="F708" s="350">
        <v>6231077.6686625183</v>
      </c>
      <c r="G708" s="350">
        <v>6193966.2269000839</v>
      </c>
      <c r="H708" s="348">
        <v>31278652.909059189</v>
      </c>
      <c r="I708" s="369"/>
      <c r="J708" s="350">
        <v>18213709.376737051</v>
      </c>
      <c r="K708" s="350">
        <v>17789773.907326937</v>
      </c>
      <c r="L708" s="350">
        <v>17355776.173610635</v>
      </c>
      <c r="M708" s="350">
        <v>16885847.887528867</v>
      </c>
      <c r="N708" s="350">
        <v>16358374.505413262</v>
      </c>
      <c r="O708" s="348">
        <v>86603481.850616753</v>
      </c>
      <c r="P708" s="369"/>
      <c r="Q708" s="350">
        <f t="shared" si="285"/>
        <v>11905824.257865354</v>
      </c>
      <c r="R708" s="350">
        <f t="shared" si="286"/>
        <v>11504620.398895025</v>
      </c>
      <c r="S708" s="350">
        <f t="shared" si="287"/>
        <v>11095205.787417654</v>
      </c>
      <c r="T708" s="350">
        <f t="shared" si="288"/>
        <v>10654770.218866348</v>
      </c>
      <c r="U708" s="350">
        <f t="shared" si="289"/>
        <v>10164408.278513178</v>
      </c>
      <c r="V708" s="350">
        <f t="shared" si="290"/>
        <v>55324828.941557564</v>
      </c>
      <c r="W708" s="365"/>
      <c r="X708" s="377">
        <f t="shared" si="268"/>
        <v>0</v>
      </c>
      <c r="Y708" s="377">
        <f t="shared" si="269"/>
        <v>0</v>
      </c>
      <c r="Z708" s="377">
        <f t="shared" si="270"/>
        <v>0</v>
      </c>
      <c r="AA708" s="377">
        <f t="shared" si="271"/>
        <v>0</v>
      </c>
      <c r="AB708" s="377">
        <f t="shared" si="272"/>
        <v>0</v>
      </c>
      <c r="AC708" s="377">
        <f t="shared" si="273"/>
        <v>0</v>
      </c>
      <c r="AD708" s="376"/>
      <c r="AE708" s="332">
        <v>693</v>
      </c>
      <c r="AF708" s="350">
        <v>410165.22440069169</v>
      </c>
      <c r="AG708" s="350">
        <v>408687.11946990766</v>
      </c>
      <c r="AH708" s="350">
        <v>407088.62145360187</v>
      </c>
      <c r="AI708" s="350">
        <v>405170.88089934265</v>
      </c>
      <c r="AJ708" s="350">
        <v>402757.7388475347</v>
      </c>
      <c r="AK708" s="348">
        <v>2033869.5850710785</v>
      </c>
      <c r="AL708" s="369"/>
      <c r="AM708" s="350">
        <v>13122942.923159191</v>
      </c>
      <c r="AN708" s="350">
        <v>13009330.947216844</v>
      </c>
      <c r="AO708" s="350">
        <v>12884551.896011867</v>
      </c>
      <c r="AP708" s="350">
        <v>12723772.192968512</v>
      </c>
      <c r="AQ708" s="350">
        <v>12505737.099857897</v>
      </c>
      <c r="AR708" s="348">
        <v>64246335.059214309</v>
      </c>
      <c r="AS708" s="369"/>
      <c r="AT708" s="350">
        <f t="shared" si="291"/>
        <v>12712777.6987585</v>
      </c>
      <c r="AU708" s="350">
        <f t="shared" si="274"/>
        <v>12600643.827746937</v>
      </c>
      <c r="AV708" s="350">
        <f t="shared" si="275"/>
        <v>12477463.274558265</v>
      </c>
      <c r="AW708" s="350">
        <f t="shared" si="276"/>
        <v>12318601.31206917</v>
      </c>
      <c r="AX708" s="350">
        <f t="shared" si="277"/>
        <v>12102979.361010361</v>
      </c>
      <c r="AY708" s="350">
        <f t="shared" si="278"/>
        <v>62212465.474143229</v>
      </c>
      <c r="AZ708" s="365"/>
      <c r="BA708" s="377">
        <f t="shared" si="279"/>
        <v>0</v>
      </c>
      <c r="BB708" s="377">
        <f t="shared" si="280"/>
        <v>0</v>
      </c>
      <c r="BC708" s="377">
        <f t="shared" si="281"/>
        <v>0</v>
      </c>
      <c r="BD708" s="377">
        <f t="shared" si="282"/>
        <v>0</v>
      </c>
      <c r="BE708" s="377">
        <f t="shared" si="283"/>
        <v>0</v>
      </c>
      <c r="BF708" s="377">
        <f t="shared" si="284"/>
        <v>0</v>
      </c>
      <c r="BG708" s="328"/>
    </row>
    <row r="709" spans="2:59">
      <c r="B709" s="332">
        <v>694</v>
      </c>
      <c r="C709" s="350">
        <v>4898857.6741355499</v>
      </c>
      <c r="D709" s="350">
        <v>4881203.7501737392</v>
      </c>
      <c r="E709" s="350">
        <v>4862111.8969194517</v>
      </c>
      <c r="F709" s="350">
        <v>4839207.1320287632</v>
      </c>
      <c r="G709" s="350">
        <v>4810385.479787156</v>
      </c>
      <c r="H709" s="348">
        <v>24291765.933044661</v>
      </c>
      <c r="I709" s="369"/>
      <c r="J709" s="350">
        <v>20359017.347017419</v>
      </c>
      <c r="K709" s="350">
        <v>19984993.549034938</v>
      </c>
      <c r="L709" s="350">
        <v>19597683.458906218</v>
      </c>
      <c r="M709" s="350">
        <v>19164947.238256346</v>
      </c>
      <c r="N709" s="350">
        <v>18659667.360737845</v>
      </c>
      <c r="O709" s="348">
        <v>97766308.953952774</v>
      </c>
      <c r="P709" s="369"/>
      <c r="Q709" s="350">
        <f t="shared" si="285"/>
        <v>15460159.672881868</v>
      </c>
      <c r="R709" s="350">
        <f t="shared" si="286"/>
        <v>15103789.798861198</v>
      </c>
      <c r="S709" s="350">
        <f t="shared" si="287"/>
        <v>14735571.561986767</v>
      </c>
      <c r="T709" s="350">
        <f t="shared" si="288"/>
        <v>14325740.106227584</v>
      </c>
      <c r="U709" s="350">
        <f t="shared" si="289"/>
        <v>13849281.880950689</v>
      </c>
      <c r="V709" s="350">
        <f t="shared" si="290"/>
        <v>73474543.020908117</v>
      </c>
      <c r="W709" s="365"/>
      <c r="X709" s="377">
        <f t="shared" si="268"/>
        <v>0</v>
      </c>
      <c r="Y709" s="377">
        <f t="shared" si="269"/>
        <v>0</v>
      </c>
      <c r="Z709" s="377">
        <f t="shared" si="270"/>
        <v>0</v>
      </c>
      <c r="AA709" s="377">
        <f t="shared" si="271"/>
        <v>0</v>
      </c>
      <c r="AB709" s="377">
        <f t="shared" si="272"/>
        <v>0</v>
      </c>
      <c r="AC709" s="377">
        <f t="shared" si="273"/>
        <v>0</v>
      </c>
      <c r="AD709" s="376"/>
      <c r="AE709" s="332">
        <v>694</v>
      </c>
      <c r="AF709" s="350">
        <v>405227.15797694994</v>
      </c>
      <c r="AG709" s="350">
        <v>403766.8482659827</v>
      </c>
      <c r="AH709" s="350">
        <v>402187.59490747139</v>
      </c>
      <c r="AI709" s="350">
        <v>400292.94243985886</v>
      </c>
      <c r="AJ709" s="350">
        <v>397908.85271875298</v>
      </c>
      <c r="AK709" s="348">
        <v>2009383.3963090158</v>
      </c>
      <c r="AL709" s="369"/>
      <c r="AM709" s="350">
        <v>11638650.389104903</v>
      </c>
      <c r="AN709" s="350">
        <v>11535965.35707639</v>
      </c>
      <c r="AO709" s="350">
        <v>11423415.595098952</v>
      </c>
      <c r="AP709" s="350">
        <v>11279038.486855632</v>
      </c>
      <c r="AQ709" s="350">
        <v>11084040.310204485</v>
      </c>
      <c r="AR709" s="348">
        <v>56961110.138340361</v>
      </c>
      <c r="AS709" s="369"/>
      <c r="AT709" s="350">
        <f t="shared" si="291"/>
        <v>11233423.231127953</v>
      </c>
      <c r="AU709" s="350">
        <f t="shared" si="274"/>
        <v>11132198.508810407</v>
      </c>
      <c r="AV709" s="350">
        <f t="shared" si="275"/>
        <v>11021228.00019148</v>
      </c>
      <c r="AW709" s="350">
        <f t="shared" si="276"/>
        <v>10878745.544415772</v>
      </c>
      <c r="AX709" s="350">
        <f t="shared" si="277"/>
        <v>10686131.457485732</v>
      </c>
      <c r="AY709" s="350">
        <f t="shared" si="278"/>
        <v>54951726.742031343</v>
      </c>
      <c r="AZ709" s="365"/>
      <c r="BA709" s="377">
        <f t="shared" si="279"/>
        <v>0</v>
      </c>
      <c r="BB709" s="377">
        <f t="shared" si="280"/>
        <v>0</v>
      </c>
      <c r="BC709" s="377">
        <f t="shared" si="281"/>
        <v>0</v>
      </c>
      <c r="BD709" s="377">
        <f t="shared" si="282"/>
        <v>0</v>
      </c>
      <c r="BE709" s="377">
        <f t="shared" si="283"/>
        <v>0</v>
      </c>
      <c r="BF709" s="377">
        <f t="shared" si="284"/>
        <v>0</v>
      </c>
      <c r="BG709" s="328"/>
    </row>
    <row r="710" spans="2:59">
      <c r="B710" s="332">
        <v>695</v>
      </c>
      <c r="C710" s="350">
        <v>6209424.5191766126</v>
      </c>
      <c r="D710" s="350">
        <v>6187047.7294023521</v>
      </c>
      <c r="E710" s="350">
        <v>6162848.3283175668</v>
      </c>
      <c r="F710" s="350">
        <v>6133815.9664530624</v>
      </c>
      <c r="G710" s="350">
        <v>6097283.8020145837</v>
      </c>
      <c r="H710" s="348">
        <v>30790420.345364176</v>
      </c>
      <c r="I710" s="369"/>
      <c r="J710" s="350">
        <v>19134678.279243894</v>
      </c>
      <c r="K710" s="350">
        <v>18708673.261513349</v>
      </c>
      <c r="L710" s="350">
        <v>18271701.718700599</v>
      </c>
      <c r="M710" s="350">
        <v>17795961.870568015</v>
      </c>
      <c r="N710" s="350">
        <v>17258172.663684253</v>
      </c>
      <c r="O710" s="348">
        <v>91169187.793710113</v>
      </c>
      <c r="P710" s="369"/>
      <c r="Q710" s="350">
        <f t="shared" si="285"/>
        <v>12925253.76006728</v>
      </c>
      <c r="R710" s="350">
        <f t="shared" si="286"/>
        <v>12521625.532110997</v>
      </c>
      <c r="S710" s="350">
        <f t="shared" si="287"/>
        <v>12108853.390383031</v>
      </c>
      <c r="T710" s="350">
        <f t="shared" si="288"/>
        <v>11662145.904114952</v>
      </c>
      <c r="U710" s="350">
        <f t="shared" si="289"/>
        <v>11160888.861669669</v>
      </c>
      <c r="V710" s="350">
        <f t="shared" si="290"/>
        <v>60378767.448345937</v>
      </c>
      <c r="W710" s="365"/>
      <c r="X710" s="377">
        <f t="shared" si="268"/>
        <v>0</v>
      </c>
      <c r="Y710" s="377">
        <f t="shared" si="269"/>
        <v>0</v>
      </c>
      <c r="Z710" s="377">
        <f t="shared" si="270"/>
        <v>0</v>
      </c>
      <c r="AA710" s="377">
        <f t="shared" si="271"/>
        <v>0</v>
      </c>
      <c r="AB710" s="377">
        <f t="shared" si="272"/>
        <v>0</v>
      </c>
      <c r="AC710" s="377">
        <f t="shared" si="273"/>
        <v>0</v>
      </c>
      <c r="AD710" s="376"/>
      <c r="AE710" s="332">
        <v>695</v>
      </c>
      <c r="AF710" s="350">
        <v>400061.6092005737</v>
      </c>
      <c r="AG710" s="350">
        <v>398619.91448342445</v>
      </c>
      <c r="AH710" s="350">
        <v>397060.79232809885</v>
      </c>
      <c r="AI710" s="350">
        <v>395190.29154810921</v>
      </c>
      <c r="AJ710" s="350">
        <v>392836.59251405176</v>
      </c>
      <c r="AK710" s="348">
        <v>1983769.200074258</v>
      </c>
      <c r="AL710" s="369"/>
      <c r="AM710" s="350">
        <v>10803492.792181961</v>
      </c>
      <c r="AN710" s="350">
        <v>10707066.706967553</v>
      </c>
      <c r="AO710" s="350">
        <v>10601506.412743401</v>
      </c>
      <c r="AP710" s="350">
        <v>10466461.10155648</v>
      </c>
      <c r="AQ710" s="350">
        <v>10284518.495668933</v>
      </c>
      <c r="AR710" s="348">
        <v>52863045.509118333</v>
      </c>
      <c r="AS710" s="369"/>
      <c r="AT710" s="350">
        <f t="shared" si="291"/>
        <v>10403431.182981387</v>
      </c>
      <c r="AU710" s="350">
        <f t="shared" si="274"/>
        <v>10308446.792484129</v>
      </c>
      <c r="AV710" s="350">
        <f t="shared" si="275"/>
        <v>10204445.620415302</v>
      </c>
      <c r="AW710" s="350">
        <f t="shared" si="276"/>
        <v>10071270.810008371</v>
      </c>
      <c r="AX710" s="350">
        <f t="shared" si="277"/>
        <v>9891681.9031548817</v>
      </c>
      <c r="AY710" s="350">
        <f t="shared" si="278"/>
        <v>50879276.309044078</v>
      </c>
      <c r="AZ710" s="365"/>
      <c r="BA710" s="377">
        <f t="shared" si="279"/>
        <v>0</v>
      </c>
      <c r="BB710" s="377">
        <f t="shared" si="280"/>
        <v>0</v>
      </c>
      <c r="BC710" s="377">
        <f t="shared" si="281"/>
        <v>0</v>
      </c>
      <c r="BD710" s="377">
        <f t="shared" si="282"/>
        <v>0</v>
      </c>
      <c r="BE710" s="377">
        <f t="shared" si="283"/>
        <v>0</v>
      </c>
      <c r="BF710" s="377">
        <f t="shared" si="284"/>
        <v>0</v>
      </c>
      <c r="BG710" s="328"/>
    </row>
    <row r="711" spans="2:59">
      <c r="B711" s="332">
        <v>696</v>
      </c>
      <c r="C711" s="350">
        <v>7309899.9448821358</v>
      </c>
      <c r="D711" s="350">
        <v>7283557.3919076491</v>
      </c>
      <c r="E711" s="350">
        <v>7255069.2123493738</v>
      </c>
      <c r="F711" s="350">
        <v>7220891.5426252736</v>
      </c>
      <c r="G711" s="350">
        <v>7177884.905538287</v>
      </c>
      <c r="H711" s="348">
        <v>36247302.997302718</v>
      </c>
      <c r="I711" s="369"/>
      <c r="J711" s="350">
        <v>22922007.540410921</v>
      </c>
      <c r="K711" s="350">
        <v>22417647.855968982</v>
      </c>
      <c r="L711" s="350">
        <v>21900029.244184457</v>
      </c>
      <c r="M711" s="350">
        <v>21335654.480623547</v>
      </c>
      <c r="N711" s="350">
        <v>20696457.837961126</v>
      </c>
      <c r="O711" s="348">
        <v>109271796.95914902</v>
      </c>
      <c r="P711" s="369"/>
      <c r="Q711" s="350">
        <f t="shared" si="285"/>
        <v>15612107.595528785</v>
      </c>
      <c r="R711" s="350">
        <f t="shared" si="286"/>
        <v>15134090.464061333</v>
      </c>
      <c r="S711" s="350">
        <f t="shared" si="287"/>
        <v>14644960.031835083</v>
      </c>
      <c r="T711" s="350">
        <f t="shared" si="288"/>
        <v>14114762.937998272</v>
      </c>
      <c r="U711" s="350">
        <f t="shared" si="289"/>
        <v>13518572.932422839</v>
      </c>
      <c r="V711" s="350">
        <f t="shared" si="290"/>
        <v>73024493.961846292</v>
      </c>
      <c r="W711" s="365"/>
      <c r="X711" s="377">
        <f t="shared" si="268"/>
        <v>0</v>
      </c>
      <c r="Y711" s="377">
        <f t="shared" si="269"/>
        <v>0</v>
      </c>
      <c r="Z711" s="377">
        <f t="shared" si="270"/>
        <v>0</v>
      </c>
      <c r="AA711" s="377">
        <f t="shared" si="271"/>
        <v>0</v>
      </c>
      <c r="AB711" s="377">
        <f t="shared" si="272"/>
        <v>0</v>
      </c>
      <c r="AC711" s="377">
        <f t="shared" si="273"/>
        <v>0</v>
      </c>
      <c r="AD711" s="376"/>
      <c r="AE711" s="332">
        <v>696</v>
      </c>
      <c r="AF711" s="350">
        <v>389181.18834413984</v>
      </c>
      <c r="AG711" s="350">
        <v>387778.70320098713</v>
      </c>
      <c r="AH711" s="350">
        <v>386261.98427762982</v>
      </c>
      <c r="AI711" s="350">
        <v>384442.35525146639</v>
      </c>
      <c r="AJ711" s="350">
        <v>382152.66944804887</v>
      </c>
      <c r="AK711" s="348">
        <v>1929816.9005222719</v>
      </c>
      <c r="AL711" s="369"/>
      <c r="AM711" s="350">
        <v>11712690.596410947</v>
      </c>
      <c r="AN711" s="350">
        <v>11610216.403609635</v>
      </c>
      <c r="AO711" s="350">
        <v>11497797.081070852</v>
      </c>
      <c r="AP711" s="350">
        <v>11353302.388834752</v>
      </c>
      <c r="AQ711" s="350">
        <v>11157793.455623772</v>
      </c>
      <c r="AR711" s="348">
        <v>57331799.925549954</v>
      </c>
      <c r="AS711" s="369"/>
      <c r="AT711" s="350">
        <f t="shared" si="291"/>
        <v>11323509.408066807</v>
      </c>
      <c r="AU711" s="350">
        <f t="shared" si="274"/>
        <v>11222437.700408649</v>
      </c>
      <c r="AV711" s="350">
        <f t="shared" si="275"/>
        <v>11111535.096793221</v>
      </c>
      <c r="AW711" s="350">
        <f t="shared" si="276"/>
        <v>10968860.033583285</v>
      </c>
      <c r="AX711" s="350">
        <f t="shared" si="277"/>
        <v>10775640.786175722</v>
      </c>
      <c r="AY711" s="350">
        <f t="shared" si="278"/>
        <v>55401983.025027685</v>
      </c>
      <c r="AZ711" s="365"/>
      <c r="BA711" s="377">
        <f t="shared" si="279"/>
        <v>0</v>
      </c>
      <c r="BB711" s="377">
        <f t="shared" si="280"/>
        <v>0</v>
      </c>
      <c r="BC711" s="377">
        <f t="shared" si="281"/>
        <v>0</v>
      </c>
      <c r="BD711" s="377">
        <f t="shared" si="282"/>
        <v>0</v>
      </c>
      <c r="BE711" s="377">
        <f t="shared" si="283"/>
        <v>0</v>
      </c>
      <c r="BF711" s="377">
        <f t="shared" si="284"/>
        <v>0</v>
      </c>
      <c r="BG711" s="328"/>
    </row>
    <row r="712" spans="2:59">
      <c r="B712" s="332">
        <v>697</v>
      </c>
      <c r="C712" s="350">
        <v>4254543.8368823808</v>
      </c>
      <c r="D712" s="350">
        <v>4239211.8149326369</v>
      </c>
      <c r="E712" s="350">
        <v>4222630.9848696329</v>
      </c>
      <c r="F712" s="350">
        <v>4202738.7298209891</v>
      </c>
      <c r="G712" s="350">
        <v>4177707.7958625033</v>
      </c>
      <c r="H712" s="348">
        <v>21096833.162368141</v>
      </c>
      <c r="I712" s="369"/>
      <c r="J712" s="350">
        <v>13102346.232429588</v>
      </c>
      <c r="K712" s="350">
        <v>12810517.690718811</v>
      </c>
      <c r="L712" s="350">
        <v>12511182.432334004</v>
      </c>
      <c r="M712" s="350">
        <v>12185307.386587556</v>
      </c>
      <c r="N712" s="350">
        <v>11816954.687718412</v>
      </c>
      <c r="O712" s="348">
        <v>62426308.429788373</v>
      </c>
      <c r="P712" s="369"/>
      <c r="Q712" s="350">
        <f t="shared" si="285"/>
        <v>8847802.3955472074</v>
      </c>
      <c r="R712" s="350">
        <f t="shared" si="286"/>
        <v>8571305.8757861741</v>
      </c>
      <c r="S712" s="350">
        <f t="shared" si="287"/>
        <v>8288551.4474643711</v>
      </c>
      <c r="T712" s="350">
        <f t="shared" si="288"/>
        <v>7982568.6567665674</v>
      </c>
      <c r="U712" s="350">
        <f t="shared" si="289"/>
        <v>7639246.8918559086</v>
      </c>
      <c r="V712" s="350">
        <f t="shared" si="290"/>
        <v>41329475.267420232</v>
      </c>
      <c r="W712" s="365"/>
      <c r="X712" s="377">
        <f t="shared" si="268"/>
        <v>0</v>
      </c>
      <c r="Y712" s="377">
        <f t="shared" si="269"/>
        <v>0</v>
      </c>
      <c r="Z712" s="377">
        <f t="shared" si="270"/>
        <v>0</v>
      </c>
      <c r="AA712" s="377">
        <f t="shared" si="271"/>
        <v>0</v>
      </c>
      <c r="AB712" s="377">
        <f t="shared" si="272"/>
        <v>0</v>
      </c>
      <c r="AC712" s="377">
        <f t="shared" si="273"/>
        <v>0</v>
      </c>
      <c r="AD712" s="376"/>
      <c r="AE712" s="332">
        <v>697</v>
      </c>
      <c r="AF712" s="350">
        <v>486040.96884332906</v>
      </c>
      <c r="AG712" s="350">
        <v>484289.43187756103</v>
      </c>
      <c r="AH712" s="350">
        <v>482395.23052084038</v>
      </c>
      <c r="AI712" s="350">
        <v>480122.73050979181</v>
      </c>
      <c r="AJ712" s="350">
        <v>477263.18554829247</v>
      </c>
      <c r="AK712" s="348">
        <v>2410111.5472998144</v>
      </c>
      <c r="AL712" s="369"/>
      <c r="AM712" s="350">
        <v>15207815.030957209</v>
      </c>
      <c r="AN712" s="350">
        <v>15075656.268725013</v>
      </c>
      <c r="AO712" s="350">
        <v>14930566.440882621</v>
      </c>
      <c r="AP712" s="350">
        <v>14743782.654509861</v>
      </c>
      <c r="AQ712" s="350">
        <v>14490688.101601943</v>
      </c>
      <c r="AR712" s="348">
        <v>74448508.496676654</v>
      </c>
      <c r="AS712" s="369"/>
      <c r="AT712" s="350">
        <f t="shared" si="291"/>
        <v>14721774.062113879</v>
      </c>
      <c r="AU712" s="350">
        <f t="shared" si="274"/>
        <v>14591366.836847452</v>
      </c>
      <c r="AV712" s="350">
        <f t="shared" si="275"/>
        <v>14448171.210361781</v>
      </c>
      <c r="AW712" s="350">
        <f t="shared" si="276"/>
        <v>14263659.924000069</v>
      </c>
      <c r="AX712" s="350">
        <f t="shared" si="277"/>
        <v>14013424.916053651</v>
      </c>
      <c r="AY712" s="350">
        <f t="shared" si="278"/>
        <v>72038396.949376836</v>
      </c>
      <c r="AZ712" s="365"/>
      <c r="BA712" s="377">
        <f t="shared" si="279"/>
        <v>0</v>
      </c>
      <c r="BB712" s="377">
        <f t="shared" si="280"/>
        <v>0</v>
      </c>
      <c r="BC712" s="377">
        <f t="shared" si="281"/>
        <v>0</v>
      </c>
      <c r="BD712" s="377">
        <f t="shared" si="282"/>
        <v>0</v>
      </c>
      <c r="BE712" s="377">
        <f t="shared" si="283"/>
        <v>0</v>
      </c>
      <c r="BF712" s="377">
        <f t="shared" si="284"/>
        <v>0</v>
      </c>
      <c r="BG712" s="328"/>
    </row>
    <row r="713" spans="2:59">
      <c r="B713" s="332">
        <v>698</v>
      </c>
      <c r="C713" s="350">
        <v>6017757.4597327225</v>
      </c>
      <c r="D713" s="350">
        <v>5996071.3770413147</v>
      </c>
      <c r="E713" s="350">
        <v>5972618.9418036677</v>
      </c>
      <c r="F713" s="350">
        <v>5944482.7253726237</v>
      </c>
      <c r="G713" s="350">
        <v>5909078.2036829069</v>
      </c>
      <c r="H713" s="348">
        <v>29840008.707633235</v>
      </c>
      <c r="I713" s="369"/>
      <c r="J713" s="350">
        <v>20653125.662081324</v>
      </c>
      <c r="K713" s="350">
        <v>20225069.288017668</v>
      </c>
      <c r="L713" s="350">
        <v>19784527.701182701</v>
      </c>
      <c r="M713" s="350">
        <v>19300467.326877974</v>
      </c>
      <c r="N713" s="350">
        <v>18746819.1507902</v>
      </c>
      <c r="O713" s="348">
        <v>98710009.128949866</v>
      </c>
      <c r="P713" s="369"/>
      <c r="Q713" s="350">
        <f t="shared" si="285"/>
        <v>14635368.202348601</v>
      </c>
      <c r="R713" s="350">
        <f t="shared" si="286"/>
        <v>14228997.910976354</v>
      </c>
      <c r="S713" s="350">
        <f t="shared" si="287"/>
        <v>13811908.759379033</v>
      </c>
      <c r="T713" s="350">
        <f t="shared" si="288"/>
        <v>13355984.60150535</v>
      </c>
      <c r="U713" s="350">
        <f t="shared" si="289"/>
        <v>12837740.947107293</v>
      </c>
      <c r="V713" s="350">
        <f t="shared" si="290"/>
        <v>68870000.421316624</v>
      </c>
      <c r="W713" s="365"/>
      <c r="X713" s="377">
        <f t="shared" si="268"/>
        <v>0</v>
      </c>
      <c r="Y713" s="377">
        <f t="shared" si="269"/>
        <v>0</v>
      </c>
      <c r="Z713" s="377">
        <f t="shared" si="270"/>
        <v>0</v>
      </c>
      <c r="AA713" s="377">
        <f t="shared" si="271"/>
        <v>0</v>
      </c>
      <c r="AB713" s="377">
        <f t="shared" si="272"/>
        <v>0</v>
      </c>
      <c r="AC713" s="377">
        <f t="shared" si="273"/>
        <v>0</v>
      </c>
      <c r="AD713" s="376"/>
      <c r="AE713" s="332">
        <v>698</v>
      </c>
      <c r="AF713" s="350">
        <v>279735.31544583506</v>
      </c>
      <c r="AG713" s="350">
        <v>278727.23839669215</v>
      </c>
      <c r="AH713" s="350">
        <v>277637.05249055108</v>
      </c>
      <c r="AI713" s="350">
        <v>276329.14112465497</v>
      </c>
      <c r="AJ713" s="350">
        <v>274683.36275798723</v>
      </c>
      <c r="AK713" s="348">
        <v>1387112.1102157207</v>
      </c>
      <c r="AL713" s="369"/>
      <c r="AM713" s="350">
        <v>9071990.1891065873</v>
      </c>
      <c r="AN713" s="350">
        <v>8993626.3695492242</v>
      </c>
      <c r="AO713" s="350">
        <v>8907539.0515741669</v>
      </c>
      <c r="AP713" s="350">
        <v>8796554.87836162</v>
      </c>
      <c r="AQ713" s="350">
        <v>8645975.0455301274</v>
      </c>
      <c r="AR713" s="348">
        <v>44415685.534121722</v>
      </c>
      <c r="AS713" s="369"/>
      <c r="AT713" s="350">
        <f t="shared" si="291"/>
        <v>8792254.8736607525</v>
      </c>
      <c r="AU713" s="350">
        <f t="shared" si="274"/>
        <v>8714899.1311525311</v>
      </c>
      <c r="AV713" s="350">
        <f t="shared" si="275"/>
        <v>8629901.9990836158</v>
      </c>
      <c r="AW713" s="350">
        <f t="shared" si="276"/>
        <v>8520225.7372369654</v>
      </c>
      <c r="AX713" s="350">
        <f t="shared" si="277"/>
        <v>8371291.68277214</v>
      </c>
      <c r="AY713" s="350">
        <f t="shared" si="278"/>
        <v>43028573.423905998</v>
      </c>
      <c r="AZ713" s="365"/>
      <c r="BA713" s="377">
        <f t="shared" si="279"/>
        <v>0</v>
      </c>
      <c r="BB713" s="377">
        <f t="shared" si="280"/>
        <v>0</v>
      </c>
      <c r="BC713" s="377">
        <f t="shared" si="281"/>
        <v>0</v>
      </c>
      <c r="BD713" s="377">
        <f t="shared" si="282"/>
        <v>0</v>
      </c>
      <c r="BE713" s="377">
        <f t="shared" si="283"/>
        <v>0</v>
      </c>
      <c r="BF713" s="377">
        <f t="shared" si="284"/>
        <v>0</v>
      </c>
      <c r="BG713" s="328"/>
    </row>
    <row r="714" spans="2:59">
      <c r="B714" s="332">
        <v>699</v>
      </c>
      <c r="C714" s="350">
        <v>6787159.0358285159</v>
      </c>
      <c r="D714" s="350">
        <v>6762700.2747242972</v>
      </c>
      <c r="E714" s="350">
        <v>6736249.3237179676</v>
      </c>
      <c r="F714" s="350">
        <v>6704515.7457428146</v>
      </c>
      <c r="G714" s="350">
        <v>6664584.5718955025</v>
      </c>
      <c r="H714" s="348">
        <v>33655208.951909095</v>
      </c>
      <c r="I714" s="369"/>
      <c r="J714" s="350">
        <v>23816253.691347167</v>
      </c>
      <c r="K714" s="350">
        <v>23329702.10343188</v>
      </c>
      <c r="L714" s="350">
        <v>22828608.889149003</v>
      </c>
      <c r="M714" s="350">
        <v>22276959.395093124</v>
      </c>
      <c r="N714" s="350">
        <v>21644482.802699916</v>
      </c>
      <c r="O714" s="348">
        <v>113896006.88172108</v>
      </c>
      <c r="P714" s="369"/>
      <c r="Q714" s="350">
        <f t="shared" si="285"/>
        <v>17029094.655518651</v>
      </c>
      <c r="R714" s="350">
        <f t="shared" si="286"/>
        <v>16567001.828707583</v>
      </c>
      <c r="S714" s="350">
        <f t="shared" si="287"/>
        <v>16092359.565431036</v>
      </c>
      <c r="T714" s="350">
        <f t="shared" si="288"/>
        <v>15572443.64935031</v>
      </c>
      <c r="U714" s="350">
        <f t="shared" si="289"/>
        <v>14979898.230804414</v>
      </c>
      <c r="V714" s="350">
        <f t="shared" si="290"/>
        <v>80240797.929811984</v>
      </c>
      <c r="W714" s="365"/>
      <c r="X714" s="377">
        <f t="shared" si="268"/>
        <v>0</v>
      </c>
      <c r="Y714" s="377">
        <f t="shared" si="269"/>
        <v>0</v>
      </c>
      <c r="Z714" s="377">
        <f t="shared" si="270"/>
        <v>0</v>
      </c>
      <c r="AA714" s="377">
        <f t="shared" si="271"/>
        <v>0</v>
      </c>
      <c r="AB714" s="377">
        <f t="shared" si="272"/>
        <v>0</v>
      </c>
      <c r="AC714" s="377">
        <f t="shared" si="273"/>
        <v>0</v>
      </c>
      <c r="AD714" s="376"/>
      <c r="AE714" s="332">
        <v>699</v>
      </c>
      <c r="AF714" s="350">
        <v>629795.59988628398</v>
      </c>
      <c r="AG714" s="350">
        <v>627526.0169811555</v>
      </c>
      <c r="AH714" s="350">
        <v>625071.57433900505</v>
      </c>
      <c r="AI714" s="350">
        <v>622126.94497760385</v>
      </c>
      <c r="AJ714" s="350">
        <v>618421.64244165679</v>
      </c>
      <c r="AK714" s="348">
        <v>3122941.7786257053</v>
      </c>
      <c r="AL714" s="369"/>
      <c r="AM714" s="350">
        <v>19394350.713347647</v>
      </c>
      <c r="AN714" s="350">
        <v>19225348.381092608</v>
      </c>
      <c r="AO714" s="350">
        <v>19039864.640125047</v>
      </c>
      <c r="AP714" s="350">
        <v>18801233.41980334</v>
      </c>
      <c r="AQ714" s="350">
        <v>18478074.866265178</v>
      </c>
      <c r="AR714" s="348">
        <v>94938872.020633817</v>
      </c>
      <c r="AS714" s="369"/>
      <c r="AT714" s="350">
        <f t="shared" si="291"/>
        <v>18764555.113461364</v>
      </c>
      <c r="AU714" s="350">
        <f t="shared" si="274"/>
        <v>18597822.364111453</v>
      </c>
      <c r="AV714" s="350">
        <f t="shared" si="275"/>
        <v>18414793.065786041</v>
      </c>
      <c r="AW714" s="350">
        <f t="shared" si="276"/>
        <v>18179106.474825736</v>
      </c>
      <c r="AX714" s="350">
        <f t="shared" si="277"/>
        <v>17859653.223823521</v>
      </c>
      <c r="AY714" s="350">
        <f t="shared" si="278"/>
        <v>91815930.242008105</v>
      </c>
      <c r="AZ714" s="365"/>
      <c r="BA714" s="377">
        <f t="shared" si="279"/>
        <v>0</v>
      </c>
      <c r="BB714" s="377">
        <f t="shared" si="280"/>
        <v>0</v>
      </c>
      <c r="BC714" s="377">
        <f t="shared" si="281"/>
        <v>0</v>
      </c>
      <c r="BD714" s="377">
        <f t="shared" si="282"/>
        <v>0</v>
      </c>
      <c r="BE714" s="377">
        <f t="shared" si="283"/>
        <v>0</v>
      </c>
      <c r="BF714" s="377">
        <f t="shared" si="284"/>
        <v>0</v>
      </c>
      <c r="BG714" s="328"/>
    </row>
    <row r="715" spans="2:59">
      <c r="B715" s="332">
        <v>700</v>
      </c>
      <c r="C715" s="350">
        <v>6413696.8927037716</v>
      </c>
      <c r="D715" s="350">
        <v>6390583.9703064337</v>
      </c>
      <c r="E715" s="350">
        <v>6365588.4778798074</v>
      </c>
      <c r="F715" s="350">
        <v>6335601.0340348631</v>
      </c>
      <c r="G715" s="350">
        <v>6297867.0654812213</v>
      </c>
      <c r="H715" s="348">
        <v>31803337.440406099</v>
      </c>
      <c r="I715" s="369"/>
      <c r="J715" s="350">
        <v>21228140.078520596</v>
      </c>
      <c r="K715" s="350">
        <v>20777569.23460535</v>
      </c>
      <c r="L715" s="350">
        <v>20314381.956319816</v>
      </c>
      <c r="M715" s="350">
        <v>19807022.884277694</v>
      </c>
      <c r="N715" s="350">
        <v>19229011.046016641</v>
      </c>
      <c r="O715" s="348">
        <v>101356125.19974008</v>
      </c>
      <c r="P715" s="369"/>
      <c r="Q715" s="350">
        <f t="shared" si="285"/>
        <v>14814443.185816824</v>
      </c>
      <c r="R715" s="350">
        <f t="shared" si="286"/>
        <v>14386985.264298916</v>
      </c>
      <c r="S715" s="350">
        <f t="shared" si="287"/>
        <v>13948793.478440009</v>
      </c>
      <c r="T715" s="350">
        <f t="shared" si="288"/>
        <v>13471421.850242831</v>
      </c>
      <c r="U715" s="350">
        <f t="shared" si="289"/>
        <v>12931143.98053542</v>
      </c>
      <c r="V715" s="350">
        <f t="shared" si="290"/>
        <v>69552787.759333983</v>
      </c>
      <c r="W715" s="365"/>
      <c r="X715" s="377">
        <f t="shared" si="268"/>
        <v>0</v>
      </c>
      <c r="Y715" s="377">
        <f t="shared" si="269"/>
        <v>0</v>
      </c>
      <c r="Z715" s="377">
        <f t="shared" si="270"/>
        <v>0</v>
      </c>
      <c r="AA715" s="377">
        <f t="shared" si="271"/>
        <v>0</v>
      </c>
      <c r="AB715" s="377">
        <f t="shared" si="272"/>
        <v>0</v>
      </c>
      <c r="AC715" s="377">
        <f t="shared" si="273"/>
        <v>0</v>
      </c>
      <c r="AD715" s="376"/>
      <c r="AE715" s="332">
        <v>700</v>
      </c>
      <c r="AF715" s="350">
        <v>451710.20225983165</v>
      </c>
      <c r="AG715" s="350">
        <v>450082.38245082356</v>
      </c>
      <c r="AH715" s="350">
        <v>448321.97513371758</v>
      </c>
      <c r="AI715" s="350">
        <v>446209.98971391015</v>
      </c>
      <c r="AJ715" s="350">
        <v>443552.42437326832</v>
      </c>
      <c r="AK715" s="348">
        <v>2239876.973931551</v>
      </c>
      <c r="AL715" s="369"/>
      <c r="AM715" s="350">
        <v>15604356.131197643</v>
      </c>
      <c r="AN715" s="350">
        <v>15470932.174291298</v>
      </c>
      <c r="AO715" s="350">
        <v>15324195.444033979</v>
      </c>
      <c r="AP715" s="350">
        <v>15134562.627238188</v>
      </c>
      <c r="AQ715" s="350">
        <v>14876710.447667265</v>
      </c>
      <c r="AR715" s="348">
        <v>76410756.82442838</v>
      </c>
      <c r="AS715" s="369"/>
      <c r="AT715" s="350">
        <f t="shared" si="291"/>
        <v>15152645.928937811</v>
      </c>
      <c r="AU715" s="350">
        <f t="shared" si="274"/>
        <v>15020849.791840475</v>
      </c>
      <c r="AV715" s="350">
        <f t="shared" si="275"/>
        <v>14875873.468900261</v>
      </c>
      <c r="AW715" s="350">
        <f t="shared" si="276"/>
        <v>14688352.637524277</v>
      </c>
      <c r="AX715" s="350">
        <f t="shared" si="277"/>
        <v>14433158.023293996</v>
      </c>
      <c r="AY715" s="350">
        <f t="shared" si="278"/>
        <v>74170879.850496829</v>
      </c>
      <c r="AZ715" s="365"/>
      <c r="BA715" s="377">
        <f t="shared" si="279"/>
        <v>0</v>
      </c>
      <c r="BB715" s="377">
        <f t="shared" si="280"/>
        <v>0</v>
      </c>
      <c r="BC715" s="377">
        <f t="shared" si="281"/>
        <v>0</v>
      </c>
      <c r="BD715" s="377">
        <f t="shared" si="282"/>
        <v>0</v>
      </c>
      <c r="BE715" s="377">
        <f t="shared" si="283"/>
        <v>0</v>
      </c>
      <c r="BF715" s="377">
        <f t="shared" si="284"/>
        <v>0</v>
      </c>
      <c r="BG715" s="328"/>
    </row>
    <row r="716" spans="2:59">
      <c r="B716" s="332">
        <v>701</v>
      </c>
      <c r="C716" s="350">
        <v>4249160.2103384249</v>
      </c>
      <c r="D716" s="350">
        <v>4233847.5892653707</v>
      </c>
      <c r="E716" s="350">
        <v>4217287.7402993459</v>
      </c>
      <c r="F716" s="350">
        <v>4197420.6565678632</v>
      </c>
      <c r="G716" s="350">
        <v>4172421.3963223891</v>
      </c>
      <c r="H716" s="348">
        <v>21070137.592793394</v>
      </c>
      <c r="I716" s="369"/>
      <c r="J716" s="350">
        <v>17213560.871678203</v>
      </c>
      <c r="K716" s="350">
        <v>16892351.092143957</v>
      </c>
      <c r="L716" s="350">
        <v>16560009.282481886</v>
      </c>
      <c r="M716" s="350">
        <v>16189521.78335146</v>
      </c>
      <c r="N716" s="350">
        <v>15758107.979253896</v>
      </c>
      <c r="O716" s="348">
        <v>82613551.008909404</v>
      </c>
      <c r="P716" s="369"/>
      <c r="Q716" s="350">
        <f t="shared" si="285"/>
        <v>12964400.661339778</v>
      </c>
      <c r="R716" s="350">
        <f t="shared" si="286"/>
        <v>12658503.502878586</v>
      </c>
      <c r="S716" s="350">
        <f t="shared" si="287"/>
        <v>12342721.542182541</v>
      </c>
      <c r="T716" s="350">
        <f t="shared" si="288"/>
        <v>11992101.126783598</v>
      </c>
      <c r="U716" s="350">
        <f t="shared" si="289"/>
        <v>11585686.582931507</v>
      </c>
      <c r="V716" s="350">
        <f t="shared" si="290"/>
        <v>61543413.416116014</v>
      </c>
      <c r="W716" s="365"/>
      <c r="X716" s="377">
        <f t="shared" si="268"/>
        <v>0</v>
      </c>
      <c r="Y716" s="377">
        <f t="shared" si="269"/>
        <v>0</v>
      </c>
      <c r="Z716" s="377">
        <f t="shared" si="270"/>
        <v>0</v>
      </c>
      <c r="AA716" s="377">
        <f t="shared" si="271"/>
        <v>0</v>
      </c>
      <c r="AB716" s="377">
        <f t="shared" si="272"/>
        <v>0</v>
      </c>
      <c r="AC716" s="377">
        <f t="shared" si="273"/>
        <v>0</v>
      </c>
      <c r="AD716" s="376"/>
      <c r="AE716" s="332">
        <v>701</v>
      </c>
      <c r="AF716" s="350">
        <v>426720.33114880597</v>
      </c>
      <c r="AG716" s="350">
        <v>425182.56688208046</v>
      </c>
      <c r="AH716" s="350">
        <v>423519.55021884356</v>
      </c>
      <c r="AI716" s="350">
        <v>421524.40573635668</v>
      </c>
      <c r="AJ716" s="350">
        <v>419013.86433938384</v>
      </c>
      <c r="AK716" s="348">
        <v>2115960.7183254706</v>
      </c>
      <c r="AL716" s="369"/>
      <c r="AM716" s="350">
        <v>13675476.84057775</v>
      </c>
      <c r="AN716" s="350">
        <v>13557114.455852767</v>
      </c>
      <c r="AO716" s="350">
        <v>13427114.135541631</v>
      </c>
      <c r="AP716" s="350">
        <v>13259595.628820265</v>
      </c>
      <c r="AQ716" s="350">
        <v>13032408.296976525</v>
      </c>
      <c r="AR716" s="348">
        <v>66951709.357768938</v>
      </c>
      <c r="AS716" s="369"/>
      <c r="AT716" s="350">
        <f t="shared" si="291"/>
        <v>13248756.509428944</v>
      </c>
      <c r="AU716" s="350">
        <f t="shared" si="274"/>
        <v>13131931.888970686</v>
      </c>
      <c r="AV716" s="350">
        <f t="shared" si="275"/>
        <v>13003594.585322788</v>
      </c>
      <c r="AW716" s="350">
        <f t="shared" si="276"/>
        <v>12838071.223083908</v>
      </c>
      <c r="AX716" s="350">
        <f t="shared" si="277"/>
        <v>12613394.432637142</v>
      </c>
      <c r="AY716" s="350">
        <f t="shared" si="278"/>
        <v>64835748.639443465</v>
      </c>
      <c r="AZ716" s="365"/>
      <c r="BA716" s="377">
        <f t="shared" si="279"/>
        <v>0</v>
      </c>
      <c r="BB716" s="377">
        <f t="shared" si="280"/>
        <v>0</v>
      </c>
      <c r="BC716" s="377">
        <f t="shared" si="281"/>
        <v>0</v>
      </c>
      <c r="BD716" s="377">
        <f t="shared" si="282"/>
        <v>0</v>
      </c>
      <c r="BE716" s="377">
        <f t="shared" si="283"/>
        <v>0</v>
      </c>
      <c r="BF716" s="377">
        <f t="shared" si="284"/>
        <v>0</v>
      </c>
      <c r="BG716" s="328"/>
    </row>
    <row r="717" spans="2:59">
      <c r="B717" s="332">
        <v>702</v>
      </c>
      <c r="C717" s="350">
        <v>5616269.0381754953</v>
      </c>
      <c r="D717" s="350">
        <v>5596029.7919788761</v>
      </c>
      <c r="E717" s="350">
        <v>5574142.0394769898</v>
      </c>
      <c r="F717" s="350">
        <v>5547882.9949324969</v>
      </c>
      <c r="G717" s="350">
        <v>5514840.5667010676</v>
      </c>
      <c r="H717" s="348">
        <v>27849164.431264929</v>
      </c>
      <c r="I717" s="369"/>
      <c r="J717" s="350">
        <v>17493318.232241038</v>
      </c>
      <c r="K717" s="350">
        <v>17106663.323453039</v>
      </c>
      <c r="L717" s="350">
        <v>16709925.257890899</v>
      </c>
      <c r="M717" s="350">
        <v>16277596.39540931</v>
      </c>
      <c r="N717" s="350">
        <v>15788309.561007764</v>
      </c>
      <c r="O717" s="348">
        <v>83375812.770002052</v>
      </c>
      <c r="P717" s="369"/>
      <c r="Q717" s="350">
        <f t="shared" si="285"/>
        <v>11877049.194065543</v>
      </c>
      <c r="R717" s="350">
        <f t="shared" si="286"/>
        <v>11510633.531474162</v>
      </c>
      <c r="S717" s="350">
        <f t="shared" si="287"/>
        <v>11135783.218413908</v>
      </c>
      <c r="T717" s="350">
        <f t="shared" si="288"/>
        <v>10729713.400476813</v>
      </c>
      <c r="U717" s="350">
        <f t="shared" si="289"/>
        <v>10273468.994306697</v>
      </c>
      <c r="V717" s="350">
        <f t="shared" si="290"/>
        <v>55526648.338737123</v>
      </c>
      <c r="W717" s="365"/>
      <c r="X717" s="377">
        <f t="shared" si="268"/>
        <v>0</v>
      </c>
      <c r="Y717" s="377">
        <f t="shared" si="269"/>
        <v>0</v>
      </c>
      <c r="Z717" s="377">
        <f t="shared" si="270"/>
        <v>0</v>
      </c>
      <c r="AA717" s="377">
        <f t="shared" si="271"/>
        <v>0</v>
      </c>
      <c r="AB717" s="377">
        <f t="shared" si="272"/>
        <v>0</v>
      </c>
      <c r="AC717" s="377">
        <f t="shared" si="273"/>
        <v>0</v>
      </c>
      <c r="AD717" s="376"/>
      <c r="AE717" s="332">
        <v>702</v>
      </c>
      <c r="AF717" s="350">
        <v>430531.74175431742</v>
      </c>
      <c r="AG717" s="350">
        <v>428980.24237677775</v>
      </c>
      <c r="AH717" s="350">
        <v>427302.37186457997</v>
      </c>
      <c r="AI717" s="350">
        <v>425289.40701056411</v>
      </c>
      <c r="AJ717" s="350">
        <v>422756.44178372546</v>
      </c>
      <c r="AK717" s="348">
        <v>2134860.2047899645</v>
      </c>
      <c r="AL717" s="369"/>
      <c r="AM717" s="350">
        <v>11359071.154165672</v>
      </c>
      <c r="AN717" s="350">
        <v>11257227.111784212</v>
      </c>
      <c r="AO717" s="350">
        <v>11145788.502525855</v>
      </c>
      <c r="AP717" s="350">
        <v>11003372.791171195</v>
      </c>
      <c r="AQ717" s="350">
        <v>10811685.858652437</v>
      </c>
      <c r="AR717" s="348">
        <v>55577145.41829937</v>
      </c>
      <c r="AS717" s="369"/>
      <c r="AT717" s="350">
        <f t="shared" si="291"/>
        <v>10928539.412411354</v>
      </c>
      <c r="AU717" s="350">
        <f t="shared" si="274"/>
        <v>10828246.869407434</v>
      </c>
      <c r="AV717" s="350">
        <f t="shared" si="275"/>
        <v>10718486.130661275</v>
      </c>
      <c r="AW717" s="350">
        <f t="shared" si="276"/>
        <v>10578083.38416063</v>
      </c>
      <c r="AX717" s="350">
        <f t="shared" si="277"/>
        <v>10388929.416868711</v>
      </c>
      <c r="AY717" s="350">
        <f t="shared" si="278"/>
        <v>53442285.213509403</v>
      </c>
      <c r="AZ717" s="365"/>
      <c r="BA717" s="377">
        <f t="shared" si="279"/>
        <v>0</v>
      </c>
      <c r="BB717" s="377">
        <f t="shared" si="280"/>
        <v>0</v>
      </c>
      <c r="BC717" s="377">
        <f t="shared" si="281"/>
        <v>0</v>
      </c>
      <c r="BD717" s="377">
        <f t="shared" si="282"/>
        <v>0</v>
      </c>
      <c r="BE717" s="377">
        <f t="shared" si="283"/>
        <v>0</v>
      </c>
      <c r="BF717" s="377">
        <f t="shared" si="284"/>
        <v>0</v>
      </c>
      <c r="BG717" s="328"/>
    </row>
    <row r="718" spans="2:59">
      <c r="B718" s="332">
        <v>703</v>
      </c>
      <c r="C718" s="350">
        <v>6467817.8946123794</v>
      </c>
      <c r="D718" s="350">
        <v>6444509.937348552</v>
      </c>
      <c r="E718" s="350">
        <v>6419303.5242756978</v>
      </c>
      <c r="F718" s="350">
        <v>6389063.0359647125</v>
      </c>
      <c r="G718" s="350">
        <v>6351010.6550791059</v>
      </c>
      <c r="H718" s="348">
        <v>32071705.047280446</v>
      </c>
      <c r="I718" s="369"/>
      <c r="J718" s="350">
        <v>20787527.113345139</v>
      </c>
      <c r="K718" s="350">
        <v>20337620.911997624</v>
      </c>
      <c r="L718" s="350">
        <v>19875537.541954417</v>
      </c>
      <c r="M718" s="350">
        <v>19370657.183286376</v>
      </c>
      <c r="N718" s="350">
        <v>18797305.800254576</v>
      </c>
      <c r="O718" s="348">
        <v>99168648.550838143</v>
      </c>
      <c r="P718" s="369"/>
      <c r="Q718" s="350">
        <f t="shared" si="285"/>
        <v>14319709.218732759</v>
      </c>
      <c r="R718" s="350">
        <f t="shared" si="286"/>
        <v>13893110.974649072</v>
      </c>
      <c r="S718" s="350">
        <f t="shared" si="287"/>
        <v>13456234.017678719</v>
      </c>
      <c r="T718" s="350">
        <f t="shared" si="288"/>
        <v>12981594.147321664</v>
      </c>
      <c r="U718" s="350">
        <f t="shared" si="289"/>
        <v>12446295.14517547</v>
      </c>
      <c r="V718" s="350">
        <f t="shared" si="290"/>
        <v>67096943.503557697</v>
      </c>
      <c r="W718" s="365"/>
      <c r="X718" s="377">
        <f t="shared" si="268"/>
        <v>0</v>
      </c>
      <c r="Y718" s="377">
        <f t="shared" si="269"/>
        <v>0</v>
      </c>
      <c r="Z718" s="377">
        <f t="shared" si="270"/>
        <v>0</v>
      </c>
      <c r="AA718" s="377">
        <f t="shared" si="271"/>
        <v>0</v>
      </c>
      <c r="AB718" s="377">
        <f t="shared" si="272"/>
        <v>0</v>
      </c>
      <c r="AC718" s="377">
        <f t="shared" si="273"/>
        <v>0</v>
      </c>
      <c r="AD718" s="376"/>
      <c r="AE718" s="332">
        <v>703</v>
      </c>
      <c r="AF718" s="350">
        <v>695919.29767710727</v>
      </c>
      <c r="AG718" s="350">
        <v>693411.42600947071</v>
      </c>
      <c r="AH718" s="350">
        <v>690699.2857531358</v>
      </c>
      <c r="AI718" s="350">
        <v>687445.49293928372</v>
      </c>
      <c r="AJ718" s="350">
        <v>683351.16211359517</v>
      </c>
      <c r="AK718" s="348">
        <v>3450826.6644925927</v>
      </c>
      <c r="AL718" s="369"/>
      <c r="AM718" s="350">
        <v>25515144.568658236</v>
      </c>
      <c r="AN718" s="350">
        <v>25298959.554138135</v>
      </c>
      <c r="AO718" s="350">
        <v>25060965.989071228</v>
      </c>
      <c r="AP718" s="350">
        <v>24752727.360978346</v>
      </c>
      <c r="AQ718" s="350">
        <v>24332778.176574737</v>
      </c>
      <c r="AR718" s="348">
        <v>124960575.64942069</v>
      </c>
      <c r="AS718" s="369"/>
      <c r="AT718" s="350">
        <f t="shared" si="291"/>
        <v>24819225.270981129</v>
      </c>
      <c r="AU718" s="350">
        <f t="shared" si="274"/>
        <v>24605548.128128663</v>
      </c>
      <c r="AV718" s="350">
        <f t="shared" si="275"/>
        <v>24370266.703318093</v>
      </c>
      <c r="AW718" s="350">
        <f t="shared" si="276"/>
        <v>24065281.868039064</v>
      </c>
      <c r="AX718" s="350">
        <f t="shared" si="277"/>
        <v>23649427.014461141</v>
      </c>
      <c r="AY718" s="350">
        <f t="shared" si="278"/>
        <v>121509748.9849281</v>
      </c>
      <c r="AZ718" s="365"/>
      <c r="BA718" s="377">
        <f t="shared" si="279"/>
        <v>0</v>
      </c>
      <c r="BB718" s="377">
        <f t="shared" si="280"/>
        <v>0</v>
      </c>
      <c r="BC718" s="377">
        <f t="shared" si="281"/>
        <v>0</v>
      </c>
      <c r="BD718" s="377">
        <f t="shared" si="282"/>
        <v>0</v>
      </c>
      <c r="BE718" s="377">
        <f t="shared" si="283"/>
        <v>0</v>
      </c>
      <c r="BF718" s="377">
        <f t="shared" si="284"/>
        <v>0</v>
      </c>
      <c r="BG718" s="328"/>
    </row>
    <row r="719" spans="2:59">
      <c r="B719" s="332">
        <v>704</v>
      </c>
      <c r="C719" s="350">
        <v>6745400.559331283</v>
      </c>
      <c r="D719" s="350">
        <v>6721092.282486435</v>
      </c>
      <c r="E719" s="350">
        <v>6694804.0728288926</v>
      </c>
      <c r="F719" s="350">
        <v>6663265.737938961</v>
      </c>
      <c r="G719" s="350">
        <v>6623580.2434658632</v>
      </c>
      <c r="H719" s="348">
        <v>33448142.896051437</v>
      </c>
      <c r="I719" s="369"/>
      <c r="J719" s="350">
        <v>22207179.315538652</v>
      </c>
      <c r="K719" s="350">
        <v>21734162.351091307</v>
      </c>
      <c r="L719" s="350">
        <v>21247981.100549351</v>
      </c>
      <c r="M719" s="350">
        <v>20715678.676242393</v>
      </c>
      <c r="N719" s="350">
        <v>20109602.143823609</v>
      </c>
      <c r="O719" s="348">
        <v>106014603.58724532</v>
      </c>
      <c r="P719" s="369"/>
      <c r="Q719" s="350">
        <f t="shared" si="285"/>
        <v>15461778.756207369</v>
      </c>
      <c r="R719" s="350">
        <f t="shared" si="286"/>
        <v>15013070.068604872</v>
      </c>
      <c r="S719" s="350">
        <f t="shared" si="287"/>
        <v>14553177.027720459</v>
      </c>
      <c r="T719" s="350">
        <f t="shared" si="288"/>
        <v>14052412.938303431</v>
      </c>
      <c r="U719" s="350">
        <f t="shared" si="289"/>
        <v>13486021.900357746</v>
      </c>
      <c r="V719" s="350">
        <f t="shared" si="290"/>
        <v>72566460.691193879</v>
      </c>
      <c r="W719" s="365"/>
      <c r="X719" s="377">
        <f t="shared" si="268"/>
        <v>0</v>
      </c>
      <c r="Y719" s="377">
        <f t="shared" si="269"/>
        <v>0</v>
      </c>
      <c r="Z719" s="377">
        <f t="shared" si="270"/>
        <v>0</v>
      </c>
      <c r="AA719" s="377">
        <f t="shared" si="271"/>
        <v>0</v>
      </c>
      <c r="AB719" s="377">
        <f t="shared" si="272"/>
        <v>0</v>
      </c>
      <c r="AC719" s="377">
        <f t="shared" si="273"/>
        <v>0</v>
      </c>
      <c r="AD719" s="376"/>
      <c r="AE719" s="332">
        <v>704</v>
      </c>
      <c r="AF719" s="350">
        <v>427497.32609902747</v>
      </c>
      <c r="AG719" s="350">
        <v>425956.76178978535</v>
      </c>
      <c r="AH719" s="350">
        <v>424290.71701784298</v>
      </c>
      <c r="AI719" s="350">
        <v>422291.93967074994</v>
      </c>
      <c r="AJ719" s="350">
        <v>419776.8269472071</v>
      </c>
      <c r="AK719" s="348">
        <v>2119813.5715246126</v>
      </c>
      <c r="AL719" s="369"/>
      <c r="AM719" s="350">
        <v>10485784.521031233</v>
      </c>
      <c r="AN719" s="350">
        <v>10390375.35855669</v>
      </c>
      <c r="AO719" s="350">
        <v>10286137.74450326</v>
      </c>
      <c r="AP719" s="350">
        <v>10153378.085716765</v>
      </c>
      <c r="AQ719" s="350">
        <v>9975250.0297282208</v>
      </c>
      <c r="AR719" s="348">
        <v>51290925.739536166</v>
      </c>
      <c r="AS719" s="369"/>
      <c r="AT719" s="350">
        <f t="shared" si="291"/>
        <v>10058287.194932206</v>
      </c>
      <c r="AU719" s="350">
        <f t="shared" si="274"/>
        <v>9964418.596766904</v>
      </c>
      <c r="AV719" s="350">
        <f t="shared" si="275"/>
        <v>9861847.0274854172</v>
      </c>
      <c r="AW719" s="350">
        <f t="shared" si="276"/>
        <v>9731086.1460460164</v>
      </c>
      <c r="AX719" s="350">
        <f t="shared" si="277"/>
        <v>9555473.2027810141</v>
      </c>
      <c r="AY719" s="350">
        <f t="shared" si="278"/>
        <v>49171112.168011554</v>
      </c>
      <c r="AZ719" s="365"/>
      <c r="BA719" s="377">
        <f t="shared" si="279"/>
        <v>0</v>
      </c>
      <c r="BB719" s="377">
        <f t="shared" si="280"/>
        <v>0</v>
      </c>
      <c r="BC719" s="377">
        <f t="shared" si="281"/>
        <v>0</v>
      </c>
      <c r="BD719" s="377">
        <f t="shared" si="282"/>
        <v>0</v>
      </c>
      <c r="BE719" s="377">
        <f t="shared" si="283"/>
        <v>0</v>
      </c>
      <c r="BF719" s="377">
        <f t="shared" si="284"/>
        <v>0</v>
      </c>
      <c r="BG719" s="328"/>
    </row>
    <row r="720" spans="2:59">
      <c r="B720" s="332">
        <v>705</v>
      </c>
      <c r="C720" s="350">
        <v>5830828.405928826</v>
      </c>
      <c r="D720" s="350">
        <v>5809815.956055847</v>
      </c>
      <c r="E720" s="350">
        <v>5787092.0216854606</v>
      </c>
      <c r="F720" s="350">
        <v>5759829.7979917889</v>
      </c>
      <c r="G720" s="350">
        <v>5725525.043746029</v>
      </c>
      <c r="H720" s="348">
        <v>28913091.225407954</v>
      </c>
      <c r="I720" s="369"/>
      <c r="J720" s="350">
        <v>22859805.717036586</v>
      </c>
      <c r="K720" s="350">
        <v>22424517.817591354</v>
      </c>
      <c r="L720" s="350">
        <v>21974624.469390087</v>
      </c>
      <c r="M720" s="350">
        <v>21474532.77301332</v>
      </c>
      <c r="N720" s="350">
        <v>20894248.000410605</v>
      </c>
      <c r="O720" s="348">
        <v>109627728.77744196</v>
      </c>
      <c r="P720" s="369"/>
      <c r="Q720" s="350">
        <f t="shared" si="285"/>
        <v>17028977.311107762</v>
      </c>
      <c r="R720" s="350">
        <f t="shared" si="286"/>
        <v>16614701.861535508</v>
      </c>
      <c r="S720" s="350">
        <f t="shared" si="287"/>
        <v>16187532.447704626</v>
      </c>
      <c r="T720" s="350">
        <f t="shared" si="288"/>
        <v>15714702.97502153</v>
      </c>
      <c r="U720" s="350">
        <f t="shared" si="289"/>
        <v>15168722.956664577</v>
      </c>
      <c r="V720" s="350">
        <f t="shared" si="290"/>
        <v>80714637.552034006</v>
      </c>
      <c r="W720" s="365"/>
      <c r="X720" s="377">
        <f t="shared" ref="X720:X783" si="292">IF(Q720&lt;Q$8,1,0)</f>
        <v>0</v>
      </c>
      <c r="Y720" s="377">
        <f t="shared" ref="Y720:Y783" si="293">IF(R720&lt;R$8,1,0)</f>
        <v>0</v>
      </c>
      <c r="Z720" s="377">
        <f t="shared" ref="Z720:Z783" si="294">IF(S720&lt;S$8,1,0)</f>
        <v>0</v>
      </c>
      <c r="AA720" s="377">
        <f t="shared" ref="AA720:AA783" si="295">IF(T720&lt;T$8,1,0)</f>
        <v>0</v>
      </c>
      <c r="AB720" s="377">
        <f t="shared" ref="AB720:AB783" si="296">IF(U720&lt;U$8,1,0)</f>
        <v>0</v>
      </c>
      <c r="AC720" s="377">
        <f t="shared" ref="AC720:AC783" si="297">IF(V720&lt;V$8,1,0)</f>
        <v>0</v>
      </c>
      <c r="AD720" s="376"/>
      <c r="AE720" s="332">
        <v>705</v>
      </c>
      <c r="AF720" s="350">
        <v>546915.43583254411</v>
      </c>
      <c r="AG720" s="350">
        <v>544944.5266614724</v>
      </c>
      <c r="AH720" s="350">
        <v>542813.08501977124</v>
      </c>
      <c r="AI720" s="350">
        <v>540255.96450186567</v>
      </c>
      <c r="AJ720" s="350">
        <v>537038.27426759782</v>
      </c>
      <c r="AK720" s="348">
        <v>2711967.2862832518</v>
      </c>
      <c r="AL720" s="369"/>
      <c r="AM720" s="350">
        <v>15098519.439561948</v>
      </c>
      <c r="AN720" s="350">
        <v>14964324.0592402</v>
      </c>
      <c r="AO720" s="350">
        <v>14817351.529124349</v>
      </c>
      <c r="AP720" s="350">
        <v>14629142.120384296</v>
      </c>
      <c r="AQ720" s="350">
        <v>14375344.389777102</v>
      </c>
      <c r="AR720" s="348">
        <v>73884681.538087904</v>
      </c>
      <c r="AS720" s="369"/>
      <c r="AT720" s="350">
        <f t="shared" si="291"/>
        <v>14551604.003729405</v>
      </c>
      <c r="AU720" s="350">
        <f t="shared" ref="AU720:AU783" si="298">AN720-AG720</f>
        <v>14419379.532578727</v>
      </c>
      <c r="AV720" s="350">
        <f t="shared" ref="AV720:AV783" si="299">AO720-AH720</f>
        <v>14274538.444104578</v>
      </c>
      <c r="AW720" s="350">
        <f t="shared" ref="AW720:AW783" si="300">AP720-AI720</f>
        <v>14088886.155882431</v>
      </c>
      <c r="AX720" s="350">
        <f t="shared" ref="AX720:AX783" si="301">AQ720-AJ720</f>
        <v>13838306.115509504</v>
      </c>
      <c r="AY720" s="350">
        <f t="shared" ref="AY720:AY783" si="302">AR720-AK720</f>
        <v>71172714.25180465</v>
      </c>
      <c r="AZ720" s="365"/>
      <c r="BA720" s="377">
        <f t="shared" ref="BA720:BA783" si="303">IF(AT720&lt;AT$8,1,0)</f>
        <v>0</v>
      </c>
      <c r="BB720" s="377">
        <f t="shared" ref="BB720:BB783" si="304">IF(AU720&lt;AU$8,1,0)</f>
        <v>0</v>
      </c>
      <c r="BC720" s="377">
        <f t="shared" ref="BC720:BC783" si="305">IF(AV720&lt;AV$8,1,0)</f>
        <v>0</v>
      </c>
      <c r="BD720" s="377">
        <f t="shared" ref="BD720:BD783" si="306">IF(AW720&lt;AW$8,1,0)</f>
        <v>0</v>
      </c>
      <c r="BE720" s="377">
        <f t="shared" ref="BE720:BE783" si="307">IF(AX720&lt;AX$8,1,0)</f>
        <v>0</v>
      </c>
      <c r="BF720" s="377">
        <f t="shared" ref="BF720:BF783" si="308">IF(AY720&lt;AY$8,1,0)</f>
        <v>0</v>
      </c>
      <c r="BG720" s="328"/>
    </row>
    <row r="721" spans="2:59">
      <c r="B721" s="332">
        <v>706</v>
      </c>
      <c r="C721" s="350">
        <v>7187569.9380506128</v>
      </c>
      <c r="D721" s="350">
        <v>7161668.2234883616</v>
      </c>
      <c r="E721" s="350">
        <v>7133656.7890601512</v>
      </c>
      <c r="F721" s="350">
        <v>7100051.0771743767</v>
      </c>
      <c r="G721" s="350">
        <v>7057764.1492829062</v>
      </c>
      <c r="H721" s="348">
        <v>35640710.177056409</v>
      </c>
      <c r="I721" s="369"/>
      <c r="J721" s="350">
        <v>25259354.249109328</v>
      </c>
      <c r="K721" s="350">
        <v>24743824.119274341</v>
      </c>
      <c r="L721" s="350">
        <v>24212860.967058722</v>
      </c>
      <c r="M721" s="350">
        <v>23628251.650502577</v>
      </c>
      <c r="N721" s="350">
        <v>22957876.247370776</v>
      </c>
      <c r="O721" s="348">
        <v>120802167.23331575</v>
      </c>
      <c r="P721" s="369"/>
      <c r="Q721" s="350">
        <f t="shared" ref="Q721:Q784" si="309">J721-C721</f>
        <v>18071784.311058715</v>
      </c>
      <c r="R721" s="350">
        <f t="shared" ref="R721:R784" si="310">K721-D721</f>
        <v>17582155.89578598</v>
      </c>
      <c r="S721" s="350">
        <f t="shared" ref="S721:S784" si="311">L721-E721</f>
        <v>17079204.177998573</v>
      </c>
      <c r="T721" s="350">
        <f t="shared" ref="T721:T784" si="312">M721-F721</f>
        <v>16528200.573328201</v>
      </c>
      <c r="U721" s="350">
        <f t="shared" ref="U721:U784" si="313">N721-G721</f>
        <v>15900112.09808787</v>
      </c>
      <c r="V721" s="350">
        <f t="shared" ref="V721:V784" si="314">O721-H721</f>
        <v>85161457.056259334</v>
      </c>
      <c r="W721" s="365"/>
      <c r="X721" s="377">
        <f t="shared" si="292"/>
        <v>0</v>
      </c>
      <c r="Y721" s="377">
        <f t="shared" si="293"/>
        <v>0</v>
      </c>
      <c r="Z721" s="377">
        <f t="shared" si="294"/>
        <v>0</v>
      </c>
      <c r="AA721" s="377">
        <f t="shared" si="295"/>
        <v>0</v>
      </c>
      <c r="AB721" s="377">
        <f t="shared" si="296"/>
        <v>0</v>
      </c>
      <c r="AC721" s="377">
        <f t="shared" si="297"/>
        <v>0</v>
      </c>
      <c r="AD721" s="376"/>
      <c r="AE721" s="332">
        <v>706</v>
      </c>
      <c r="AF721" s="350">
        <v>367635.66290580219</v>
      </c>
      <c r="AG721" s="350">
        <v>366310.82097931491</v>
      </c>
      <c r="AH721" s="350">
        <v>364878.0693882046</v>
      </c>
      <c r="AI721" s="350">
        <v>363159.17715160275</v>
      </c>
      <c r="AJ721" s="350">
        <v>360996.25103030977</v>
      </c>
      <c r="AK721" s="348">
        <v>1822979.9814552341</v>
      </c>
      <c r="AL721" s="369"/>
      <c r="AM721" s="350">
        <v>11243648.482894499</v>
      </c>
      <c r="AN721" s="350">
        <v>11145554.480150789</v>
      </c>
      <c r="AO721" s="350">
        <v>11037907.959604908</v>
      </c>
      <c r="AP721" s="350">
        <v>10899455.969303656</v>
      </c>
      <c r="AQ721" s="350">
        <v>10712009.866612468</v>
      </c>
      <c r="AR721" s="348">
        <v>55038576.75856632</v>
      </c>
      <c r="AS721" s="369"/>
      <c r="AT721" s="350">
        <f t="shared" ref="AT721:AT784" si="315">AM721-AF721</f>
        <v>10876012.819988696</v>
      </c>
      <c r="AU721" s="350">
        <f t="shared" si="298"/>
        <v>10779243.659171473</v>
      </c>
      <c r="AV721" s="350">
        <f t="shared" si="299"/>
        <v>10673029.890216703</v>
      </c>
      <c r="AW721" s="350">
        <f t="shared" si="300"/>
        <v>10536296.792152053</v>
      </c>
      <c r="AX721" s="350">
        <f t="shared" si="301"/>
        <v>10351013.615582159</v>
      </c>
      <c r="AY721" s="350">
        <f t="shared" si="302"/>
        <v>53215596.777111083</v>
      </c>
      <c r="AZ721" s="365"/>
      <c r="BA721" s="377">
        <f t="shared" si="303"/>
        <v>0</v>
      </c>
      <c r="BB721" s="377">
        <f t="shared" si="304"/>
        <v>0</v>
      </c>
      <c r="BC721" s="377">
        <f t="shared" si="305"/>
        <v>0</v>
      </c>
      <c r="BD721" s="377">
        <f t="shared" si="306"/>
        <v>0</v>
      </c>
      <c r="BE721" s="377">
        <f t="shared" si="307"/>
        <v>0</v>
      </c>
      <c r="BF721" s="377">
        <f t="shared" si="308"/>
        <v>0</v>
      </c>
      <c r="BG721" s="328"/>
    </row>
    <row r="722" spans="2:59">
      <c r="B722" s="332">
        <v>707</v>
      </c>
      <c r="C722" s="350">
        <v>5439914.0519041922</v>
      </c>
      <c r="D722" s="350">
        <v>5420310.3329518847</v>
      </c>
      <c r="E722" s="350">
        <v>5399109.8720070357</v>
      </c>
      <c r="F722" s="350">
        <v>5373675.3808108</v>
      </c>
      <c r="G722" s="350">
        <v>5341670.509173885</v>
      </c>
      <c r="H722" s="348">
        <v>26974680.146847799</v>
      </c>
      <c r="I722" s="369"/>
      <c r="J722" s="350">
        <v>17712921.579607077</v>
      </c>
      <c r="K722" s="350">
        <v>17332866.131741121</v>
      </c>
      <c r="L722" s="350">
        <v>16942367.069596812</v>
      </c>
      <c r="M722" s="350">
        <v>16515226.638240501</v>
      </c>
      <c r="N722" s="350">
        <v>16029470.215176053</v>
      </c>
      <c r="O722" s="348">
        <v>84532851.634361565</v>
      </c>
      <c r="P722" s="369"/>
      <c r="Q722" s="350">
        <f t="shared" si="309"/>
        <v>12273007.527702885</v>
      </c>
      <c r="R722" s="350">
        <f t="shared" si="310"/>
        <v>11912555.798789237</v>
      </c>
      <c r="S722" s="350">
        <f t="shared" si="311"/>
        <v>11543257.197589777</v>
      </c>
      <c r="T722" s="350">
        <f t="shared" si="312"/>
        <v>11141551.2574297</v>
      </c>
      <c r="U722" s="350">
        <f t="shared" si="313"/>
        <v>10687799.706002168</v>
      </c>
      <c r="V722" s="350">
        <f t="shared" si="314"/>
        <v>57558171.487513766</v>
      </c>
      <c r="W722" s="365"/>
      <c r="X722" s="377">
        <f t="shared" si="292"/>
        <v>0</v>
      </c>
      <c r="Y722" s="377">
        <f t="shared" si="293"/>
        <v>0</v>
      </c>
      <c r="Z722" s="377">
        <f t="shared" si="294"/>
        <v>0</v>
      </c>
      <c r="AA722" s="377">
        <f t="shared" si="295"/>
        <v>0</v>
      </c>
      <c r="AB722" s="377">
        <f t="shared" si="296"/>
        <v>0</v>
      </c>
      <c r="AC722" s="377">
        <f t="shared" si="297"/>
        <v>0</v>
      </c>
      <c r="AD722" s="376"/>
      <c r="AE722" s="332">
        <v>707</v>
      </c>
      <c r="AF722" s="350">
        <v>495449.53128837678</v>
      </c>
      <c r="AG722" s="350">
        <v>493664.08885789779</v>
      </c>
      <c r="AH722" s="350">
        <v>491733.2204033591</v>
      </c>
      <c r="AI722" s="350">
        <v>489416.73035930737</v>
      </c>
      <c r="AJ722" s="350">
        <v>486501.83161271713</v>
      </c>
      <c r="AK722" s="348">
        <v>2456765.4025216578</v>
      </c>
      <c r="AL722" s="369"/>
      <c r="AM722" s="350">
        <v>14129571.431169342</v>
      </c>
      <c r="AN722" s="350">
        <v>14004747.439829724</v>
      </c>
      <c r="AO722" s="350">
        <v>13867950.765829902</v>
      </c>
      <c r="AP722" s="350">
        <v>13692523.558602428</v>
      </c>
      <c r="AQ722" s="350">
        <v>13455654.638629127</v>
      </c>
      <c r="AR722" s="348">
        <v>69150447.834060535</v>
      </c>
      <c r="AS722" s="369"/>
      <c r="AT722" s="350">
        <f t="shared" si="315"/>
        <v>13634121.899880966</v>
      </c>
      <c r="AU722" s="350">
        <f t="shared" si="298"/>
        <v>13511083.350971825</v>
      </c>
      <c r="AV722" s="350">
        <f t="shared" si="299"/>
        <v>13376217.545426544</v>
      </c>
      <c r="AW722" s="350">
        <f t="shared" si="300"/>
        <v>13203106.828243122</v>
      </c>
      <c r="AX722" s="350">
        <f t="shared" si="301"/>
        <v>12969152.80701641</v>
      </c>
      <c r="AY722" s="350">
        <f t="shared" si="302"/>
        <v>66693682.43153888</v>
      </c>
      <c r="AZ722" s="365"/>
      <c r="BA722" s="377">
        <f t="shared" si="303"/>
        <v>0</v>
      </c>
      <c r="BB722" s="377">
        <f t="shared" si="304"/>
        <v>0</v>
      </c>
      <c r="BC722" s="377">
        <f t="shared" si="305"/>
        <v>0</v>
      </c>
      <c r="BD722" s="377">
        <f t="shared" si="306"/>
        <v>0</v>
      </c>
      <c r="BE722" s="377">
        <f t="shared" si="307"/>
        <v>0</v>
      </c>
      <c r="BF722" s="377">
        <f t="shared" si="308"/>
        <v>0</v>
      </c>
      <c r="BG722" s="328"/>
    </row>
    <row r="723" spans="2:59">
      <c r="B723" s="332">
        <v>708</v>
      </c>
      <c r="C723" s="350">
        <v>5979483.8156750361</v>
      </c>
      <c r="D723" s="350">
        <v>5957935.6590159563</v>
      </c>
      <c r="E723" s="350">
        <v>5934632.384020241</v>
      </c>
      <c r="F723" s="350">
        <v>5906675.1172294943</v>
      </c>
      <c r="G723" s="350">
        <v>5871495.7724549752</v>
      </c>
      <c r="H723" s="348">
        <v>29650222.748395704</v>
      </c>
      <c r="I723" s="369"/>
      <c r="J723" s="350">
        <v>20313243.219654713</v>
      </c>
      <c r="K723" s="350">
        <v>19889412.258066684</v>
      </c>
      <c r="L723" s="350">
        <v>19453359.113021046</v>
      </c>
      <c r="M723" s="350">
        <v>18974651.963634059</v>
      </c>
      <c r="N723" s="350">
        <v>18427734.295502502</v>
      </c>
      <c r="O723" s="348">
        <v>97058400.849878997</v>
      </c>
      <c r="P723" s="369"/>
      <c r="Q723" s="350">
        <f t="shared" si="309"/>
        <v>14333759.403979678</v>
      </c>
      <c r="R723" s="350">
        <f t="shared" si="310"/>
        <v>13931476.599050727</v>
      </c>
      <c r="S723" s="350">
        <f t="shared" si="311"/>
        <v>13518726.729000805</v>
      </c>
      <c r="T723" s="350">
        <f t="shared" si="312"/>
        <v>13067976.846404564</v>
      </c>
      <c r="U723" s="350">
        <f t="shared" si="313"/>
        <v>12556238.523047527</v>
      </c>
      <c r="V723" s="350">
        <f t="shared" si="314"/>
        <v>67408178.101483285</v>
      </c>
      <c r="W723" s="365"/>
      <c r="X723" s="377">
        <f t="shared" si="292"/>
        <v>0</v>
      </c>
      <c r="Y723" s="377">
        <f t="shared" si="293"/>
        <v>0</v>
      </c>
      <c r="Z723" s="377">
        <f t="shared" si="294"/>
        <v>0</v>
      </c>
      <c r="AA723" s="377">
        <f t="shared" si="295"/>
        <v>0</v>
      </c>
      <c r="AB723" s="377">
        <f t="shared" si="296"/>
        <v>0</v>
      </c>
      <c r="AC723" s="377">
        <f t="shared" si="297"/>
        <v>0</v>
      </c>
      <c r="AD723" s="376"/>
      <c r="AE723" s="332">
        <v>708</v>
      </c>
      <c r="AF723" s="350">
        <v>427864.20090125129</v>
      </c>
      <c r="AG723" s="350">
        <v>426322.31449198251</v>
      </c>
      <c r="AH723" s="350">
        <v>424654.83993367932</v>
      </c>
      <c r="AI723" s="350">
        <v>422654.34725177789</v>
      </c>
      <c r="AJ723" s="350">
        <v>420137.0760785169</v>
      </c>
      <c r="AK723" s="348">
        <v>2121632.7786572082</v>
      </c>
      <c r="AL723" s="369"/>
      <c r="AM723" s="350">
        <v>10661190.606772386</v>
      </c>
      <c r="AN723" s="350">
        <v>10564500.207240172</v>
      </c>
      <c r="AO723" s="350">
        <v>10458827.24634706</v>
      </c>
      <c r="AP723" s="350">
        <v>10324138.530884577</v>
      </c>
      <c r="AQ723" s="350">
        <v>10143296.580368949</v>
      </c>
      <c r="AR723" s="348">
        <v>52151953.171613149</v>
      </c>
      <c r="AS723" s="369"/>
      <c r="AT723" s="350">
        <f t="shared" si="315"/>
        <v>10233326.405871134</v>
      </c>
      <c r="AU723" s="350">
        <f t="shared" si="298"/>
        <v>10138177.89274819</v>
      </c>
      <c r="AV723" s="350">
        <f t="shared" si="299"/>
        <v>10034172.406413382</v>
      </c>
      <c r="AW723" s="350">
        <f t="shared" si="300"/>
        <v>9901484.1836327985</v>
      </c>
      <c r="AX723" s="350">
        <f t="shared" si="301"/>
        <v>9723159.5042904317</v>
      </c>
      <c r="AY723" s="350">
        <f t="shared" si="302"/>
        <v>50030320.392955944</v>
      </c>
      <c r="AZ723" s="365"/>
      <c r="BA723" s="377">
        <f t="shared" si="303"/>
        <v>0</v>
      </c>
      <c r="BB723" s="377">
        <f t="shared" si="304"/>
        <v>0</v>
      </c>
      <c r="BC723" s="377">
        <f t="shared" si="305"/>
        <v>0</v>
      </c>
      <c r="BD723" s="377">
        <f t="shared" si="306"/>
        <v>0</v>
      </c>
      <c r="BE723" s="377">
        <f t="shared" si="307"/>
        <v>0</v>
      </c>
      <c r="BF723" s="377">
        <f t="shared" si="308"/>
        <v>0</v>
      </c>
      <c r="BG723" s="328"/>
    </row>
    <row r="724" spans="2:59">
      <c r="B724" s="332">
        <v>709</v>
      </c>
      <c r="C724" s="350">
        <v>4161065.1108837398</v>
      </c>
      <c r="D724" s="350">
        <v>4146069.956512236</v>
      </c>
      <c r="E724" s="350">
        <v>4129853.4322196525</v>
      </c>
      <c r="F724" s="350">
        <v>4110398.2399280239</v>
      </c>
      <c r="G724" s="350">
        <v>4085917.2732296493</v>
      </c>
      <c r="H724" s="348">
        <v>20633304.012773301</v>
      </c>
      <c r="I724" s="369"/>
      <c r="J724" s="350">
        <v>13319773.245136689</v>
      </c>
      <c r="K724" s="350">
        <v>13030714.696635349</v>
      </c>
      <c r="L724" s="350">
        <v>12733869.408578802</v>
      </c>
      <c r="M724" s="350">
        <v>12409642.600838341</v>
      </c>
      <c r="N724" s="350">
        <v>12041606.460280757</v>
      </c>
      <c r="O724" s="348">
        <v>63535606.411469936</v>
      </c>
      <c r="P724" s="369"/>
      <c r="Q724" s="350">
        <f t="shared" si="309"/>
        <v>9158708.1342529505</v>
      </c>
      <c r="R724" s="350">
        <f t="shared" si="310"/>
        <v>8884644.7401231118</v>
      </c>
      <c r="S724" s="350">
        <f t="shared" si="311"/>
        <v>8604015.9763591494</v>
      </c>
      <c r="T724" s="350">
        <f t="shared" si="312"/>
        <v>8299244.3609103169</v>
      </c>
      <c r="U724" s="350">
        <f t="shared" si="313"/>
        <v>7955689.1870511081</v>
      </c>
      <c r="V724" s="350">
        <f t="shared" si="314"/>
        <v>42902302.398696631</v>
      </c>
      <c r="W724" s="365"/>
      <c r="X724" s="377">
        <f t="shared" si="292"/>
        <v>0</v>
      </c>
      <c r="Y724" s="377">
        <f t="shared" si="293"/>
        <v>0</v>
      </c>
      <c r="Z724" s="377">
        <f t="shared" si="294"/>
        <v>0</v>
      </c>
      <c r="AA724" s="377">
        <f t="shared" si="295"/>
        <v>0</v>
      </c>
      <c r="AB724" s="377">
        <f t="shared" si="296"/>
        <v>0</v>
      </c>
      <c r="AC724" s="377">
        <f t="shared" si="297"/>
        <v>0</v>
      </c>
      <c r="AD724" s="376"/>
      <c r="AE724" s="332">
        <v>709</v>
      </c>
      <c r="AF724" s="350">
        <v>386811.5285434043</v>
      </c>
      <c r="AG724" s="350">
        <v>385417.58290001261</v>
      </c>
      <c r="AH724" s="350">
        <v>383910.09902698483</v>
      </c>
      <c r="AI724" s="350">
        <v>382101.54942059994</v>
      </c>
      <c r="AJ724" s="350">
        <v>379825.80513482809</v>
      </c>
      <c r="AK724" s="348">
        <v>1918066.5650258297</v>
      </c>
      <c r="AL724" s="369"/>
      <c r="AM724" s="350">
        <v>12526210.362318432</v>
      </c>
      <c r="AN724" s="350">
        <v>12417982.780351458</v>
      </c>
      <c r="AO724" s="350">
        <v>12299091.462366894</v>
      </c>
      <c r="AP724" s="350">
        <v>12145825.029362239</v>
      </c>
      <c r="AQ724" s="350">
        <v>11937888.78669617</v>
      </c>
      <c r="AR724" s="348">
        <v>61326998.421095192</v>
      </c>
      <c r="AS724" s="369"/>
      <c r="AT724" s="350">
        <f t="shared" si="315"/>
        <v>12139398.833775029</v>
      </c>
      <c r="AU724" s="350">
        <f t="shared" si="298"/>
        <v>12032565.197451446</v>
      </c>
      <c r="AV724" s="350">
        <f t="shared" si="299"/>
        <v>11915181.363339908</v>
      </c>
      <c r="AW724" s="350">
        <f t="shared" si="300"/>
        <v>11763723.479941638</v>
      </c>
      <c r="AX724" s="350">
        <f t="shared" si="301"/>
        <v>11558062.981561342</v>
      </c>
      <c r="AY724" s="350">
        <f t="shared" si="302"/>
        <v>59408931.856069364</v>
      </c>
      <c r="AZ724" s="365"/>
      <c r="BA724" s="377">
        <f t="shared" si="303"/>
        <v>0</v>
      </c>
      <c r="BB724" s="377">
        <f t="shared" si="304"/>
        <v>0</v>
      </c>
      <c r="BC724" s="377">
        <f t="shared" si="305"/>
        <v>0</v>
      </c>
      <c r="BD724" s="377">
        <f t="shared" si="306"/>
        <v>0</v>
      </c>
      <c r="BE724" s="377">
        <f t="shared" si="307"/>
        <v>0</v>
      </c>
      <c r="BF724" s="377">
        <f t="shared" si="308"/>
        <v>0</v>
      </c>
      <c r="BG724" s="328"/>
    </row>
    <row r="725" spans="2:59">
      <c r="B725" s="332">
        <v>710</v>
      </c>
      <c r="C725" s="350">
        <v>4488182.5839267829</v>
      </c>
      <c r="D725" s="350">
        <v>4472008.6022898601</v>
      </c>
      <c r="E725" s="350">
        <v>4454517.2341035213</v>
      </c>
      <c r="F725" s="350">
        <v>4433532.5936608985</v>
      </c>
      <c r="G725" s="350">
        <v>4407127.0831857231</v>
      </c>
      <c r="H725" s="348">
        <v>22255368.097166784</v>
      </c>
      <c r="I725" s="369"/>
      <c r="J725" s="350">
        <v>15154189.639779277</v>
      </c>
      <c r="K725" s="350">
        <v>14836732.739150364</v>
      </c>
      <c r="L725" s="350">
        <v>14510183.682614511</v>
      </c>
      <c r="M725" s="350">
        <v>14151880.530971181</v>
      </c>
      <c r="N725" s="350">
        <v>13742795.047487615</v>
      </c>
      <c r="O725" s="348">
        <v>72395781.640002951</v>
      </c>
      <c r="P725" s="369"/>
      <c r="Q725" s="350">
        <f t="shared" si="309"/>
        <v>10666007.055852495</v>
      </c>
      <c r="R725" s="350">
        <f t="shared" si="310"/>
        <v>10364724.136860505</v>
      </c>
      <c r="S725" s="350">
        <f t="shared" si="311"/>
        <v>10055666.44851099</v>
      </c>
      <c r="T725" s="350">
        <f t="shared" si="312"/>
        <v>9718347.9373102821</v>
      </c>
      <c r="U725" s="350">
        <f t="shared" si="313"/>
        <v>9335667.9643018916</v>
      </c>
      <c r="V725" s="350">
        <f t="shared" si="314"/>
        <v>50140413.542836167</v>
      </c>
      <c r="W725" s="365"/>
      <c r="X725" s="377">
        <f t="shared" si="292"/>
        <v>0</v>
      </c>
      <c r="Y725" s="377">
        <f t="shared" si="293"/>
        <v>0</v>
      </c>
      <c r="Z725" s="377">
        <f t="shared" si="294"/>
        <v>0</v>
      </c>
      <c r="AA725" s="377">
        <f t="shared" si="295"/>
        <v>0</v>
      </c>
      <c r="AB725" s="377">
        <f t="shared" si="296"/>
        <v>0</v>
      </c>
      <c r="AC725" s="377">
        <f t="shared" si="297"/>
        <v>0</v>
      </c>
      <c r="AD725" s="376"/>
      <c r="AE725" s="332">
        <v>710</v>
      </c>
      <c r="AF725" s="350">
        <v>378900.30647793488</v>
      </c>
      <c r="AG725" s="350">
        <v>377534.87036106526</v>
      </c>
      <c r="AH725" s="350">
        <v>376058.21814324852</v>
      </c>
      <c r="AI725" s="350">
        <v>374286.65770729084</v>
      </c>
      <c r="AJ725" s="350">
        <v>372057.45784194197</v>
      </c>
      <c r="AK725" s="348">
        <v>1878837.5105314814</v>
      </c>
      <c r="AL725" s="369"/>
      <c r="AM725" s="350">
        <v>10567893.03953726</v>
      </c>
      <c r="AN725" s="350">
        <v>10474146.81391323</v>
      </c>
      <c r="AO725" s="350">
        <v>10371453.792856446</v>
      </c>
      <c r="AP725" s="350">
        <v>10239888.33765127</v>
      </c>
      <c r="AQ725" s="350">
        <v>10062400.803258076</v>
      </c>
      <c r="AR725" s="348">
        <v>51715782.787216283</v>
      </c>
      <c r="AS725" s="369"/>
      <c r="AT725" s="350">
        <f t="shared" si="315"/>
        <v>10188992.733059326</v>
      </c>
      <c r="AU725" s="350">
        <f t="shared" si="298"/>
        <v>10096611.943552164</v>
      </c>
      <c r="AV725" s="350">
        <f t="shared" si="299"/>
        <v>9995395.5747131966</v>
      </c>
      <c r="AW725" s="350">
        <f t="shared" si="300"/>
        <v>9865601.6799439788</v>
      </c>
      <c r="AX725" s="350">
        <f t="shared" si="301"/>
        <v>9690343.3454161342</v>
      </c>
      <c r="AY725" s="350">
        <f t="shared" si="302"/>
        <v>49836945.276684806</v>
      </c>
      <c r="AZ725" s="365"/>
      <c r="BA725" s="377">
        <f t="shared" si="303"/>
        <v>0</v>
      </c>
      <c r="BB725" s="377">
        <f t="shared" si="304"/>
        <v>0</v>
      </c>
      <c r="BC725" s="377">
        <f t="shared" si="305"/>
        <v>0</v>
      </c>
      <c r="BD725" s="377">
        <f t="shared" si="306"/>
        <v>0</v>
      </c>
      <c r="BE725" s="377">
        <f t="shared" si="307"/>
        <v>0</v>
      </c>
      <c r="BF725" s="377">
        <f t="shared" si="308"/>
        <v>0</v>
      </c>
      <c r="BG725" s="328"/>
    </row>
    <row r="726" spans="2:59">
      <c r="B726" s="332">
        <v>711</v>
      </c>
      <c r="C726" s="350">
        <v>4900166.0479240455</v>
      </c>
      <c r="D726" s="350">
        <v>4882507.4089994999</v>
      </c>
      <c r="E726" s="350">
        <v>4863410.4567441735</v>
      </c>
      <c r="F726" s="350">
        <v>4840499.5745102176</v>
      </c>
      <c r="G726" s="350">
        <v>4811670.224658913</v>
      </c>
      <c r="H726" s="348">
        <v>24298253.71283685</v>
      </c>
      <c r="I726" s="369"/>
      <c r="J726" s="350">
        <v>14588181.00858009</v>
      </c>
      <c r="K726" s="350">
        <v>14255689.021980193</v>
      </c>
      <c r="L726" s="350">
        <v>13914993.609074797</v>
      </c>
      <c r="M726" s="350">
        <v>13545147.773901954</v>
      </c>
      <c r="N726" s="350">
        <v>13128630.44580112</v>
      </c>
      <c r="O726" s="348">
        <v>69432641.859338164</v>
      </c>
      <c r="P726" s="369"/>
      <c r="Q726" s="350">
        <f t="shared" si="309"/>
        <v>9688014.960656045</v>
      </c>
      <c r="R726" s="350">
        <f t="shared" si="310"/>
        <v>9373181.6129806936</v>
      </c>
      <c r="S726" s="350">
        <f t="shared" si="311"/>
        <v>9051583.1523306239</v>
      </c>
      <c r="T726" s="350">
        <f t="shared" si="312"/>
        <v>8704648.1993917376</v>
      </c>
      <c r="U726" s="350">
        <f t="shared" si="313"/>
        <v>8316960.2211422073</v>
      </c>
      <c r="V726" s="350">
        <f t="shared" si="314"/>
        <v>45134388.146501318</v>
      </c>
      <c r="W726" s="365"/>
      <c r="X726" s="377">
        <f t="shared" si="292"/>
        <v>0</v>
      </c>
      <c r="Y726" s="377">
        <f t="shared" si="293"/>
        <v>0</v>
      </c>
      <c r="Z726" s="377">
        <f t="shared" si="294"/>
        <v>0</v>
      </c>
      <c r="AA726" s="377">
        <f t="shared" si="295"/>
        <v>0</v>
      </c>
      <c r="AB726" s="377">
        <f t="shared" si="296"/>
        <v>0</v>
      </c>
      <c r="AC726" s="377">
        <f t="shared" si="297"/>
        <v>0</v>
      </c>
      <c r="AD726" s="376"/>
      <c r="AE726" s="332">
        <v>711</v>
      </c>
      <c r="AF726" s="350">
        <v>481948.17715438275</v>
      </c>
      <c r="AG726" s="350">
        <v>480211.3893073019</v>
      </c>
      <c r="AH726" s="350">
        <v>478333.13839934388</v>
      </c>
      <c r="AI726" s="350">
        <v>476079.77436603082</v>
      </c>
      <c r="AJ726" s="350">
        <v>473244.30869537895</v>
      </c>
      <c r="AK726" s="348">
        <v>2389816.7879224382</v>
      </c>
      <c r="AL726" s="369"/>
      <c r="AM726" s="350">
        <v>13807836.77957866</v>
      </c>
      <c r="AN726" s="350">
        <v>13685958.059942385</v>
      </c>
      <c r="AO726" s="350">
        <v>13552377.176194303</v>
      </c>
      <c r="AP726" s="350">
        <v>13381039.958896771</v>
      </c>
      <c r="AQ726" s="350">
        <v>13149651.595757937</v>
      </c>
      <c r="AR726" s="348">
        <v>67576863.570370048</v>
      </c>
      <c r="AS726" s="369"/>
      <c r="AT726" s="350">
        <f t="shared" si="315"/>
        <v>13325888.602424277</v>
      </c>
      <c r="AU726" s="350">
        <f t="shared" si="298"/>
        <v>13205746.670635084</v>
      </c>
      <c r="AV726" s="350">
        <f t="shared" si="299"/>
        <v>13074044.037794959</v>
      </c>
      <c r="AW726" s="350">
        <f t="shared" si="300"/>
        <v>12904960.184530741</v>
      </c>
      <c r="AX726" s="350">
        <f t="shared" si="301"/>
        <v>12676407.287062557</v>
      </c>
      <c r="AY726" s="350">
        <f t="shared" si="302"/>
        <v>65187046.782447606</v>
      </c>
      <c r="AZ726" s="365"/>
      <c r="BA726" s="377">
        <f t="shared" si="303"/>
        <v>0</v>
      </c>
      <c r="BB726" s="377">
        <f t="shared" si="304"/>
        <v>0</v>
      </c>
      <c r="BC726" s="377">
        <f t="shared" si="305"/>
        <v>0</v>
      </c>
      <c r="BD726" s="377">
        <f t="shared" si="306"/>
        <v>0</v>
      </c>
      <c r="BE726" s="377">
        <f t="shared" si="307"/>
        <v>0</v>
      </c>
      <c r="BF726" s="377">
        <f t="shared" si="308"/>
        <v>0</v>
      </c>
      <c r="BG726" s="328"/>
    </row>
    <row r="727" spans="2:59">
      <c r="B727" s="332">
        <v>712</v>
      </c>
      <c r="C727" s="350">
        <v>6056742.2487429325</v>
      </c>
      <c r="D727" s="350">
        <v>6034915.6772791129</v>
      </c>
      <c r="E727" s="350">
        <v>6011311.3103217799</v>
      </c>
      <c r="F727" s="350">
        <v>5982992.8192695938</v>
      </c>
      <c r="G727" s="350">
        <v>5947358.9367561275</v>
      </c>
      <c r="H727" s="348">
        <v>30033320.992369544</v>
      </c>
      <c r="I727" s="369"/>
      <c r="J727" s="350">
        <v>19347979.141569842</v>
      </c>
      <c r="K727" s="350">
        <v>18927520.682203874</v>
      </c>
      <c r="L727" s="350">
        <v>18495763.217916537</v>
      </c>
      <c r="M727" s="350">
        <v>18024262.547650285</v>
      </c>
      <c r="N727" s="350">
        <v>17489173.178155612</v>
      </c>
      <c r="O727" s="348">
        <v>92284698.767496154</v>
      </c>
      <c r="P727" s="369"/>
      <c r="Q727" s="350">
        <f t="shared" si="309"/>
        <v>13291236.892826909</v>
      </c>
      <c r="R727" s="350">
        <f t="shared" si="310"/>
        <v>12892605.004924761</v>
      </c>
      <c r="S727" s="350">
        <f t="shared" si="311"/>
        <v>12484451.907594757</v>
      </c>
      <c r="T727" s="350">
        <f t="shared" si="312"/>
        <v>12041269.728380691</v>
      </c>
      <c r="U727" s="350">
        <f t="shared" si="313"/>
        <v>11541814.241399486</v>
      </c>
      <c r="V727" s="350">
        <f t="shared" si="314"/>
        <v>62251377.775126606</v>
      </c>
      <c r="W727" s="365"/>
      <c r="X727" s="377">
        <f t="shared" si="292"/>
        <v>0</v>
      </c>
      <c r="Y727" s="377">
        <f t="shared" si="293"/>
        <v>0</v>
      </c>
      <c r="Z727" s="377">
        <f t="shared" si="294"/>
        <v>0</v>
      </c>
      <c r="AA727" s="377">
        <f t="shared" si="295"/>
        <v>0</v>
      </c>
      <c r="AB727" s="377">
        <f t="shared" si="296"/>
        <v>0</v>
      </c>
      <c r="AC727" s="377">
        <f t="shared" si="297"/>
        <v>0</v>
      </c>
      <c r="AD727" s="376"/>
      <c r="AE727" s="332">
        <v>712</v>
      </c>
      <c r="AF727" s="350">
        <v>515361.22937981051</v>
      </c>
      <c r="AG727" s="350">
        <v>513504.03152644745</v>
      </c>
      <c r="AH727" s="350">
        <v>511495.56309997797</v>
      </c>
      <c r="AI727" s="350">
        <v>509085.97527809814</v>
      </c>
      <c r="AJ727" s="350">
        <v>506053.92921347881</v>
      </c>
      <c r="AK727" s="348">
        <v>2555500.728497813</v>
      </c>
      <c r="AL727" s="369"/>
      <c r="AM727" s="350">
        <v>12951265.790313799</v>
      </c>
      <c r="AN727" s="350">
        <v>12834010.446543735</v>
      </c>
      <c r="AO727" s="350">
        <v>12705838.865538489</v>
      </c>
      <c r="AP727" s="350">
        <v>12542408.019014062</v>
      </c>
      <c r="AQ727" s="350">
        <v>12322893.152764365</v>
      </c>
      <c r="AR727" s="348">
        <v>63356416.274174452</v>
      </c>
      <c r="AS727" s="369"/>
      <c r="AT727" s="350">
        <f t="shared" si="315"/>
        <v>12435904.560933989</v>
      </c>
      <c r="AU727" s="350">
        <f t="shared" si="298"/>
        <v>12320506.415017286</v>
      </c>
      <c r="AV727" s="350">
        <f t="shared" si="299"/>
        <v>12194343.302438511</v>
      </c>
      <c r="AW727" s="350">
        <f t="shared" si="300"/>
        <v>12033322.043735964</v>
      </c>
      <c r="AX727" s="350">
        <f t="shared" si="301"/>
        <v>11816839.223550886</v>
      </c>
      <c r="AY727" s="350">
        <f t="shared" si="302"/>
        <v>60800915.545676641</v>
      </c>
      <c r="AZ727" s="365"/>
      <c r="BA727" s="377">
        <f t="shared" si="303"/>
        <v>0</v>
      </c>
      <c r="BB727" s="377">
        <f t="shared" si="304"/>
        <v>0</v>
      </c>
      <c r="BC727" s="377">
        <f t="shared" si="305"/>
        <v>0</v>
      </c>
      <c r="BD727" s="377">
        <f t="shared" si="306"/>
        <v>0</v>
      </c>
      <c r="BE727" s="377">
        <f t="shared" si="307"/>
        <v>0</v>
      </c>
      <c r="BF727" s="377">
        <f t="shared" si="308"/>
        <v>0</v>
      </c>
      <c r="BG727" s="328"/>
    </row>
    <row r="728" spans="2:59">
      <c r="B728" s="332">
        <v>713</v>
      </c>
      <c r="C728" s="350">
        <v>5954017.9031056939</v>
      </c>
      <c r="D728" s="350">
        <v>5932561.5174908098</v>
      </c>
      <c r="E728" s="350">
        <v>5909357.4883801751</v>
      </c>
      <c r="F728" s="350">
        <v>5881519.2882737312</v>
      </c>
      <c r="G728" s="350">
        <v>5846489.768157308</v>
      </c>
      <c r="H728" s="348">
        <v>29523945.965407718</v>
      </c>
      <c r="I728" s="369"/>
      <c r="J728" s="350">
        <v>17838980.62267381</v>
      </c>
      <c r="K728" s="350">
        <v>17434164.095566288</v>
      </c>
      <c r="L728" s="350">
        <v>17019280.020021558</v>
      </c>
      <c r="M728" s="350">
        <v>16568656.538697209</v>
      </c>
      <c r="N728" s="350">
        <v>16060815.881036913</v>
      </c>
      <c r="O728" s="348">
        <v>84921897.157995775</v>
      </c>
      <c r="P728" s="369"/>
      <c r="Q728" s="350">
        <f t="shared" si="309"/>
        <v>11884962.719568115</v>
      </c>
      <c r="R728" s="350">
        <f t="shared" si="310"/>
        <v>11501602.578075478</v>
      </c>
      <c r="S728" s="350">
        <f t="shared" si="311"/>
        <v>11109922.531641383</v>
      </c>
      <c r="T728" s="350">
        <f t="shared" si="312"/>
        <v>10687137.250423478</v>
      </c>
      <c r="U728" s="350">
        <f t="shared" si="313"/>
        <v>10214326.112879604</v>
      </c>
      <c r="V728" s="350">
        <f t="shared" si="314"/>
        <v>55397951.192588061</v>
      </c>
      <c r="W728" s="365"/>
      <c r="X728" s="377">
        <f t="shared" si="292"/>
        <v>0</v>
      </c>
      <c r="Y728" s="377">
        <f t="shared" si="293"/>
        <v>0</v>
      </c>
      <c r="Z728" s="377">
        <f t="shared" si="294"/>
        <v>0</v>
      </c>
      <c r="AA728" s="377">
        <f t="shared" si="295"/>
        <v>0</v>
      </c>
      <c r="AB728" s="377">
        <f t="shared" si="296"/>
        <v>0</v>
      </c>
      <c r="AC728" s="377">
        <f t="shared" si="297"/>
        <v>0</v>
      </c>
      <c r="AD728" s="376"/>
      <c r="AE728" s="332">
        <v>713</v>
      </c>
      <c r="AF728" s="350">
        <v>244890.58954923402</v>
      </c>
      <c r="AG728" s="350">
        <v>244008.0818026443</v>
      </c>
      <c r="AH728" s="350">
        <v>243053.6929409889</v>
      </c>
      <c r="AI728" s="350">
        <v>241908.69919945166</v>
      </c>
      <c r="AJ728" s="350">
        <v>240467.92425175407</v>
      </c>
      <c r="AK728" s="348">
        <v>1214328.9877440729</v>
      </c>
      <c r="AL728" s="369"/>
      <c r="AM728" s="350">
        <v>7512081.2806156063</v>
      </c>
      <c r="AN728" s="350">
        <v>7446576.9585590437</v>
      </c>
      <c r="AO728" s="350">
        <v>7374689.7349050976</v>
      </c>
      <c r="AP728" s="350">
        <v>7282219.0360760614</v>
      </c>
      <c r="AQ728" s="350">
        <v>7157011.6991514601</v>
      </c>
      <c r="AR728" s="348">
        <v>36772578.709307268</v>
      </c>
      <c r="AS728" s="369"/>
      <c r="AT728" s="350">
        <f t="shared" si="315"/>
        <v>7267190.6910663722</v>
      </c>
      <c r="AU728" s="350">
        <f t="shared" si="298"/>
        <v>7202568.8767563999</v>
      </c>
      <c r="AV728" s="350">
        <f t="shared" si="299"/>
        <v>7131636.0419641091</v>
      </c>
      <c r="AW728" s="350">
        <f t="shared" si="300"/>
        <v>7040310.3368766094</v>
      </c>
      <c r="AX728" s="350">
        <f t="shared" si="301"/>
        <v>6916543.7748997062</v>
      </c>
      <c r="AY728" s="350">
        <f t="shared" si="302"/>
        <v>35558249.721563198</v>
      </c>
      <c r="AZ728" s="365"/>
      <c r="BA728" s="377">
        <f t="shared" si="303"/>
        <v>0</v>
      </c>
      <c r="BB728" s="377">
        <f t="shared" si="304"/>
        <v>0</v>
      </c>
      <c r="BC728" s="377">
        <f t="shared" si="305"/>
        <v>0</v>
      </c>
      <c r="BD728" s="377">
        <f t="shared" si="306"/>
        <v>0</v>
      </c>
      <c r="BE728" s="377">
        <f t="shared" si="307"/>
        <v>0</v>
      </c>
      <c r="BF728" s="377">
        <f t="shared" si="308"/>
        <v>0</v>
      </c>
      <c r="BG728" s="328"/>
    </row>
    <row r="729" spans="2:59">
      <c r="B729" s="332">
        <v>714</v>
      </c>
      <c r="C729" s="350">
        <v>5479270.9517853176</v>
      </c>
      <c r="D729" s="350">
        <v>5459525.4030914484</v>
      </c>
      <c r="E729" s="350">
        <v>5438171.5602345178</v>
      </c>
      <c r="F729" s="350">
        <v>5412553.0546009243</v>
      </c>
      <c r="G729" s="350">
        <v>5380316.6328849634</v>
      </c>
      <c r="H729" s="348">
        <v>27169837.602597173</v>
      </c>
      <c r="I729" s="369"/>
      <c r="J729" s="350">
        <v>19627072.529745176</v>
      </c>
      <c r="K729" s="350">
        <v>19231395.084962029</v>
      </c>
      <c r="L729" s="350">
        <v>18823625.769010618</v>
      </c>
      <c r="M729" s="350">
        <v>18373913.854093388</v>
      </c>
      <c r="N729" s="350">
        <v>17857156.309681855</v>
      </c>
      <c r="O729" s="348">
        <v>93913163.54749307</v>
      </c>
      <c r="P729" s="369"/>
      <c r="Q729" s="350">
        <f t="shared" si="309"/>
        <v>14147801.577959858</v>
      </c>
      <c r="R729" s="350">
        <f t="shared" si="310"/>
        <v>13771869.68187058</v>
      </c>
      <c r="S729" s="350">
        <f t="shared" si="311"/>
        <v>13385454.208776101</v>
      </c>
      <c r="T729" s="350">
        <f t="shared" si="312"/>
        <v>12961360.799492463</v>
      </c>
      <c r="U729" s="350">
        <f t="shared" si="313"/>
        <v>12476839.676796891</v>
      </c>
      <c r="V729" s="350">
        <f t="shared" si="314"/>
        <v>66743325.944895893</v>
      </c>
      <c r="W729" s="365"/>
      <c r="X729" s="377">
        <f t="shared" si="292"/>
        <v>0</v>
      </c>
      <c r="Y729" s="377">
        <f t="shared" si="293"/>
        <v>0</v>
      </c>
      <c r="Z729" s="377">
        <f t="shared" si="294"/>
        <v>0</v>
      </c>
      <c r="AA729" s="377">
        <f t="shared" si="295"/>
        <v>0</v>
      </c>
      <c r="AB729" s="377">
        <f t="shared" si="296"/>
        <v>0</v>
      </c>
      <c r="AC729" s="377">
        <f t="shared" si="297"/>
        <v>0</v>
      </c>
      <c r="AD729" s="376"/>
      <c r="AE729" s="332">
        <v>714</v>
      </c>
      <c r="AF729" s="350">
        <v>701137.19728095771</v>
      </c>
      <c r="AG729" s="350">
        <v>698610.52196378203</v>
      </c>
      <c r="AH729" s="350">
        <v>695878.04648234788</v>
      </c>
      <c r="AI729" s="350">
        <v>692599.85721291392</v>
      </c>
      <c r="AJ729" s="350">
        <v>688474.82770238549</v>
      </c>
      <c r="AK729" s="348">
        <v>3476700.4506423869</v>
      </c>
      <c r="AL729" s="369"/>
      <c r="AM729" s="350">
        <v>22580236.257011604</v>
      </c>
      <c r="AN729" s="350">
        <v>22384962.102160938</v>
      </c>
      <c r="AO729" s="350">
        <v>22170468.732956015</v>
      </c>
      <c r="AP729" s="350">
        <v>21894018.868503049</v>
      </c>
      <c r="AQ729" s="350">
        <v>21519033.797309618</v>
      </c>
      <c r="AR729" s="348">
        <v>110548719.75794122</v>
      </c>
      <c r="AS729" s="369"/>
      <c r="AT729" s="350">
        <f t="shared" si="315"/>
        <v>21879099.059730645</v>
      </c>
      <c r="AU729" s="350">
        <f t="shared" si="298"/>
        <v>21686351.580197155</v>
      </c>
      <c r="AV729" s="350">
        <f t="shared" si="299"/>
        <v>21474590.686473668</v>
      </c>
      <c r="AW729" s="350">
        <f t="shared" si="300"/>
        <v>21201419.011290137</v>
      </c>
      <c r="AX729" s="350">
        <f t="shared" si="301"/>
        <v>20830558.969607234</v>
      </c>
      <c r="AY729" s="350">
        <f t="shared" si="302"/>
        <v>107072019.30729882</v>
      </c>
      <c r="AZ729" s="365"/>
      <c r="BA729" s="377">
        <f t="shared" si="303"/>
        <v>0</v>
      </c>
      <c r="BB729" s="377">
        <f t="shared" si="304"/>
        <v>0</v>
      </c>
      <c r="BC729" s="377">
        <f t="shared" si="305"/>
        <v>0</v>
      </c>
      <c r="BD729" s="377">
        <f t="shared" si="306"/>
        <v>0</v>
      </c>
      <c r="BE729" s="377">
        <f t="shared" si="307"/>
        <v>0</v>
      </c>
      <c r="BF729" s="377">
        <f t="shared" si="308"/>
        <v>0</v>
      </c>
      <c r="BG729" s="328"/>
    </row>
    <row r="730" spans="2:59">
      <c r="B730" s="332">
        <v>715</v>
      </c>
      <c r="C730" s="350">
        <v>8521895.3253795821</v>
      </c>
      <c r="D730" s="350">
        <v>8491185.1267798021</v>
      </c>
      <c r="E730" s="350">
        <v>8457973.5526082274</v>
      </c>
      <c r="F730" s="350">
        <v>8418129.1599283963</v>
      </c>
      <c r="G730" s="350">
        <v>8367991.9402242489</v>
      </c>
      <c r="H730" s="348">
        <v>42257175.104920253</v>
      </c>
      <c r="I730" s="369"/>
      <c r="J730" s="350">
        <v>27385766.601134833</v>
      </c>
      <c r="K730" s="350">
        <v>26793002.859228805</v>
      </c>
      <c r="L730" s="350">
        <v>26184197.799496163</v>
      </c>
      <c r="M730" s="350">
        <v>25519014.117505282</v>
      </c>
      <c r="N730" s="350">
        <v>24763630.013723344</v>
      </c>
      <c r="O730" s="348">
        <v>130645611.39108843</v>
      </c>
      <c r="P730" s="369"/>
      <c r="Q730" s="350">
        <f t="shared" si="309"/>
        <v>18863871.275755249</v>
      </c>
      <c r="R730" s="350">
        <f t="shared" si="310"/>
        <v>18301817.732449003</v>
      </c>
      <c r="S730" s="350">
        <f t="shared" si="311"/>
        <v>17726224.246887937</v>
      </c>
      <c r="T730" s="350">
        <f t="shared" si="312"/>
        <v>17100884.957576886</v>
      </c>
      <c r="U730" s="350">
        <f t="shared" si="313"/>
        <v>16395638.073499095</v>
      </c>
      <c r="V730" s="350">
        <f t="shared" si="314"/>
        <v>88388436.286168173</v>
      </c>
      <c r="W730" s="365"/>
      <c r="X730" s="377">
        <f t="shared" si="292"/>
        <v>0</v>
      </c>
      <c r="Y730" s="377">
        <f t="shared" si="293"/>
        <v>0</v>
      </c>
      <c r="Z730" s="377">
        <f t="shared" si="294"/>
        <v>0</v>
      </c>
      <c r="AA730" s="377">
        <f t="shared" si="295"/>
        <v>0</v>
      </c>
      <c r="AB730" s="377">
        <f t="shared" si="296"/>
        <v>0</v>
      </c>
      <c r="AC730" s="377">
        <f t="shared" si="297"/>
        <v>0</v>
      </c>
      <c r="AD730" s="376"/>
      <c r="AE730" s="332">
        <v>715</v>
      </c>
      <c r="AF730" s="350">
        <v>514232.42434110213</v>
      </c>
      <c r="AG730" s="350">
        <v>512379.29434184823</v>
      </c>
      <c r="AH730" s="350">
        <v>510375.22510016547</v>
      </c>
      <c r="AI730" s="350">
        <v>507970.91504215193</v>
      </c>
      <c r="AJ730" s="350">
        <v>504945.51012296655</v>
      </c>
      <c r="AK730" s="348">
        <v>2549903.3689482342</v>
      </c>
      <c r="AL730" s="369"/>
      <c r="AM730" s="350">
        <v>11793076.75624566</v>
      </c>
      <c r="AN730" s="350">
        <v>11684221.274227422</v>
      </c>
      <c r="AO730" s="350">
        <v>11565468.352228301</v>
      </c>
      <c r="AP730" s="350">
        <v>11414719.245960891</v>
      </c>
      <c r="AQ730" s="350">
        <v>11213073.26830815</v>
      </c>
      <c r="AR730" s="348">
        <v>57670558.896970421</v>
      </c>
      <c r="AS730" s="369"/>
      <c r="AT730" s="350">
        <f t="shared" si="315"/>
        <v>11278844.331904557</v>
      </c>
      <c r="AU730" s="350">
        <f t="shared" si="298"/>
        <v>11171841.979885574</v>
      </c>
      <c r="AV730" s="350">
        <f t="shared" si="299"/>
        <v>11055093.127128135</v>
      </c>
      <c r="AW730" s="350">
        <f t="shared" si="300"/>
        <v>10906748.330918739</v>
      </c>
      <c r="AX730" s="350">
        <f t="shared" si="301"/>
        <v>10708127.758185184</v>
      </c>
      <c r="AY730" s="350">
        <f t="shared" si="302"/>
        <v>55120655.528022185</v>
      </c>
      <c r="AZ730" s="365"/>
      <c r="BA730" s="377">
        <f t="shared" si="303"/>
        <v>0</v>
      </c>
      <c r="BB730" s="377">
        <f t="shared" si="304"/>
        <v>0</v>
      </c>
      <c r="BC730" s="377">
        <f t="shared" si="305"/>
        <v>0</v>
      </c>
      <c r="BD730" s="377">
        <f t="shared" si="306"/>
        <v>0</v>
      </c>
      <c r="BE730" s="377">
        <f t="shared" si="307"/>
        <v>0</v>
      </c>
      <c r="BF730" s="377">
        <f t="shared" si="308"/>
        <v>0</v>
      </c>
      <c r="BG730" s="328"/>
    </row>
    <row r="731" spans="2:59">
      <c r="B731" s="332">
        <v>716</v>
      </c>
      <c r="C731" s="350">
        <v>3810110.1262983768</v>
      </c>
      <c r="D731" s="350">
        <v>3796379.7019974366</v>
      </c>
      <c r="E731" s="350">
        <v>3781530.9212708576</v>
      </c>
      <c r="F731" s="350">
        <v>3763716.6301737204</v>
      </c>
      <c r="G731" s="350">
        <v>3741300.4514710428</v>
      </c>
      <c r="H731" s="348">
        <v>18893037.831211433</v>
      </c>
      <c r="I731" s="369"/>
      <c r="J731" s="350">
        <v>12223215.562097572</v>
      </c>
      <c r="K731" s="350">
        <v>11958343.322559956</v>
      </c>
      <c r="L731" s="350">
        <v>11686317.439441707</v>
      </c>
      <c r="M731" s="350">
        <v>11389143.707303757</v>
      </c>
      <c r="N731" s="350">
        <v>11051735.208822167</v>
      </c>
      <c r="O731" s="348">
        <v>58308755.240225159</v>
      </c>
      <c r="P731" s="369"/>
      <c r="Q731" s="350">
        <f t="shared" si="309"/>
        <v>8413105.4357991945</v>
      </c>
      <c r="R731" s="350">
        <f t="shared" si="310"/>
        <v>8161963.6205625199</v>
      </c>
      <c r="S731" s="350">
        <f t="shared" si="311"/>
        <v>7904786.5181708494</v>
      </c>
      <c r="T731" s="350">
        <f t="shared" si="312"/>
        <v>7625427.0771300364</v>
      </c>
      <c r="U731" s="350">
        <f t="shared" si="313"/>
        <v>7310434.7573511237</v>
      </c>
      <c r="V731" s="350">
        <f t="shared" si="314"/>
        <v>39415717.409013726</v>
      </c>
      <c r="W731" s="365"/>
      <c r="X731" s="377">
        <f t="shared" si="292"/>
        <v>0</v>
      </c>
      <c r="Y731" s="377">
        <f t="shared" si="293"/>
        <v>0</v>
      </c>
      <c r="Z731" s="377">
        <f t="shared" si="294"/>
        <v>0</v>
      </c>
      <c r="AA731" s="377">
        <f t="shared" si="295"/>
        <v>0</v>
      </c>
      <c r="AB731" s="377">
        <f t="shared" si="296"/>
        <v>0</v>
      </c>
      <c r="AC731" s="377">
        <f t="shared" si="297"/>
        <v>0</v>
      </c>
      <c r="AD731" s="376"/>
      <c r="AE731" s="332">
        <v>716</v>
      </c>
      <c r="AF731" s="350">
        <v>703471.49079874775</v>
      </c>
      <c r="AG731" s="350">
        <v>700936.40343063907</v>
      </c>
      <c r="AH731" s="350">
        <v>698194.83072853496</v>
      </c>
      <c r="AI731" s="350">
        <v>694905.72739550343</v>
      </c>
      <c r="AJ731" s="350">
        <v>690766.96443924622</v>
      </c>
      <c r="AK731" s="348">
        <v>3488275.4167926717</v>
      </c>
      <c r="AL731" s="369"/>
      <c r="AM731" s="350">
        <v>17021238.372197747</v>
      </c>
      <c r="AN731" s="350">
        <v>16865921.63309582</v>
      </c>
      <c r="AO731" s="350">
        <v>16696282.978831446</v>
      </c>
      <c r="AP731" s="350">
        <v>16480368.708279656</v>
      </c>
      <c r="AQ731" s="350">
        <v>16190845.770358164</v>
      </c>
      <c r="AR731" s="348">
        <v>83254657.462762833</v>
      </c>
      <c r="AS731" s="369"/>
      <c r="AT731" s="350">
        <f t="shared" si="315"/>
        <v>16317766.881399</v>
      </c>
      <c r="AU731" s="350">
        <f t="shared" si="298"/>
        <v>16164985.229665181</v>
      </c>
      <c r="AV731" s="350">
        <f t="shared" si="299"/>
        <v>15998088.148102911</v>
      </c>
      <c r="AW731" s="350">
        <f t="shared" si="300"/>
        <v>15785462.980884153</v>
      </c>
      <c r="AX731" s="350">
        <f t="shared" si="301"/>
        <v>15500078.805918917</v>
      </c>
      <c r="AY731" s="350">
        <f t="shared" si="302"/>
        <v>79766382.045970157</v>
      </c>
      <c r="AZ731" s="365"/>
      <c r="BA731" s="377">
        <f t="shared" si="303"/>
        <v>0</v>
      </c>
      <c r="BB731" s="377">
        <f t="shared" si="304"/>
        <v>0</v>
      </c>
      <c r="BC731" s="377">
        <f t="shared" si="305"/>
        <v>0</v>
      </c>
      <c r="BD731" s="377">
        <f t="shared" si="306"/>
        <v>0</v>
      </c>
      <c r="BE731" s="377">
        <f t="shared" si="307"/>
        <v>0</v>
      </c>
      <c r="BF731" s="377">
        <f t="shared" si="308"/>
        <v>0</v>
      </c>
      <c r="BG731" s="328"/>
    </row>
    <row r="732" spans="2:59">
      <c r="B732" s="332">
        <v>717</v>
      </c>
      <c r="C732" s="350">
        <v>4604785.5898629073</v>
      </c>
      <c r="D732" s="350">
        <v>4588191.408102314</v>
      </c>
      <c r="E732" s="350">
        <v>4570245.6140831746</v>
      </c>
      <c r="F732" s="350">
        <v>4548715.7925770944</v>
      </c>
      <c r="G732" s="350">
        <v>4521624.2668079529</v>
      </c>
      <c r="H732" s="348">
        <v>22833562.671433441</v>
      </c>
      <c r="I732" s="369"/>
      <c r="J732" s="350">
        <v>16933392.02910408</v>
      </c>
      <c r="K732" s="350">
        <v>16597701.819967028</v>
      </c>
      <c r="L732" s="350">
        <v>16251463.213824097</v>
      </c>
      <c r="M732" s="350">
        <v>15868738.741169905</v>
      </c>
      <c r="N732" s="350">
        <v>15427702.269475482</v>
      </c>
      <c r="O732" s="348">
        <v>81078998.073540598</v>
      </c>
      <c r="P732" s="369"/>
      <c r="Q732" s="350">
        <f t="shared" si="309"/>
        <v>12328606.439241173</v>
      </c>
      <c r="R732" s="350">
        <f t="shared" si="310"/>
        <v>12009510.411864713</v>
      </c>
      <c r="S732" s="350">
        <f t="shared" si="311"/>
        <v>11681217.599740922</v>
      </c>
      <c r="T732" s="350">
        <f t="shared" si="312"/>
        <v>11320022.948592812</v>
      </c>
      <c r="U732" s="350">
        <f t="shared" si="313"/>
        <v>10906078.00266753</v>
      </c>
      <c r="V732" s="350">
        <f t="shared" si="314"/>
        <v>58245435.402107157</v>
      </c>
      <c r="W732" s="365"/>
      <c r="X732" s="377">
        <f t="shared" si="292"/>
        <v>0</v>
      </c>
      <c r="Y732" s="377">
        <f t="shared" si="293"/>
        <v>0</v>
      </c>
      <c r="Z732" s="377">
        <f t="shared" si="294"/>
        <v>0</v>
      </c>
      <c r="AA732" s="377">
        <f t="shared" si="295"/>
        <v>0</v>
      </c>
      <c r="AB732" s="377">
        <f t="shared" si="296"/>
        <v>0</v>
      </c>
      <c r="AC732" s="377">
        <f t="shared" si="297"/>
        <v>0</v>
      </c>
      <c r="AD732" s="376"/>
      <c r="AE732" s="332">
        <v>717</v>
      </c>
      <c r="AF732" s="350">
        <v>458871.64572460938</v>
      </c>
      <c r="AG732" s="350">
        <v>457218.01835253381</v>
      </c>
      <c r="AH732" s="350">
        <v>455429.70142122521</v>
      </c>
      <c r="AI732" s="350">
        <v>453284.23244468897</v>
      </c>
      <c r="AJ732" s="350">
        <v>450584.53388711798</v>
      </c>
      <c r="AK732" s="348">
        <v>2275388.1318301754</v>
      </c>
      <c r="AL732" s="369"/>
      <c r="AM732" s="350">
        <v>14562535.633132985</v>
      </c>
      <c r="AN732" s="350">
        <v>14436288.190633178</v>
      </c>
      <c r="AO732" s="350">
        <v>14297652.155681828</v>
      </c>
      <c r="AP732" s="350">
        <v>14119075.258115862</v>
      </c>
      <c r="AQ732" s="350">
        <v>13876976.20491829</v>
      </c>
      <c r="AR732" s="348">
        <v>71292527.442482144</v>
      </c>
      <c r="AS732" s="369"/>
      <c r="AT732" s="350">
        <f t="shared" si="315"/>
        <v>14103663.987408375</v>
      </c>
      <c r="AU732" s="350">
        <f t="shared" si="298"/>
        <v>13979070.172280643</v>
      </c>
      <c r="AV732" s="350">
        <f t="shared" si="299"/>
        <v>13842222.454260603</v>
      </c>
      <c r="AW732" s="350">
        <f t="shared" si="300"/>
        <v>13665791.025671173</v>
      </c>
      <c r="AX732" s="350">
        <f t="shared" si="301"/>
        <v>13426391.671031171</v>
      </c>
      <c r="AY732" s="350">
        <f t="shared" si="302"/>
        <v>69017139.310651973</v>
      </c>
      <c r="AZ732" s="365"/>
      <c r="BA732" s="377">
        <f t="shared" si="303"/>
        <v>0</v>
      </c>
      <c r="BB732" s="377">
        <f t="shared" si="304"/>
        <v>0</v>
      </c>
      <c r="BC732" s="377">
        <f t="shared" si="305"/>
        <v>0</v>
      </c>
      <c r="BD732" s="377">
        <f t="shared" si="306"/>
        <v>0</v>
      </c>
      <c r="BE732" s="377">
        <f t="shared" si="307"/>
        <v>0</v>
      </c>
      <c r="BF732" s="377">
        <f t="shared" si="308"/>
        <v>0</v>
      </c>
      <c r="BG732" s="328"/>
    </row>
    <row r="733" spans="2:59">
      <c r="B733" s="332">
        <v>718</v>
      </c>
      <c r="C733" s="350">
        <v>5830239.7412903318</v>
      </c>
      <c r="D733" s="350">
        <v>5809229.4127773615</v>
      </c>
      <c r="E733" s="350">
        <v>5786507.7725538239</v>
      </c>
      <c r="F733" s="350">
        <v>5759248.3011803953</v>
      </c>
      <c r="G733" s="350">
        <v>5724947.0102496836</v>
      </c>
      <c r="H733" s="348">
        <v>28910172.238051601</v>
      </c>
      <c r="I733" s="369"/>
      <c r="J733" s="350">
        <v>16878444.840374973</v>
      </c>
      <c r="K733" s="350">
        <v>16486294.094780624</v>
      </c>
      <c r="L733" s="350">
        <v>16084804.350614367</v>
      </c>
      <c r="M733" s="350">
        <v>15649980.960234031</v>
      </c>
      <c r="N733" s="350">
        <v>15161773.065002907</v>
      </c>
      <c r="O733" s="348">
        <v>80261297.311006904</v>
      </c>
      <c r="P733" s="369"/>
      <c r="Q733" s="350">
        <f t="shared" si="309"/>
        <v>11048205.099084642</v>
      </c>
      <c r="R733" s="350">
        <f t="shared" si="310"/>
        <v>10677064.682003263</v>
      </c>
      <c r="S733" s="350">
        <f t="shared" si="311"/>
        <v>10298296.578060543</v>
      </c>
      <c r="T733" s="350">
        <f t="shared" si="312"/>
        <v>9890732.6590536349</v>
      </c>
      <c r="U733" s="350">
        <f t="shared" si="313"/>
        <v>9436826.0547532234</v>
      </c>
      <c r="V733" s="350">
        <f t="shared" si="314"/>
        <v>51351125.072955303</v>
      </c>
      <c r="W733" s="365"/>
      <c r="X733" s="377">
        <f t="shared" si="292"/>
        <v>0</v>
      </c>
      <c r="Y733" s="377">
        <f t="shared" si="293"/>
        <v>0</v>
      </c>
      <c r="Z733" s="377">
        <f t="shared" si="294"/>
        <v>0</v>
      </c>
      <c r="AA733" s="377">
        <f t="shared" si="295"/>
        <v>0</v>
      </c>
      <c r="AB733" s="377">
        <f t="shared" si="296"/>
        <v>0</v>
      </c>
      <c r="AC733" s="377">
        <f t="shared" si="297"/>
        <v>0</v>
      </c>
      <c r="AD733" s="376"/>
      <c r="AE733" s="332">
        <v>718</v>
      </c>
      <c r="AF733" s="350">
        <v>479546.2561841617</v>
      </c>
      <c r="AG733" s="350">
        <v>477818.12409582938</v>
      </c>
      <c r="AH733" s="350">
        <v>475949.23396659608</v>
      </c>
      <c r="AI733" s="350">
        <v>473707.10019118572</v>
      </c>
      <c r="AJ733" s="350">
        <v>470885.76584165404</v>
      </c>
      <c r="AK733" s="348">
        <v>2377906.480279427</v>
      </c>
      <c r="AL733" s="369"/>
      <c r="AM733" s="350">
        <v>14578670.459052049</v>
      </c>
      <c r="AN733" s="350">
        <v>14451347.501190327</v>
      </c>
      <c r="AO733" s="350">
        <v>14311641.330465838</v>
      </c>
      <c r="AP733" s="350">
        <v>14131999.367478427</v>
      </c>
      <c r="AQ733" s="350">
        <v>13888841.902612334</v>
      </c>
      <c r="AR733" s="348">
        <v>71362500.560798973</v>
      </c>
      <c r="AS733" s="369"/>
      <c r="AT733" s="350">
        <f t="shared" si="315"/>
        <v>14099124.202867886</v>
      </c>
      <c r="AU733" s="350">
        <f t="shared" si="298"/>
        <v>13973529.377094498</v>
      </c>
      <c r="AV733" s="350">
        <f t="shared" si="299"/>
        <v>13835692.096499242</v>
      </c>
      <c r="AW733" s="350">
        <f t="shared" si="300"/>
        <v>13658292.267287241</v>
      </c>
      <c r="AX733" s="350">
        <f t="shared" si="301"/>
        <v>13417956.136770681</v>
      </c>
      <c r="AY733" s="350">
        <f t="shared" si="302"/>
        <v>68984594.080519542</v>
      </c>
      <c r="AZ733" s="365"/>
      <c r="BA733" s="377">
        <f t="shared" si="303"/>
        <v>0</v>
      </c>
      <c r="BB733" s="377">
        <f t="shared" si="304"/>
        <v>0</v>
      </c>
      <c r="BC733" s="377">
        <f t="shared" si="305"/>
        <v>0</v>
      </c>
      <c r="BD733" s="377">
        <f t="shared" si="306"/>
        <v>0</v>
      </c>
      <c r="BE733" s="377">
        <f t="shared" si="307"/>
        <v>0</v>
      </c>
      <c r="BF733" s="377">
        <f t="shared" si="308"/>
        <v>0</v>
      </c>
      <c r="BG733" s="328"/>
    </row>
    <row r="734" spans="2:59">
      <c r="B734" s="332">
        <v>719</v>
      </c>
      <c r="C734" s="350">
        <v>7325059.9066316802</v>
      </c>
      <c r="D734" s="350">
        <v>7298662.7219798109</v>
      </c>
      <c r="E734" s="350">
        <v>7270115.4609408453</v>
      </c>
      <c r="F734" s="350">
        <v>7235866.910333341</v>
      </c>
      <c r="G734" s="350">
        <v>7192771.0820155386</v>
      </c>
      <c r="H734" s="348">
        <v>36322476.081901215</v>
      </c>
      <c r="I734" s="369"/>
      <c r="J734" s="350">
        <v>29333367.43785166</v>
      </c>
      <c r="K734" s="350">
        <v>28782095.385779262</v>
      </c>
      <c r="L734" s="350">
        <v>28211933.116939053</v>
      </c>
      <c r="M734" s="350">
        <v>27576973.129541934</v>
      </c>
      <c r="N734" s="350">
        <v>26838510.928284232</v>
      </c>
      <c r="O734" s="348">
        <v>140742879.99839613</v>
      </c>
      <c r="P734" s="369"/>
      <c r="Q734" s="350">
        <f t="shared" si="309"/>
        <v>22008307.531219982</v>
      </c>
      <c r="R734" s="350">
        <f t="shared" si="310"/>
        <v>21483432.66379945</v>
      </c>
      <c r="S734" s="350">
        <f t="shared" si="311"/>
        <v>20941817.655998208</v>
      </c>
      <c r="T734" s="350">
        <f t="shared" si="312"/>
        <v>20341106.219208591</v>
      </c>
      <c r="U734" s="350">
        <f t="shared" si="313"/>
        <v>19645739.846268691</v>
      </c>
      <c r="V734" s="350">
        <f t="shared" si="314"/>
        <v>104420403.91649491</v>
      </c>
      <c r="W734" s="365"/>
      <c r="X734" s="377">
        <f t="shared" si="292"/>
        <v>0</v>
      </c>
      <c r="Y734" s="377">
        <f t="shared" si="293"/>
        <v>0</v>
      </c>
      <c r="Z734" s="377">
        <f t="shared" si="294"/>
        <v>0</v>
      </c>
      <c r="AA734" s="377">
        <f t="shared" si="295"/>
        <v>0</v>
      </c>
      <c r="AB734" s="377">
        <f t="shared" si="296"/>
        <v>0</v>
      </c>
      <c r="AC734" s="377">
        <f t="shared" si="297"/>
        <v>0</v>
      </c>
      <c r="AD734" s="376"/>
      <c r="AE734" s="332">
        <v>719</v>
      </c>
      <c r="AF734" s="350">
        <v>221394.69961951821</v>
      </c>
      <c r="AG734" s="350">
        <v>220596.86358250363</v>
      </c>
      <c r="AH734" s="350">
        <v>219734.04302359466</v>
      </c>
      <c r="AI734" s="350">
        <v>218698.90506284055</v>
      </c>
      <c r="AJ734" s="350">
        <v>217396.36445745436</v>
      </c>
      <c r="AK734" s="348">
        <v>1097820.8757459114</v>
      </c>
      <c r="AL734" s="369"/>
      <c r="AM734" s="350">
        <v>6342638.0633304762</v>
      </c>
      <c r="AN734" s="350">
        <v>6286652.4664040245</v>
      </c>
      <c r="AO734" s="350">
        <v>6225291.4843218131</v>
      </c>
      <c r="AP734" s="350">
        <v>6146587.1360644726</v>
      </c>
      <c r="AQ734" s="350">
        <v>6040298.3021287303</v>
      </c>
      <c r="AR734" s="348">
        <v>31041467.45224952</v>
      </c>
      <c r="AS734" s="369"/>
      <c r="AT734" s="350">
        <f t="shared" si="315"/>
        <v>6121243.3637109576</v>
      </c>
      <c r="AU734" s="350">
        <f t="shared" si="298"/>
        <v>6066055.6028215205</v>
      </c>
      <c r="AV734" s="350">
        <f t="shared" si="299"/>
        <v>6005557.4412982184</v>
      </c>
      <c r="AW734" s="350">
        <f t="shared" si="300"/>
        <v>5927888.2310016323</v>
      </c>
      <c r="AX734" s="350">
        <f t="shared" si="301"/>
        <v>5822901.9376712758</v>
      </c>
      <c r="AY734" s="350">
        <f t="shared" si="302"/>
        <v>29943646.576503608</v>
      </c>
      <c r="AZ734" s="365"/>
      <c r="BA734" s="377">
        <f t="shared" si="303"/>
        <v>0</v>
      </c>
      <c r="BB734" s="377">
        <f t="shared" si="304"/>
        <v>0</v>
      </c>
      <c r="BC734" s="377">
        <f t="shared" si="305"/>
        <v>0</v>
      </c>
      <c r="BD734" s="377">
        <f t="shared" si="306"/>
        <v>0</v>
      </c>
      <c r="BE734" s="377">
        <f t="shared" si="307"/>
        <v>0</v>
      </c>
      <c r="BF734" s="377">
        <f t="shared" si="308"/>
        <v>0</v>
      </c>
      <c r="BG734" s="328"/>
    </row>
    <row r="735" spans="2:59">
      <c r="B735" s="332">
        <v>720</v>
      </c>
      <c r="C735" s="350">
        <v>6015448.7682285421</v>
      </c>
      <c r="D735" s="350">
        <v>5993771.0053265598</v>
      </c>
      <c r="E735" s="350">
        <v>5970327.5675332835</v>
      </c>
      <c r="F735" s="350">
        <v>5942202.1454628091</v>
      </c>
      <c r="G735" s="350">
        <v>5906811.2065934353</v>
      </c>
      <c r="H735" s="348">
        <v>29828560.693144631</v>
      </c>
      <c r="I735" s="369"/>
      <c r="J735" s="350">
        <v>18828483.321102336</v>
      </c>
      <c r="K735" s="350">
        <v>18413684.922407836</v>
      </c>
      <c r="L735" s="350">
        <v>17988005.849248137</v>
      </c>
      <c r="M735" s="350">
        <v>17523947.437971897</v>
      </c>
      <c r="N735" s="350">
        <v>16998471.172865018</v>
      </c>
      <c r="O735" s="348">
        <v>89752592.703595236</v>
      </c>
      <c r="P735" s="369"/>
      <c r="Q735" s="350">
        <f t="shared" si="309"/>
        <v>12813034.552873794</v>
      </c>
      <c r="R735" s="350">
        <f t="shared" si="310"/>
        <v>12419913.917081276</v>
      </c>
      <c r="S735" s="350">
        <f t="shared" si="311"/>
        <v>12017678.281714853</v>
      </c>
      <c r="T735" s="350">
        <f t="shared" si="312"/>
        <v>11581745.292509088</v>
      </c>
      <c r="U735" s="350">
        <f t="shared" si="313"/>
        <v>11091659.966271583</v>
      </c>
      <c r="V735" s="350">
        <f t="shared" si="314"/>
        <v>59924032.010450602</v>
      </c>
      <c r="W735" s="365"/>
      <c r="X735" s="377">
        <f t="shared" si="292"/>
        <v>0</v>
      </c>
      <c r="Y735" s="377">
        <f t="shared" si="293"/>
        <v>0</v>
      </c>
      <c r="Z735" s="377">
        <f t="shared" si="294"/>
        <v>0</v>
      </c>
      <c r="AA735" s="377">
        <f t="shared" si="295"/>
        <v>0</v>
      </c>
      <c r="AB735" s="377">
        <f t="shared" si="296"/>
        <v>0</v>
      </c>
      <c r="AC735" s="377">
        <f t="shared" si="297"/>
        <v>0</v>
      </c>
      <c r="AD735" s="376"/>
      <c r="AE735" s="332">
        <v>720</v>
      </c>
      <c r="AF735" s="350">
        <v>422831.43288947496</v>
      </c>
      <c r="AG735" s="350">
        <v>421307.68297440698</v>
      </c>
      <c r="AH735" s="350">
        <v>419659.82214541262</v>
      </c>
      <c r="AI735" s="350">
        <v>417682.8603304454</v>
      </c>
      <c r="AJ735" s="350">
        <v>415195.19864966127</v>
      </c>
      <c r="AK735" s="348">
        <v>2096676.9969894015</v>
      </c>
      <c r="AL735" s="369"/>
      <c r="AM735" s="350">
        <v>14351577.24667434</v>
      </c>
      <c r="AN735" s="350">
        <v>14228522.391130906</v>
      </c>
      <c r="AO735" s="350">
        <v>14093230.561759362</v>
      </c>
      <c r="AP735" s="350">
        <v>13918504.577641759</v>
      </c>
      <c r="AQ735" s="350">
        <v>13681064.364073174</v>
      </c>
      <c r="AR735" s="348">
        <v>70272899.141279534</v>
      </c>
      <c r="AS735" s="369"/>
      <c r="AT735" s="350">
        <f t="shared" si="315"/>
        <v>13928745.813784866</v>
      </c>
      <c r="AU735" s="350">
        <f t="shared" si="298"/>
        <v>13807214.708156498</v>
      </c>
      <c r="AV735" s="350">
        <f t="shared" si="299"/>
        <v>13673570.73961395</v>
      </c>
      <c r="AW735" s="350">
        <f t="shared" si="300"/>
        <v>13500821.717311313</v>
      </c>
      <c r="AX735" s="350">
        <f t="shared" si="301"/>
        <v>13265869.165423512</v>
      </c>
      <c r="AY735" s="350">
        <f t="shared" si="302"/>
        <v>68176222.144290134</v>
      </c>
      <c r="AZ735" s="365"/>
      <c r="BA735" s="377">
        <f t="shared" si="303"/>
        <v>0</v>
      </c>
      <c r="BB735" s="377">
        <f t="shared" si="304"/>
        <v>0</v>
      </c>
      <c r="BC735" s="377">
        <f t="shared" si="305"/>
        <v>0</v>
      </c>
      <c r="BD735" s="377">
        <f t="shared" si="306"/>
        <v>0</v>
      </c>
      <c r="BE735" s="377">
        <f t="shared" si="307"/>
        <v>0</v>
      </c>
      <c r="BF735" s="377">
        <f t="shared" si="308"/>
        <v>0</v>
      </c>
      <c r="BG735" s="328"/>
    </row>
    <row r="736" spans="2:59">
      <c r="B736" s="332">
        <v>721</v>
      </c>
      <c r="C736" s="350">
        <v>4937503.2418420762</v>
      </c>
      <c r="D736" s="350">
        <v>4919710.0515534738</v>
      </c>
      <c r="E736" s="350">
        <v>4900467.5885945056</v>
      </c>
      <c r="F736" s="350">
        <v>4877382.1351226699</v>
      </c>
      <c r="G736" s="350">
        <v>4848333.117812058</v>
      </c>
      <c r="H736" s="348">
        <v>24483396.134924784</v>
      </c>
      <c r="I736" s="369"/>
      <c r="J736" s="350">
        <v>16789487.612424139</v>
      </c>
      <c r="K736" s="350">
        <v>16439397.700654384</v>
      </c>
      <c r="L736" s="350">
        <v>16079201.331490189</v>
      </c>
      <c r="M736" s="350">
        <v>15683738.653671879</v>
      </c>
      <c r="N736" s="350">
        <v>15231879.984952511</v>
      </c>
      <c r="O736" s="348">
        <v>80223705.283193097</v>
      </c>
      <c r="P736" s="369"/>
      <c r="Q736" s="350">
        <f t="shared" si="309"/>
        <v>11851984.370582063</v>
      </c>
      <c r="R736" s="350">
        <f t="shared" si="310"/>
        <v>11519687.649100911</v>
      </c>
      <c r="S736" s="350">
        <f t="shared" si="311"/>
        <v>11178733.742895683</v>
      </c>
      <c r="T736" s="350">
        <f t="shared" si="312"/>
        <v>10806356.518549209</v>
      </c>
      <c r="U736" s="350">
        <f t="shared" si="313"/>
        <v>10383546.867140453</v>
      </c>
      <c r="V736" s="350">
        <f t="shared" si="314"/>
        <v>55740309.148268312</v>
      </c>
      <c r="W736" s="365"/>
      <c r="X736" s="377">
        <f t="shared" si="292"/>
        <v>0</v>
      </c>
      <c r="Y736" s="377">
        <f t="shared" si="293"/>
        <v>0</v>
      </c>
      <c r="Z736" s="377">
        <f t="shared" si="294"/>
        <v>0</v>
      </c>
      <c r="AA736" s="377">
        <f t="shared" si="295"/>
        <v>0</v>
      </c>
      <c r="AB736" s="377">
        <f t="shared" si="296"/>
        <v>0</v>
      </c>
      <c r="AC736" s="377">
        <f t="shared" si="297"/>
        <v>0</v>
      </c>
      <c r="AD736" s="376"/>
      <c r="AE736" s="332">
        <v>721</v>
      </c>
      <c r="AF736" s="350">
        <v>466634.04947106552</v>
      </c>
      <c r="AG736" s="350">
        <v>464952.44886632712</v>
      </c>
      <c r="AH736" s="350">
        <v>463133.88025532378</v>
      </c>
      <c r="AI736" s="350">
        <v>460952.11791314464</v>
      </c>
      <c r="AJ736" s="350">
        <v>458206.75048413035</v>
      </c>
      <c r="AK736" s="348">
        <v>2313879.2469899915</v>
      </c>
      <c r="AL736" s="369"/>
      <c r="AM736" s="350">
        <v>13512816.514095204</v>
      </c>
      <c r="AN736" s="350">
        <v>13393774.631889835</v>
      </c>
      <c r="AO736" s="350">
        <v>13263275.862781039</v>
      </c>
      <c r="AP736" s="350">
        <v>13095815.197241966</v>
      </c>
      <c r="AQ736" s="350">
        <v>12869567.283602154</v>
      </c>
      <c r="AR736" s="348">
        <v>66135249.489610203</v>
      </c>
      <c r="AS736" s="369"/>
      <c r="AT736" s="350">
        <f t="shared" si="315"/>
        <v>13046182.464624139</v>
      </c>
      <c r="AU736" s="350">
        <f t="shared" si="298"/>
        <v>12928822.183023509</v>
      </c>
      <c r="AV736" s="350">
        <f t="shared" si="299"/>
        <v>12800141.982525716</v>
      </c>
      <c r="AW736" s="350">
        <f t="shared" si="300"/>
        <v>12634863.07932882</v>
      </c>
      <c r="AX736" s="350">
        <f t="shared" si="301"/>
        <v>12411360.533118024</v>
      </c>
      <c r="AY736" s="350">
        <f t="shared" si="302"/>
        <v>63821370.242620215</v>
      </c>
      <c r="AZ736" s="365"/>
      <c r="BA736" s="377">
        <f t="shared" si="303"/>
        <v>0</v>
      </c>
      <c r="BB736" s="377">
        <f t="shared" si="304"/>
        <v>0</v>
      </c>
      <c r="BC736" s="377">
        <f t="shared" si="305"/>
        <v>0</v>
      </c>
      <c r="BD736" s="377">
        <f t="shared" si="306"/>
        <v>0</v>
      </c>
      <c r="BE736" s="377">
        <f t="shared" si="307"/>
        <v>0</v>
      </c>
      <c r="BF736" s="377">
        <f t="shared" si="308"/>
        <v>0</v>
      </c>
      <c r="BG736" s="328"/>
    </row>
    <row r="737" spans="2:59">
      <c r="B737" s="332">
        <v>722</v>
      </c>
      <c r="C737" s="350">
        <v>3607245.9475612687</v>
      </c>
      <c r="D737" s="350">
        <v>3594246.5811975515</v>
      </c>
      <c r="E737" s="350">
        <v>3580188.4037888534</v>
      </c>
      <c r="F737" s="350">
        <v>3563322.6106126187</v>
      </c>
      <c r="G737" s="350">
        <v>3542099.9511343744</v>
      </c>
      <c r="H737" s="348">
        <v>17887103.494294666</v>
      </c>
      <c r="I737" s="369"/>
      <c r="J737" s="350">
        <v>10869619.3276281</v>
      </c>
      <c r="K737" s="350">
        <v>10623915.099165205</v>
      </c>
      <c r="L737" s="350">
        <v>10372056.967017045</v>
      </c>
      <c r="M737" s="350">
        <v>10098371.657930616</v>
      </c>
      <c r="N737" s="350">
        <v>9789743.9997741226</v>
      </c>
      <c r="O737" s="348">
        <v>51753707.051515095</v>
      </c>
      <c r="P737" s="369"/>
      <c r="Q737" s="350">
        <f t="shared" si="309"/>
        <v>7262373.3800668316</v>
      </c>
      <c r="R737" s="350">
        <f t="shared" si="310"/>
        <v>7029668.5179676535</v>
      </c>
      <c r="S737" s="350">
        <f t="shared" si="311"/>
        <v>6791868.5632281918</v>
      </c>
      <c r="T737" s="350">
        <f t="shared" si="312"/>
        <v>6535049.0473179976</v>
      </c>
      <c r="U737" s="350">
        <f t="shared" si="313"/>
        <v>6247644.0486397482</v>
      </c>
      <c r="V737" s="350">
        <f t="shared" si="314"/>
        <v>33866603.557220429</v>
      </c>
      <c r="W737" s="365"/>
      <c r="X737" s="377">
        <f t="shared" si="292"/>
        <v>0</v>
      </c>
      <c r="Y737" s="377">
        <f t="shared" si="293"/>
        <v>0</v>
      </c>
      <c r="Z737" s="377">
        <f t="shared" si="294"/>
        <v>0</v>
      </c>
      <c r="AA737" s="377">
        <f t="shared" si="295"/>
        <v>0</v>
      </c>
      <c r="AB737" s="377">
        <f t="shared" si="296"/>
        <v>0</v>
      </c>
      <c r="AC737" s="377">
        <f t="shared" si="297"/>
        <v>0</v>
      </c>
      <c r="AD737" s="376"/>
      <c r="AE737" s="332">
        <v>722</v>
      </c>
      <c r="AF737" s="350">
        <v>376959.5357433678</v>
      </c>
      <c r="AG737" s="350">
        <v>375601.09354656172</v>
      </c>
      <c r="AH737" s="350">
        <v>374132.00491040602</v>
      </c>
      <c r="AI737" s="350">
        <v>372369.5186097548</v>
      </c>
      <c r="AJ737" s="350">
        <v>370151.73696124612</v>
      </c>
      <c r="AK737" s="348">
        <v>1869213.8897713362</v>
      </c>
      <c r="AL737" s="369"/>
      <c r="AM737" s="350">
        <v>15274904.436895395</v>
      </c>
      <c r="AN737" s="350">
        <v>15147323.113814577</v>
      </c>
      <c r="AO737" s="350">
        <v>15006648.302814668</v>
      </c>
      <c r="AP737" s="350">
        <v>14823823.558507722</v>
      </c>
      <c r="AQ737" s="350">
        <v>14573970.638569886</v>
      </c>
      <c r="AR737" s="348">
        <v>74826670.050602257</v>
      </c>
      <c r="AS737" s="369"/>
      <c r="AT737" s="350">
        <f t="shared" si="315"/>
        <v>14897944.901152028</v>
      </c>
      <c r="AU737" s="350">
        <f t="shared" si="298"/>
        <v>14771722.020268016</v>
      </c>
      <c r="AV737" s="350">
        <f t="shared" si="299"/>
        <v>14632516.297904262</v>
      </c>
      <c r="AW737" s="350">
        <f t="shared" si="300"/>
        <v>14451454.039897967</v>
      </c>
      <c r="AX737" s="350">
        <f t="shared" si="301"/>
        <v>14203818.90160864</v>
      </c>
      <c r="AY737" s="350">
        <f t="shared" si="302"/>
        <v>72957456.160830915</v>
      </c>
      <c r="AZ737" s="365"/>
      <c r="BA737" s="377">
        <f t="shared" si="303"/>
        <v>0</v>
      </c>
      <c r="BB737" s="377">
        <f t="shared" si="304"/>
        <v>0</v>
      </c>
      <c r="BC737" s="377">
        <f t="shared" si="305"/>
        <v>0</v>
      </c>
      <c r="BD737" s="377">
        <f t="shared" si="306"/>
        <v>0</v>
      </c>
      <c r="BE737" s="377">
        <f t="shared" si="307"/>
        <v>0</v>
      </c>
      <c r="BF737" s="377">
        <f t="shared" si="308"/>
        <v>0</v>
      </c>
      <c r="BG737" s="328"/>
    </row>
    <row r="738" spans="2:59">
      <c r="B738" s="332">
        <v>723</v>
      </c>
      <c r="C738" s="350">
        <v>5954867.5077491598</v>
      </c>
      <c r="D738" s="350">
        <v>5933408.0604295339</v>
      </c>
      <c r="E738" s="350">
        <v>5910200.7202353273</v>
      </c>
      <c r="F738" s="350">
        <v>5882358.5477753449</v>
      </c>
      <c r="G738" s="350">
        <v>5847324.029144736</v>
      </c>
      <c r="H738" s="348">
        <v>29528158.865334101</v>
      </c>
      <c r="I738" s="369"/>
      <c r="J738" s="350">
        <v>19040862.22426115</v>
      </c>
      <c r="K738" s="350">
        <v>18627343.881056435</v>
      </c>
      <c r="L738" s="350">
        <v>18202700.453270532</v>
      </c>
      <c r="M738" s="350">
        <v>17738930.651996873</v>
      </c>
      <c r="N738" s="350">
        <v>17212559.612178661</v>
      </c>
      <c r="O738" s="348">
        <v>90822396.822763652</v>
      </c>
      <c r="P738" s="369"/>
      <c r="Q738" s="350">
        <f t="shared" si="309"/>
        <v>13085994.716511991</v>
      </c>
      <c r="R738" s="350">
        <f t="shared" si="310"/>
        <v>12693935.820626901</v>
      </c>
      <c r="S738" s="350">
        <f t="shared" si="311"/>
        <v>12292499.733035205</v>
      </c>
      <c r="T738" s="350">
        <f t="shared" si="312"/>
        <v>11856572.104221528</v>
      </c>
      <c r="U738" s="350">
        <f t="shared" si="313"/>
        <v>11365235.583033925</v>
      </c>
      <c r="V738" s="350">
        <f t="shared" si="314"/>
        <v>61294237.957429551</v>
      </c>
      <c r="W738" s="365"/>
      <c r="X738" s="377">
        <f t="shared" si="292"/>
        <v>0</v>
      </c>
      <c r="Y738" s="377">
        <f t="shared" si="293"/>
        <v>0</v>
      </c>
      <c r="Z738" s="377">
        <f t="shared" si="294"/>
        <v>0</v>
      </c>
      <c r="AA738" s="377">
        <f t="shared" si="295"/>
        <v>0</v>
      </c>
      <c r="AB738" s="377">
        <f t="shared" si="296"/>
        <v>0</v>
      </c>
      <c r="AC738" s="377">
        <f t="shared" si="297"/>
        <v>0</v>
      </c>
      <c r="AD738" s="376"/>
      <c r="AE738" s="332">
        <v>723</v>
      </c>
      <c r="AF738" s="350">
        <v>368095.70309456775</v>
      </c>
      <c r="AG738" s="350">
        <v>366769.20332965115</v>
      </c>
      <c r="AH738" s="350">
        <v>365334.65886755765</v>
      </c>
      <c r="AI738" s="350">
        <v>363613.6156984191</v>
      </c>
      <c r="AJ738" s="350">
        <v>361447.98300363083</v>
      </c>
      <c r="AK738" s="348">
        <v>1825261.1639938264</v>
      </c>
      <c r="AL738" s="369"/>
      <c r="AM738" s="350">
        <v>11353276.83486557</v>
      </c>
      <c r="AN738" s="350">
        <v>11254371.356569827</v>
      </c>
      <c r="AO738" s="350">
        <v>11145817.260865618</v>
      </c>
      <c r="AP738" s="350">
        <v>11006149.692396421</v>
      </c>
      <c r="AQ738" s="350">
        <v>10816998.371337885</v>
      </c>
      <c r="AR738" s="348">
        <v>55576613.516035311</v>
      </c>
      <c r="AS738" s="369"/>
      <c r="AT738" s="350">
        <f t="shared" si="315"/>
        <v>10985181.131771002</v>
      </c>
      <c r="AU738" s="350">
        <f t="shared" si="298"/>
        <v>10887602.153240176</v>
      </c>
      <c r="AV738" s="350">
        <f t="shared" si="299"/>
        <v>10780482.601998059</v>
      </c>
      <c r="AW738" s="350">
        <f t="shared" si="300"/>
        <v>10642536.076698001</v>
      </c>
      <c r="AX738" s="350">
        <f t="shared" si="301"/>
        <v>10455550.388334254</v>
      </c>
      <c r="AY738" s="350">
        <f t="shared" si="302"/>
        <v>53751352.352041483</v>
      </c>
      <c r="AZ738" s="365"/>
      <c r="BA738" s="377">
        <f t="shared" si="303"/>
        <v>0</v>
      </c>
      <c r="BB738" s="377">
        <f t="shared" si="304"/>
        <v>0</v>
      </c>
      <c r="BC738" s="377">
        <f t="shared" si="305"/>
        <v>0</v>
      </c>
      <c r="BD738" s="377">
        <f t="shared" si="306"/>
        <v>0</v>
      </c>
      <c r="BE738" s="377">
        <f t="shared" si="307"/>
        <v>0</v>
      </c>
      <c r="BF738" s="377">
        <f t="shared" si="308"/>
        <v>0</v>
      </c>
      <c r="BG738" s="328"/>
    </row>
    <row r="739" spans="2:59">
      <c r="B739" s="332">
        <v>724</v>
      </c>
      <c r="C739" s="350">
        <v>5006734.479339391</v>
      </c>
      <c r="D739" s="350">
        <v>4988691.8017041739</v>
      </c>
      <c r="E739" s="350">
        <v>4969179.5304113375</v>
      </c>
      <c r="F739" s="350">
        <v>4945770.3840863006</v>
      </c>
      <c r="G739" s="350">
        <v>4916314.0557688931</v>
      </c>
      <c r="H739" s="348">
        <v>24826690.251310095</v>
      </c>
      <c r="I739" s="369"/>
      <c r="J739" s="350">
        <v>22041825.076180413</v>
      </c>
      <c r="K739" s="350">
        <v>21650667.584630027</v>
      </c>
      <c r="L739" s="350">
        <v>21244844.174762651</v>
      </c>
      <c r="M739" s="350">
        <v>20789113.332019862</v>
      </c>
      <c r="N739" s="350">
        <v>20253707.910285525</v>
      </c>
      <c r="O739" s="348">
        <v>105980158.07787848</v>
      </c>
      <c r="P739" s="369"/>
      <c r="Q739" s="350">
        <f t="shared" si="309"/>
        <v>17035090.596841022</v>
      </c>
      <c r="R739" s="350">
        <f t="shared" si="310"/>
        <v>16661975.782925854</v>
      </c>
      <c r="S739" s="350">
        <f t="shared" si="311"/>
        <v>16275664.644351315</v>
      </c>
      <c r="T739" s="350">
        <f t="shared" si="312"/>
        <v>15843342.947933562</v>
      </c>
      <c r="U739" s="350">
        <f t="shared" si="313"/>
        <v>15337393.854516633</v>
      </c>
      <c r="V739" s="350">
        <f t="shared" si="314"/>
        <v>81153467.82656838</v>
      </c>
      <c r="W739" s="365"/>
      <c r="X739" s="377">
        <f t="shared" si="292"/>
        <v>0</v>
      </c>
      <c r="Y739" s="377">
        <f t="shared" si="293"/>
        <v>0</v>
      </c>
      <c r="Z739" s="377">
        <f t="shared" si="294"/>
        <v>0</v>
      </c>
      <c r="AA739" s="377">
        <f t="shared" si="295"/>
        <v>0</v>
      </c>
      <c r="AB739" s="377">
        <f t="shared" si="296"/>
        <v>0</v>
      </c>
      <c r="AC739" s="377">
        <f t="shared" si="297"/>
        <v>0</v>
      </c>
      <c r="AD739" s="376"/>
      <c r="AE739" s="332">
        <v>724</v>
      </c>
      <c r="AF739" s="350">
        <v>462818.26007736428</v>
      </c>
      <c r="AG739" s="350">
        <v>461150.41036319896</v>
      </c>
      <c r="AH739" s="350">
        <v>459346.71266619238</v>
      </c>
      <c r="AI739" s="350">
        <v>457182.79116870579</v>
      </c>
      <c r="AJ739" s="350">
        <v>454459.87333146331</v>
      </c>
      <c r="AK739" s="348">
        <v>2294958.0476069245</v>
      </c>
      <c r="AL739" s="369"/>
      <c r="AM739" s="350">
        <v>11517446.491235672</v>
      </c>
      <c r="AN739" s="350">
        <v>11412963.004653202</v>
      </c>
      <c r="AO739" s="350">
        <v>11298776.07932825</v>
      </c>
      <c r="AP739" s="350">
        <v>11153244.435858771</v>
      </c>
      <c r="AQ739" s="350">
        <v>10957855.004020583</v>
      </c>
      <c r="AR739" s="348">
        <v>56340285.015096486</v>
      </c>
      <c r="AS739" s="369"/>
      <c r="AT739" s="350">
        <f t="shared" si="315"/>
        <v>11054628.231158307</v>
      </c>
      <c r="AU739" s="350">
        <f t="shared" si="298"/>
        <v>10951812.594290003</v>
      </c>
      <c r="AV739" s="350">
        <f t="shared" si="299"/>
        <v>10839429.366662057</v>
      </c>
      <c r="AW739" s="350">
        <f t="shared" si="300"/>
        <v>10696061.644690065</v>
      </c>
      <c r="AX739" s="350">
        <f t="shared" si="301"/>
        <v>10503395.13068912</v>
      </c>
      <c r="AY739" s="350">
        <f t="shared" si="302"/>
        <v>54045326.967489563</v>
      </c>
      <c r="AZ739" s="365"/>
      <c r="BA739" s="377">
        <f t="shared" si="303"/>
        <v>0</v>
      </c>
      <c r="BB739" s="377">
        <f t="shared" si="304"/>
        <v>0</v>
      </c>
      <c r="BC739" s="377">
        <f t="shared" si="305"/>
        <v>0</v>
      </c>
      <c r="BD739" s="377">
        <f t="shared" si="306"/>
        <v>0</v>
      </c>
      <c r="BE739" s="377">
        <f t="shared" si="307"/>
        <v>0</v>
      </c>
      <c r="BF739" s="377">
        <f t="shared" si="308"/>
        <v>0</v>
      </c>
      <c r="BG739" s="328"/>
    </row>
    <row r="740" spans="2:59">
      <c r="B740" s="332">
        <v>725</v>
      </c>
      <c r="C740" s="350">
        <v>4359487.5661934782</v>
      </c>
      <c r="D740" s="350">
        <v>4343777.3604423748</v>
      </c>
      <c r="E740" s="350">
        <v>4326787.5431392342</v>
      </c>
      <c r="F740" s="350">
        <v>4306404.6203458803</v>
      </c>
      <c r="G740" s="350">
        <v>4280756.2665984686</v>
      </c>
      <c r="H740" s="348">
        <v>21617213.356719434</v>
      </c>
      <c r="I740" s="369"/>
      <c r="J740" s="350">
        <v>13652556.92375673</v>
      </c>
      <c r="K740" s="350">
        <v>13351893.810935492</v>
      </c>
      <c r="L740" s="350">
        <v>13043338.907582369</v>
      </c>
      <c r="M740" s="350">
        <v>12706949.418897744</v>
      </c>
      <c r="N740" s="350">
        <v>12326016.897618078</v>
      </c>
      <c r="O740" s="348">
        <v>65080755.958790414</v>
      </c>
      <c r="P740" s="369"/>
      <c r="Q740" s="350">
        <f t="shared" si="309"/>
        <v>9293069.3575632516</v>
      </c>
      <c r="R740" s="350">
        <f t="shared" si="310"/>
        <v>9008116.4504931159</v>
      </c>
      <c r="S740" s="350">
        <f t="shared" si="311"/>
        <v>8716551.3644431345</v>
      </c>
      <c r="T740" s="350">
        <f t="shared" si="312"/>
        <v>8400544.7985518649</v>
      </c>
      <c r="U740" s="350">
        <f t="shared" si="313"/>
        <v>8045260.631019609</v>
      </c>
      <c r="V740" s="350">
        <f t="shared" si="314"/>
        <v>43463542.60207098</v>
      </c>
      <c r="W740" s="365"/>
      <c r="X740" s="377">
        <f t="shared" si="292"/>
        <v>0</v>
      </c>
      <c r="Y740" s="377">
        <f t="shared" si="293"/>
        <v>0</v>
      </c>
      <c r="Z740" s="377">
        <f t="shared" si="294"/>
        <v>0</v>
      </c>
      <c r="AA740" s="377">
        <f t="shared" si="295"/>
        <v>0</v>
      </c>
      <c r="AB740" s="377">
        <f t="shared" si="296"/>
        <v>0</v>
      </c>
      <c r="AC740" s="377">
        <f t="shared" si="297"/>
        <v>0</v>
      </c>
      <c r="AD740" s="376"/>
      <c r="AE740" s="332">
        <v>725</v>
      </c>
      <c r="AF740" s="350">
        <v>350519.86213568755</v>
      </c>
      <c r="AG740" s="350">
        <v>349256.70010795217</v>
      </c>
      <c r="AH740" s="350">
        <v>347890.65230339166</v>
      </c>
      <c r="AI740" s="350">
        <v>346251.78553775314</v>
      </c>
      <c r="AJ740" s="350">
        <v>344189.55751598591</v>
      </c>
      <c r="AK740" s="348">
        <v>1738108.5576007701</v>
      </c>
      <c r="AL740" s="369"/>
      <c r="AM740" s="350">
        <v>12064861.189891446</v>
      </c>
      <c r="AN740" s="350">
        <v>11961642.518808842</v>
      </c>
      <c r="AO740" s="350">
        <v>11848131.978755245</v>
      </c>
      <c r="AP740" s="350">
        <v>11701458.464298232</v>
      </c>
      <c r="AQ740" s="350">
        <v>11502044.456137221</v>
      </c>
      <c r="AR740" s="348">
        <v>59078138.607890993</v>
      </c>
      <c r="AS740" s="369"/>
      <c r="AT740" s="350">
        <f t="shared" si="315"/>
        <v>11714341.327755759</v>
      </c>
      <c r="AU740" s="350">
        <f t="shared" si="298"/>
        <v>11612385.818700889</v>
      </c>
      <c r="AV740" s="350">
        <f t="shared" si="299"/>
        <v>11500241.326451853</v>
      </c>
      <c r="AW740" s="350">
        <f t="shared" si="300"/>
        <v>11355206.678760478</v>
      </c>
      <c r="AX740" s="350">
        <f t="shared" si="301"/>
        <v>11157854.898621235</v>
      </c>
      <c r="AY740" s="350">
        <f t="shared" si="302"/>
        <v>57340030.050290227</v>
      </c>
      <c r="AZ740" s="365"/>
      <c r="BA740" s="377">
        <f t="shared" si="303"/>
        <v>0</v>
      </c>
      <c r="BB740" s="377">
        <f t="shared" si="304"/>
        <v>0</v>
      </c>
      <c r="BC740" s="377">
        <f t="shared" si="305"/>
        <v>0</v>
      </c>
      <c r="BD740" s="377">
        <f t="shared" si="306"/>
        <v>0</v>
      </c>
      <c r="BE740" s="377">
        <f t="shared" si="307"/>
        <v>0</v>
      </c>
      <c r="BF740" s="377">
        <f t="shared" si="308"/>
        <v>0</v>
      </c>
      <c r="BG740" s="328"/>
    </row>
    <row r="741" spans="2:59">
      <c r="B741" s="332">
        <v>726</v>
      </c>
      <c r="C741" s="350">
        <v>4438664.6133760214</v>
      </c>
      <c r="D741" s="350">
        <v>4422669.0787455225</v>
      </c>
      <c r="E741" s="350">
        <v>4405370.6922479952</v>
      </c>
      <c r="F741" s="350">
        <v>4384617.5746518755</v>
      </c>
      <c r="G741" s="350">
        <v>4358503.3953036387</v>
      </c>
      <c r="H741" s="348">
        <v>22009825.354325049</v>
      </c>
      <c r="I741" s="369"/>
      <c r="J741" s="350">
        <v>17556361.670861825</v>
      </c>
      <c r="K741" s="350">
        <v>17223888.894770138</v>
      </c>
      <c r="L741" s="350">
        <v>16880161.76770049</v>
      </c>
      <c r="M741" s="350">
        <v>16497785.827157348</v>
      </c>
      <c r="N741" s="350">
        <v>16053670.914481087</v>
      </c>
      <c r="O741" s="348">
        <v>84211869.074970886</v>
      </c>
      <c r="P741" s="369"/>
      <c r="Q741" s="350">
        <f t="shared" si="309"/>
        <v>13117697.057485804</v>
      </c>
      <c r="R741" s="350">
        <f t="shared" si="310"/>
        <v>12801219.816024616</v>
      </c>
      <c r="S741" s="350">
        <f t="shared" si="311"/>
        <v>12474791.075452495</v>
      </c>
      <c r="T741" s="350">
        <f t="shared" si="312"/>
        <v>12113168.252505474</v>
      </c>
      <c r="U741" s="350">
        <f t="shared" si="313"/>
        <v>11695167.519177448</v>
      </c>
      <c r="V741" s="350">
        <f t="shared" si="314"/>
        <v>62202043.720645837</v>
      </c>
      <c r="W741" s="365"/>
      <c r="X741" s="377">
        <f t="shared" si="292"/>
        <v>0</v>
      </c>
      <c r="Y741" s="377">
        <f t="shared" si="293"/>
        <v>0</v>
      </c>
      <c r="Z741" s="377">
        <f t="shared" si="294"/>
        <v>0</v>
      </c>
      <c r="AA741" s="377">
        <f t="shared" si="295"/>
        <v>0</v>
      </c>
      <c r="AB741" s="377">
        <f t="shared" si="296"/>
        <v>0</v>
      </c>
      <c r="AC741" s="377">
        <f t="shared" si="297"/>
        <v>0</v>
      </c>
      <c r="AD741" s="376"/>
      <c r="AE741" s="332">
        <v>726</v>
      </c>
      <c r="AF741" s="350">
        <v>488943.10276575363</v>
      </c>
      <c r="AG741" s="350">
        <v>487181.10743295355</v>
      </c>
      <c r="AH741" s="350">
        <v>485275.59586502524</v>
      </c>
      <c r="AI741" s="350">
        <v>482989.52683450398</v>
      </c>
      <c r="AJ741" s="350">
        <v>480112.90762830613</v>
      </c>
      <c r="AK741" s="348">
        <v>2424502.2405265425</v>
      </c>
      <c r="AL741" s="369"/>
      <c r="AM741" s="350">
        <v>16902952.943996403</v>
      </c>
      <c r="AN741" s="350">
        <v>16758442.058336962</v>
      </c>
      <c r="AO741" s="350">
        <v>16599510.168732034</v>
      </c>
      <c r="AP741" s="350">
        <v>16394111.49714496</v>
      </c>
      <c r="AQ741" s="350">
        <v>16114814.867959403</v>
      </c>
      <c r="AR741" s="348">
        <v>82769831.536169767</v>
      </c>
      <c r="AS741" s="369"/>
      <c r="AT741" s="350">
        <f t="shared" si="315"/>
        <v>16414009.84123065</v>
      </c>
      <c r="AU741" s="350">
        <f t="shared" si="298"/>
        <v>16271260.950904008</v>
      </c>
      <c r="AV741" s="350">
        <f t="shared" si="299"/>
        <v>16114234.572867008</v>
      </c>
      <c r="AW741" s="350">
        <f t="shared" si="300"/>
        <v>15911121.970310455</v>
      </c>
      <c r="AX741" s="350">
        <f t="shared" si="301"/>
        <v>15634701.960331097</v>
      </c>
      <c r="AY741" s="350">
        <f t="shared" si="302"/>
        <v>80345329.295643225</v>
      </c>
      <c r="AZ741" s="365"/>
      <c r="BA741" s="377">
        <f t="shared" si="303"/>
        <v>0</v>
      </c>
      <c r="BB741" s="377">
        <f t="shared" si="304"/>
        <v>0</v>
      </c>
      <c r="BC741" s="377">
        <f t="shared" si="305"/>
        <v>0</v>
      </c>
      <c r="BD741" s="377">
        <f t="shared" si="306"/>
        <v>0</v>
      </c>
      <c r="BE741" s="377">
        <f t="shared" si="307"/>
        <v>0</v>
      </c>
      <c r="BF741" s="377">
        <f t="shared" si="308"/>
        <v>0</v>
      </c>
      <c r="BG741" s="328"/>
    </row>
    <row r="742" spans="2:59">
      <c r="B742" s="332">
        <v>727</v>
      </c>
      <c r="C742" s="350">
        <v>5648536.7349499939</v>
      </c>
      <c r="D742" s="350">
        <v>5628181.2062436212</v>
      </c>
      <c r="E742" s="350">
        <v>5606167.6999083627</v>
      </c>
      <c r="F742" s="350">
        <v>5579757.7867211485</v>
      </c>
      <c r="G742" s="350">
        <v>5546525.5166129107</v>
      </c>
      <c r="H742" s="348">
        <v>28009168.944436036</v>
      </c>
      <c r="I742" s="369"/>
      <c r="J742" s="350">
        <v>18243425.338496625</v>
      </c>
      <c r="K742" s="350">
        <v>17849867.032811455</v>
      </c>
      <c r="L742" s="350">
        <v>17445595.619317085</v>
      </c>
      <c r="M742" s="350">
        <v>17003697.191435989</v>
      </c>
      <c r="N742" s="350">
        <v>16501601.777209792</v>
      </c>
      <c r="O742" s="348">
        <v>87044186.959270939</v>
      </c>
      <c r="P742" s="369"/>
      <c r="Q742" s="350">
        <f t="shared" si="309"/>
        <v>12594888.603546631</v>
      </c>
      <c r="R742" s="350">
        <f t="shared" si="310"/>
        <v>12221685.826567834</v>
      </c>
      <c r="S742" s="350">
        <f t="shared" si="311"/>
        <v>11839427.919408722</v>
      </c>
      <c r="T742" s="350">
        <f t="shared" si="312"/>
        <v>11423939.404714841</v>
      </c>
      <c r="U742" s="350">
        <f t="shared" si="313"/>
        <v>10955076.260596883</v>
      </c>
      <c r="V742" s="350">
        <f t="shared" si="314"/>
        <v>59035018.014834903</v>
      </c>
      <c r="W742" s="365"/>
      <c r="X742" s="377">
        <f t="shared" si="292"/>
        <v>0</v>
      </c>
      <c r="Y742" s="377">
        <f t="shared" si="293"/>
        <v>0</v>
      </c>
      <c r="Z742" s="377">
        <f t="shared" si="294"/>
        <v>0</v>
      </c>
      <c r="AA742" s="377">
        <f t="shared" si="295"/>
        <v>0</v>
      </c>
      <c r="AB742" s="377">
        <f t="shared" si="296"/>
        <v>0</v>
      </c>
      <c r="AC742" s="377">
        <f t="shared" si="297"/>
        <v>0</v>
      </c>
      <c r="AD742" s="376"/>
      <c r="AE742" s="332">
        <v>727</v>
      </c>
      <c r="AF742" s="350">
        <v>729174.33317635627</v>
      </c>
      <c r="AG742" s="350">
        <v>726546.62094442837</v>
      </c>
      <c r="AH742" s="350">
        <v>723704.87899317802</v>
      </c>
      <c r="AI742" s="350">
        <v>720295.601202989</v>
      </c>
      <c r="AJ742" s="350">
        <v>716005.61964968231</v>
      </c>
      <c r="AK742" s="348">
        <v>3615727.053966634</v>
      </c>
      <c r="AL742" s="369"/>
      <c r="AM742" s="350">
        <v>28972476.705524683</v>
      </c>
      <c r="AN742" s="350">
        <v>28729830.530391715</v>
      </c>
      <c r="AO742" s="350">
        <v>28462362.88752269</v>
      </c>
      <c r="AP742" s="350">
        <v>28114982.591008019</v>
      </c>
      <c r="AQ742" s="350">
        <v>27640521.644340217</v>
      </c>
      <c r="AR742" s="348">
        <v>141920174.35878733</v>
      </c>
      <c r="AS742" s="369"/>
      <c r="AT742" s="350">
        <f t="shared" si="315"/>
        <v>28243302.372348327</v>
      </c>
      <c r="AU742" s="350">
        <f t="shared" si="298"/>
        <v>28003283.909447286</v>
      </c>
      <c r="AV742" s="350">
        <f t="shared" si="299"/>
        <v>27738658.00852951</v>
      </c>
      <c r="AW742" s="350">
        <f t="shared" si="300"/>
        <v>27394686.989805028</v>
      </c>
      <c r="AX742" s="350">
        <f t="shared" si="301"/>
        <v>26924516.024690535</v>
      </c>
      <c r="AY742" s="350">
        <f t="shared" si="302"/>
        <v>138304447.30482069</v>
      </c>
      <c r="AZ742" s="365"/>
      <c r="BA742" s="377">
        <f t="shared" si="303"/>
        <v>0</v>
      </c>
      <c r="BB742" s="377">
        <f t="shared" si="304"/>
        <v>0</v>
      </c>
      <c r="BC742" s="377">
        <f t="shared" si="305"/>
        <v>0</v>
      </c>
      <c r="BD742" s="377">
        <f t="shared" si="306"/>
        <v>0</v>
      </c>
      <c r="BE742" s="377">
        <f t="shared" si="307"/>
        <v>0</v>
      </c>
      <c r="BF742" s="377">
        <f t="shared" si="308"/>
        <v>0</v>
      </c>
      <c r="BG742" s="328"/>
    </row>
    <row r="743" spans="2:59">
      <c r="B743" s="332">
        <v>728</v>
      </c>
      <c r="C743" s="350">
        <v>7505925.7116752546</v>
      </c>
      <c r="D743" s="350">
        <v>7478876.7442238182</v>
      </c>
      <c r="E743" s="350">
        <v>7449624.612041764</v>
      </c>
      <c r="F743" s="350">
        <v>7414530.4176093405</v>
      </c>
      <c r="G743" s="350">
        <v>7370370.4940101244</v>
      </c>
      <c r="H743" s="348">
        <v>37219327.979560301</v>
      </c>
      <c r="I743" s="369"/>
      <c r="J743" s="350">
        <v>23981408.641837176</v>
      </c>
      <c r="K743" s="350">
        <v>23460318.594717093</v>
      </c>
      <c r="L743" s="350">
        <v>22925222.461000234</v>
      </c>
      <c r="M743" s="350">
        <v>22340862.344207659</v>
      </c>
      <c r="N743" s="350">
        <v>21677680.507198822</v>
      </c>
      <c r="O743" s="348">
        <v>114385492.54896098</v>
      </c>
      <c r="P743" s="369"/>
      <c r="Q743" s="350">
        <f t="shared" si="309"/>
        <v>16475482.930161921</v>
      </c>
      <c r="R743" s="350">
        <f t="shared" si="310"/>
        <v>15981441.850493275</v>
      </c>
      <c r="S743" s="350">
        <f t="shared" si="311"/>
        <v>15475597.84895847</v>
      </c>
      <c r="T743" s="350">
        <f t="shared" si="312"/>
        <v>14926331.926598318</v>
      </c>
      <c r="U743" s="350">
        <f t="shared" si="313"/>
        <v>14307310.013188697</v>
      </c>
      <c r="V743" s="350">
        <f t="shared" si="314"/>
        <v>77166164.569400683</v>
      </c>
      <c r="W743" s="365"/>
      <c r="X743" s="377">
        <f t="shared" si="292"/>
        <v>0</v>
      </c>
      <c r="Y743" s="377">
        <f t="shared" si="293"/>
        <v>0</v>
      </c>
      <c r="Z743" s="377">
        <f t="shared" si="294"/>
        <v>0</v>
      </c>
      <c r="AA743" s="377">
        <f t="shared" si="295"/>
        <v>0</v>
      </c>
      <c r="AB743" s="377">
        <f t="shared" si="296"/>
        <v>0</v>
      </c>
      <c r="AC743" s="377">
        <f t="shared" si="297"/>
        <v>0</v>
      </c>
      <c r="AD743" s="376"/>
      <c r="AE743" s="332">
        <v>728</v>
      </c>
      <c r="AF743" s="350">
        <v>549556.77989493462</v>
      </c>
      <c r="AG743" s="350">
        <v>547576.35216048837</v>
      </c>
      <c r="AH743" s="350">
        <v>545434.61665915966</v>
      </c>
      <c r="AI743" s="350">
        <v>542865.14645306754</v>
      </c>
      <c r="AJ743" s="350">
        <v>539631.91628988564</v>
      </c>
      <c r="AK743" s="348">
        <v>2725064.8114575357</v>
      </c>
      <c r="AL743" s="369"/>
      <c r="AM743" s="350">
        <v>12892599.945523856</v>
      </c>
      <c r="AN743" s="350">
        <v>12774180.880176721</v>
      </c>
      <c r="AO743" s="350">
        <v>12644929.634362323</v>
      </c>
      <c r="AP743" s="350">
        <v>12480668.185301915</v>
      </c>
      <c r="AQ743" s="350">
        <v>12260716.305993762</v>
      </c>
      <c r="AR743" s="348">
        <v>63053094.951358572</v>
      </c>
      <c r="AS743" s="369"/>
      <c r="AT743" s="350">
        <f t="shared" si="315"/>
        <v>12343043.165628921</v>
      </c>
      <c r="AU743" s="350">
        <f t="shared" si="298"/>
        <v>12226604.528016232</v>
      </c>
      <c r="AV743" s="350">
        <f t="shared" si="299"/>
        <v>12099495.017703164</v>
      </c>
      <c r="AW743" s="350">
        <f t="shared" si="300"/>
        <v>11937803.038848847</v>
      </c>
      <c r="AX743" s="350">
        <f t="shared" si="301"/>
        <v>11721084.389703875</v>
      </c>
      <c r="AY743" s="350">
        <f t="shared" si="302"/>
        <v>60328030.139901035</v>
      </c>
      <c r="AZ743" s="365"/>
      <c r="BA743" s="377">
        <f t="shared" si="303"/>
        <v>0</v>
      </c>
      <c r="BB743" s="377">
        <f t="shared" si="304"/>
        <v>0</v>
      </c>
      <c r="BC743" s="377">
        <f t="shared" si="305"/>
        <v>0</v>
      </c>
      <c r="BD743" s="377">
        <f t="shared" si="306"/>
        <v>0</v>
      </c>
      <c r="BE743" s="377">
        <f t="shared" si="307"/>
        <v>0</v>
      </c>
      <c r="BF743" s="377">
        <f t="shared" si="308"/>
        <v>0</v>
      </c>
      <c r="BG743" s="328"/>
    </row>
    <row r="744" spans="2:59">
      <c r="B744" s="332">
        <v>729</v>
      </c>
      <c r="C744" s="350">
        <v>4907585.6655627415</v>
      </c>
      <c r="D744" s="350">
        <v>4889900.2886975706</v>
      </c>
      <c r="E744" s="350">
        <v>4870774.4206703277</v>
      </c>
      <c r="F744" s="350">
        <v>4847828.84777808</v>
      </c>
      <c r="G744" s="350">
        <v>4818955.8457830362</v>
      </c>
      <c r="H744" s="348">
        <v>24335045.068491753</v>
      </c>
      <c r="I744" s="369"/>
      <c r="J744" s="350">
        <v>14731991.079876527</v>
      </c>
      <c r="K744" s="350">
        <v>14398118.358878536</v>
      </c>
      <c r="L744" s="350">
        <v>14055922.60617446</v>
      </c>
      <c r="M744" s="350">
        <v>13684189.065256394</v>
      </c>
      <c r="N744" s="350">
        <v>13265167.760638125</v>
      </c>
      <c r="O744" s="348">
        <v>70135388.870824039</v>
      </c>
      <c r="P744" s="369"/>
      <c r="Q744" s="350">
        <f t="shared" si="309"/>
        <v>9824405.4143137857</v>
      </c>
      <c r="R744" s="350">
        <f t="shared" si="310"/>
        <v>9508218.0701809656</v>
      </c>
      <c r="S744" s="350">
        <f t="shared" si="311"/>
        <v>9185148.185504131</v>
      </c>
      <c r="T744" s="350">
        <f t="shared" si="312"/>
        <v>8836360.2174783144</v>
      </c>
      <c r="U744" s="350">
        <f t="shared" si="313"/>
        <v>8446211.914855089</v>
      </c>
      <c r="V744" s="350">
        <f t="shared" si="314"/>
        <v>45800343.802332282</v>
      </c>
      <c r="W744" s="365"/>
      <c r="X744" s="377">
        <f t="shared" si="292"/>
        <v>0</v>
      </c>
      <c r="Y744" s="377">
        <f t="shared" si="293"/>
        <v>0</v>
      </c>
      <c r="Z744" s="377">
        <f t="shared" si="294"/>
        <v>0</v>
      </c>
      <c r="AA744" s="377">
        <f t="shared" si="295"/>
        <v>0</v>
      </c>
      <c r="AB744" s="377">
        <f t="shared" si="296"/>
        <v>0</v>
      </c>
      <c r="AC744" s="377">
        <f t="shared" si="297"/>
        <v>0</v>
      </c>
      <c r="AD744" s="376"/>
      <c r="AE744" s="332">
        <v>729</v>
      </c>
      <c r="AF744" s="350">
        <v>338646.24858591228</v>
      </c>
      <c r="AG744" s="350">
        <v>337425.87528254959</v>
      </c>
      <c r="AH744" s="350">
        <v>336106.101385616</v>
      </c>
      <c r="AI744" s="350">
        <v>334522.75007783534</v>
      </c>
      <c r="AJ744" s="350">
        <v>332530.37857841421</v>
      </c>
      <c r="AK744" s="348">
        <v>1679231.3539103274</v>
      </c>
      <c r="AL744" s="369"/>
      <c r="AM744" s="350">
        <v>10801628.645584406</v>
      </c>
      <c r="AN744" s="350">
        <v>10708065.442569075</v>
      </c>
      <c r="AO744" s="350">
        <v>10605311.486225264</v>
      </c>
      <c r="AP744" s="350">
        <v>10472927.55644327</v>
      </c>
      <c r="AQ744" s="350">
        <v>10293420.082910776</v>
      </c>
      <c r="AR744" s="348">
        <v>52881353.213732794</v>
      </c>
      <c r="AS744" s="369"/>
      <c r="AT744" s="350">
        <f t="shared" si="315"/>
        <v>10462982.396998495</v>
      </c>
      <c r="AU744" s="350">
        <f t="shared" si="298"/>
        <v>10370639.567286525</v>
      </c>
      <c r="AV744" s="350">
        <f t="shared" si="299"/>
        <v>10269205.384839648</v>
      </c>
      <c r="AW744" s="350">
        <f t="shared" si="300"/>
        <v>10138404.806365434</v>
      </c>
      <c r="AX744" s="350">
        <f t="shared" si="301"/>
        <v>9960889.7043323629</v>
      </c>
      <c r="AY744" s="350">
        <f t="shared" si="302"/>
        <v>51202121.859822467</v>
      </c>
      <c r="AZ744" s="365"/>
      <c r="BA744" s="377">
        <f t="shared" si="303"/>
        <v>0</v>
      </c>
      <c r="BB744" s="377">
        <f t="shared" si="304"/>
        <v>0</v>
      </c>
      <c r="BC744" s="377">
        <f t="shared" si="305"/>
        <v>0</v>
      </c>
      <c r="BD744" s="377">
        <f t="shared" si="306"/>
        <v>0</v>
      </c>
      <c r="BE744" s="377">
        <f t="shared" si="307"/>
        <v>0</v>
      </c>
      <c r="BF744" s="377">
        <f t="shared" si="308"/>
        <v>0</v>
      </c>
      <c r="BG744" s="328"/>
    </row>
    <row r="745" spans="2:59">
      <c r="B745" s="332">
        <v>730</v>
      </c>
      <c r="C745" s="350">
        <v>3986813.0448926082</v>
      </c>
      <c r="D745" s="350">
        <v>3972445.8395099966</v>
      </c>
      <c r="E745" s="350">
        <v>3956908.4112627483</v>
      </c>
      <c r="F745" s="350">
        <v>3938267.9400487095</v>
      </c>
      <c r="G745" s="350">
        <v>3914812.1577468738</v>
      </c>
      <c r="H745" s="348">
        <v>19769247.393460937</v>
      </c>
      <c r="I745" s="369"/>
      <c r="J745" s="350">
        <v>13150485.938819822</v>
      </c>
      <c r="K745" s="350">
        <v>12870732.159779344</v>
      </c>
      <c r="L745" s="350">
        <v>12583175.621521994</v>
      </c>
      <c r="M745" s="350">
        <v>12268288.722108986</v>
      </c>
      <c r="N745" s="350">
        <v>11909685.664574642</v>
      </c>
      <c r="O745" s="348">
        <v>62782368.106804788</v>
      </c>
      <c r="P745" s="369"/>
      <c r="Q745" s="350">
        <f t="shared" si="309"/>
        <v>9163672.8939272128</v>
      </c>
      <c r="R745" s="350">
        <f t="shared" si="310"/>
        <v>8898286.3202693462</v>
      </c>
      <c r="S745" s="350">
        <f t="shared" si="311"/>
        <v>8626267.2102592457</v>
      </c>
      <c r="T745" s="350">
        <f t="shared" si="312"/>
        <v>8330020.7820602767</v>
      </c>
      <c r="U745" s="350">
        <f t="shared" si="313"/>
        <v>7994873.5068277679</v>
      </c>
      <c r="V745" s="350">
        <f t="shared" si="314"/>
        <v>43013120.713343851</v>
      </c>
      <c r="W745" s="365"/>
      <c r="X745" s="377">
        <f t="shared" si="292"/>
        <v>0</v>
      </c>
      <c r="Y745" s="377">
        <f t="shared" si="293"/>
        <v>0</v>
      </c>
      <c r="Z745" s="377">
        <f t="shared" si="294"/>
        <v>0</v>
      </c>
      <c r="AA745" s="377">
        <f t="shared" si="295"/>
        <v>0</v>
      </c>
      <c r="AB745" s="377">
        <f t="shared" si="296"/>
        <v>0</v>
      </c>
      <c r="AC745" s="377">
        <f t="shared" si="297"/>
        <v>0</v>
      </c>
      <c r="AD745" s="376"/>
      <c r="AE745" s="332">
        <v>730</v>
      </c>
      <c r="AF745" s="350">
        <v>625031.09411780478</v>
      </c>
      <c r="AG745" s="350">
        <v>622778.68097512843</v>
      </c>
      <c r="AH745" s="350">
        <v>620342.80658929644</v>
      </c>
      <c r="AI745" s="350">
        <v>617420.4538261774</v>
      </c>
      <c r="AJ745" s="350">
        <v>613743.18250434112</v>
      </c>
      <c r="AK745" s="348">
        <v>3099316.2180127483</v>
      </c>
      <c r="AL745" s="369"/>
      <c r="AM745" s="350">
        <v>16431098.171378642</v>
      </c>
      <c r="AN745" s="350">
        <v>16283674.132820325</v>
      </c>
      <c r="AO745" s="350">
        <v>16122373.523345364</v>
      </c>
      <c r="AP745" s="350">
        <v>15916269.511383118</v>
      </c>
      <c r="AQ745" s="350">
        <v>15638902.433303233</v>
      </c>
      <c r="AR745" s="348">
        <v>80392317.772230685</v>
      </c>
      <c r="AS745" s="369"/>
      <c r="AT745" s="350">
        <f t="shared" si="315"/>
        <v>15806067.077260837</v>
      </c>
      <c r="AU745" s="350">
        <f t="shared" si="298"/>
        <v>15660895.451845197</v>
      </c>
      <c r="AV745" s="350">
        <f t="shared" si="299"/>
        <v>15502030.716756068</v>
      </c>
      <c r="AW745" s="350">
        <f t="shared" si="300"/>
        <v>15298849.05755694</v>
      </c>
      <c r="AX745" s="350">
        <f t="shared" si="301"/>
        <v>15025159.250798892</v>
      </c>
      <c r="AY745" s="350">
        <f t="shared" si="302"/>
        <v>77293001.554217935</v>
      </c>
      <c r="AZ745" s="365"/>
      <c r="BA745" s="377">
        <f t="shared" si="303"/>
        <v>0</v>
      </c>
      <c r="BB745" s="377">
        <f t="shared" si="304"/>
        <v>0</v>
      </c>
      <c r="BC745" s="377">
        <f t="shared" si="305"/>
        <v>0</v>
      </c>
      <c r="BD745" s="377">
        <f t="shared" si="306"/>
        <v>0</v>
      </c>
      <c r="BE745" s="377">
        <f t="shared" si="307"/>
        <v>0</v>
      </c>
      <c r="BF745" s="377">
        <f t="shared" si="308"/>
        <v>0</v>
      </c>
      <c r="BG745" s="328"/>
    </row>
    <row r="746" spans="2:59">
      <c r="B746" s="332">
        <v>731</v>
      </c>
      <c r="C746" s="350">
        <v>6308167.2812879477</v>
      </c>
      <c r="D746" s="350">
        <v>6285434.6540246159</v>
      </c>
      <c r="E746" s="350">
        <v>6260850.4321408682</v>
      </c>
      <c r="F746" s="350">
        <v>6231356.3953510541</v>
      </c>
      <c r="G746" s="350">
        <v>6194243.2935307883</v>
      </c>
      <c r="H746" s="348">
        <v>31280052.056335274</v>
      </c>
      <c r="I746" s="369"/>
      <c r="J746" s="350">
        <v>19451611.058188744</v>
      </c>
      <c r="K746" s="350">
        <v>19018740.490103237</v>
      </c>
      <c r="L746" s="350">
        <v>18574717.865756862</v>
      </c>
      <c r="M746" s="350">
        <v>18091274.764635362</v>
      </c>
      <c r="N746" s="350">
        <v>17544738.881444886</v>
      </c>
      <c r="O746" s="348">
        <v>92681083.060129091</v>
      </c>
      <c r="P746" s="369"/>
      <c r="Q746" s="350">
        <f t="shared" si="309"/>
        <v>13143443.776900796</v>
      </c>
      <c r="R746" s="350">
        <f t="shared" si="310"/>
        <v>12733305.836078621</v>
      </c>
      <c r="S746" s="350">
        <f t="shared" si="311"/>
        <v>12313867.433615994</v>
      </c>
      <c r="T746" s="350">
        <f t="shared" si="312"/>
        <v>11859918.369284308</v>
      </c>
      <c r="U746" s="350">
        <f t="shared" si="313"/>
        <v>11350495.587914098</v>
      </c>
      <c r="V746" s="350">
        <f t="shared" si="314"/>
        <v>61401031.003793821</v>
      </c>
      <c r="W746" s="365"/>
      <c r="X746" s="377">
        <f t="shared" si="292"/>
        <v>0</v>
      </c>
      <c r="Y746" s="377">
        <f t="shared" si="293"/>
        <v>0</v>
      </c>
      <c r="Z746" s="377">
        <f t="shared" si="294"/>
        <v>0</v>
      </c>
      <c r="AA746" s="377">
        <f t="shared" si="295"/>
        <v>0</v>
      </c>
      <c r="AB746" s="377">
        <f t="shared" si="296"/>
        <v>0</v>
      </c>
      <c r="AC746" s="377">
        <f t="shared" si="297"/>
        <v>0</v>
      </c>
      <c r="AD746" s="376"/>
      <c r="AE746" s="332">
        <v>731</v>
      </c>
      <c r="AF746" s="350">
        <v>376197.33980397246</v>
      </c>
      <c r="AG746" s="350">
        <v>374841.64431875775</v>
      </c>
      <c r="AH746" s="350">
        <v>373375.52611652634</v>
      </c>
      <c r="AI746" s="350">
        <v>371616.60348723555</v>
      </c>
      <c r="AJ746" s="350">
        <v>369403.30609766376</v>
      </c>
      <c r="AK746" s="348">
        <v>1865434.4198241557</v>
      </c>
      <c r="AL746" s="369"/>
      <c r="AM746" s="350">
        <v>9940108.927297838</v>
      </c>
      <c r="AN746" s="350">
        <v>9851012.7776634879</v>
      </c>
      <c r="AO746" s="350">
        <v>9753520.0797204133</v>
      </c>
      <c r="AP746" s="350">
        <v>9628918.551749533</v>
      </c>
      <c r="AQ746" s="350">
        <v>9461198.5954893138</v>
      </c>
      <c r="AR746" s="348">
        <v>48634758.931920588</v>
      </c>
      <c r="AS746" s="369"/>
      <c r="AT746" s="350">
        <f t="shared" si="315"/>
        <v>9563911.5874938648</v>
      </c>
      <c r="AU746" s="350">
        <f t="shared" si="298"/>
        <v>9476171.1333447304</v>
      </c>
      <c r="AV746" s="350">
        <f t="shared" si="299"/>
        <v>9380144.5536038876</v>
      </c>
      <c r="AW746" s="350">
        <f t="shared" si="300"/>
        <v>9257301.9482622966</v>
      </c>
      <c r="AX746" s="350">
        <f t="shared" si="301"/>
        <v>9091795.2893916499</v>
      </c>
      <c r="AY746" s="350">
        <f t="shared" si="302"/>
        <v>46769324.512096435</v>
      </c>
      <c r="AZ746" s="365"/>
      <c r="BA746" s="377">
        <f t="shared" si="303"/>
        <v>0</v>
      </c>
      <c r="BB746" s="377">
        <f t="shared" si="304"/>
        <v>0</v>
      </c>
      <c r="BC746" s="377">
        <f t="shared" si="305"/>
        <v>0</v>
      </c>
      <c r="BD746" s="377">
        <f t="shared" si="306"/>
        <v>0</v>
      </c>
      <c r="BE746" s="377">
        <f t="shared" si="307"/>
        <v>0</v>
      </c>
      <c r="BF746" s="377">
        <f t="shared" si="308"/>
        <v>0</v>
      </c>
      <c r="BG746" s="328"/>
    </row>
    <row r="747" spans="2:59">
      <c r="B747" s="332">
        <v>732</v>
      </c>
      <c r="C747" s="350">
        <v>4912032.459519539</v>
      </c>
      <c r="D747" s="350">
        <v>4894331.057824173</v>
      </c>
      <c r="E747" s="350">
        <v>4875187.8597287126</v>
      </c>
      <c r="F747" s="350">
        <v>4852221.4957098654</v>
      </c>
      <c r="G747" s="350">
        <v>4823322.33170777</v>
      </c>
      <c r="H747" s="348">
        <v>24357095.204490058</v>
      </c>
      <c r="I747" s="369"/>
      <c r="J747" s="350">
        <v>16340646.765546545</v>
      </c>
      <c r="K747" s="350">
        <v>15994973.563430492</v>
      </c>
      <c r="L747" s="350">
        <v>15639565.008375676</v>
      </c>
      <c r="M747" s="350">
        <v>15250093.480810959</v>
      </c>
      <c r="N747" s="350">
        <v>14806140.546513284</v>
      </c>
      <c r="O747" s="348">
        <v>78031419.364676967</v>
      </c>
      <c r="P747" s="369"/>
      <c r="Q747" s="350">
        <f t="shared" si="309"/>
        <v>11428614.306027006</v>
      </c>
      <c r="R747" s="350">
        <f t="shared" si="310"/>
        <v>11100642.50560632</v>
      </c>
      <c r="S747" s="350">
        <f t="shared" si="311"/>
        <v>10764377.148646964</v>
      </c>
      <c r="T747" s="350">
        <f t="shared" si="312"/>
        <v>10397871.985101093</v>
      </c>
      <c r="U747" s="350">
        <f t="shared" si="313"/>
        <v>9982818.2148055136</v>
      </c>
      <c r="V747" s="350">
        <f t="shared" si="314"/>
        <v>53674324.160186909</v>
      </c>
      <c r="W747" s="365"/>
      <c r="X747" s="377">
        <f t="shared" si="292"/>
        <v>0</v>
      </c>
      <c r="Y747" s="377">
        <f t="shared" si="293"/>
        <v>0</v>
      </c>
      <c r="Z747" s="377">
        <f t="shared" si="294"/>
        <v>0</v>
      </c>
      <c r="AA747" s="377">
        <f t="shared" si="295"/>
        <v>0</v>
      </c>
      <c r="AB747" s="377">
        <f t="shared" si="296"/>
        <v>0</v>
      </c>
      <c r="AC747" s="377">
        <f t="shared" si="297"/>
        <v>0</v>
      </c>
      <c r="AD747" s="376"/>
      <c r="AE747" s="332">
        <v>732</v>
      </c>
      <c r="AF747" s="350">
        <v>413626.27237074554</v>
      </c>
      <c r="AG747" s="350">
        <v>412135.69492458028</v>
      </c>
      <c r="AH747" s="350">
        <v>410523.70849437366</v>
      </c>
      <c r="AI747" s="350">
        <v>408589.78570023266</v>
      </c>
      <c r="AJ747" s="350">
        <v>406156.28112156247</v>
      </c>
      <c r="AK747" s="348">
        <v>2051031.7426114946</v>
      </c>
      <c r="AL747" s="369"/>
      <c r="AM747" s="350">
        <v>12176491.960522834</v>
      </c>
      <c r="AN747" s="350">
        <v>12069540.820806755</v>
      </c>
      <c r="AO747" s="350">
        <v>11952259.301350582</v>
      </c>
      <c r="AP747" s="350">
        <v>11801654.381928043</v>
      </c>
      <c r="AQ747" s="350">
        <v>11598049.660282312</v>
      </c>
      <c r="AR747" s="348">
        <v>59597996.124890521</v>
      </c>
      <c r="AS747" s="369"/>
      <c r="AT747" s="350">
        <f t="shared" si="315"/>
        <v>11762865.688152088</v>
      </c>
      <c r="AU747" s="350">
        <f t="shared" si="298"/>
        <v>11657405.125882175</v>
      </c>
      <c r="AV747" s="350">
        <f t="shared" si="299"/>
        <v>11541735.592856208</v>
      </c>
      <c r="AW747" s="350">
        <f t="shared" si="300"/>
        <v>11393064.596227812</v>
      </c>
      <c r="AX747" s="350">
        <f t="shared" si="301"/>
        <v>11191893.379160749</v>
      </c>
      <c r="AY747" s="350">
        <f t="shared" si="302"/>
        <v>57546964.382279024</v>
      </c>
      <c r="AZ747" s="365"/>
      <c r="BA747" s="377">
        <f t="shared" si="303"/>
        <v>0</v>
      </c>
      <c r="BB747" s="377">
        <f t="shared" si="304"/>
        <v>0</v>
      </c>
      <c r="BC747" s="377">
        <f t="shared" si="305"/>
        <v>0</v>
      </c>
      <c r="BD747" s="377">
        <f t="shared" si="306"/>
        <v>0</v>
      </c>
      <c r="BE747" s="377">
        <f t="shared" si="307"/>
        <v>0</v>
      </c>
      <c r="BF747" s="377">
        <f t="shared" si="308"/>
        <v>0</v>
      </c>
      <c r="BG747" s="328"/>
    </row>
    <row r="748" spans="2:59">
      <c r="B748" s="332">
        <v>733</v>
      </c>
      <c r="C748" s="350">
        <v>5057821.861343802</v>
      </c>
      <c r="D748" s="350">
        <v>5039595.0810427573</v>
      </c>
      <c r="E748" s="350">
        <v>5019883.711742742</v>
      </c>
      <c r="F748" s="350">
        <v>4996235.7047380274</v>
      </c>
      <c r="G748" s="350">
        <v>4966478.8119102772</v>
      </c>
      <c r="H748" s="348">
        <v>25080015.170777604</v>
      </c>
      <c r="I748" s="369"/>
      <c r="J748" s="350">
        <v>15551283.084105399</v>
      </c>
      <c r="K748" s="350">
        <v>15204535.02147859</v>
      </c>
      <c r="L748" s="350">
        <v>14848884.819073245</v>
      </c>
      <c r="M748" s="350">
        <v>14461754.058211351</v>
      </c>
      <c r="N748" s="350">
        <v>14024237.041440753</v>
      </c>
      <c r="O748" s="348">
        <v>74090694.024309337</v>
      </c>
      <c r="P748" s="369"/>
      <c r="Q748" s="350">
        <f t="shared" si="309"/>
        <v>10493461.222761597</v>
      </c>
      <c r="R748" s="350">
        <f t="shared" si="310"/>
        <v>10164939.940435832</v>
      </c>
      <c r="S748" s="350">
        <f t="shared" si="311"/>
        <v>9829001.1073305029</v>
      </c>
      <c r="T748" s="350">
        <f t="shared" si="312"/>
        <v>9465518.3534733243</v>
      </c>
      <c r="U748" s="350">
        <f t="shared" si="313"/>
        <v>9057758.229530476</v>
      </c>
      <c r="V748" s="350">
        <f t="shared" si="314"/>
        <v>49010678.853531733</v>
      </c>
      <c r="W748" s="365"/>
      <c r="X748" s="377">
        <f t="shared" si="292"/>
        <v>0</v>
      </c>
      <c r="Y748" s="377">
        <f t="shared" si="293"/>
        <v>0</v>
      </c>
      <c r="Z748" s="377">
        <f t="shared" si="294"/>
        <v>0</v>
      </c>
      <c r="AA748" s="377">
        <f t="shared" si="295"/>
        <v>0</v>
      </c>
      <c r="AB748" s="377">
        <f t="shared" si="296"/>
        <v>0</v>
      </c>
      <c r="AC748" s="377">
        <f t="shared" si="297"/>
        <v>0</v>
      </c>
      <c r="AD748" s="376"/>
      <c r="AE748" s="332">
        <v>733</v>
      </c>
      <c r="AF748" s="350">
        <v>707855.68196461617</v>
      </c>
      <c r="AG748" s="350">
        <v>705304.79536684521</v>
      </c>
      <c r="AH748" s="350">
        <v>702546.13657244248</v>
      </c>
      <c r="AI748" s="350">
        <v>699236.53481415147</v>
      </c>
      <c r="AJ748" s="350">
        <v>695071.97816443595</v>
      </c>
      <c r="AK748" s="348">
        <v>3510015.1268824912</v>
      </c>
      <c r="AL748" s="369"/>
      <c r="AM748" s="350">
        <v>22407166.859639261</v>
      </c>
      <c r="AN748" s="350">
        <v>22212828.365890168</v>
      </c>
      <c r="AO748" s="350">
        <v>21999429.42272627</v>
      </c>
      <c r="AP748" s="350">
        <v>21724578.434945848</v>
      </c>
      <c r="AQ748" s="350">
        <v>21351993.670183662</v>
      </c>
      <c r="AR748" s="348">
        <v>109695996.75338522</v>
      </c>
      <c r="AS748" s="369"/>
      <c r="AT748" s="350">
        <f t="shared" si="315"/>
        <v>21699311.177674644</v>
      </c>
      <c r="AU748" s="350">
        <f t="shared" si="298"/>
        <v>21507523.570523322</v>
      </c>
      <c r="AV748" s="350">
        <f t="shared" si="299"/>
        <v>21296883.286153827</v>
      </c>
      <c r="AW748" s="350">
        <f t="shared" si="300"/>
        <v>21025341.900131695</v>
      </c>
      <c r="AX748" s="350">
        <f t="shared" si="301"/>
        <v>20656921.692019228</v>
      </c>
      <c r="AY748" s="350">
        <f t="shared" si="302"/>
        <v>106185981.62650272</v>
      </c>
      <c r="AZ748" s="365"/>
      <c r="BA748" s="377">
        <f t="shared" si="303"/>
        <v>0</v>
      </c>
      <c r="BB748" s="377">
        <f t="shared" si="304"/>
        <v>0</v>
      </c>
      <c r="BC748" s="377">
        <f t="shared" si="305"/>
        <v>0</v>
      </c>
      <c r="BD748" s="377">
        <f t="shared" si="306"/>
        <v>0</v>
      </c>
      <c r="BE748" s="377">
        <f t="shared" si="307"/>
        <v>0</v>
      </c>
      <c r="BF748" s="377">
        <f t="shared" si="308"/>
        <v>0</v>
      </c>
      <c r="BG748" s="328"/>
    </row>
    <row r="749" spans="2:59">
      <c r="B749" s="332">
        <v>734</v>
      </c>
      <c r="C749" s="350">
        <v>5858980.4888612423</v>
      </c>
      <c r="D749" s="350">
        <v>5837866.5878409715</v>
      </c>
      <c r="E749" s="350">
        <v>5815032.9390285863</v>
      </c>
      <c r="F749" s="350">
        <v>5787639.0893756319</v>
      </c>
      <c r="G749" s="350">
        <v>5753168.7068144297</v>
      </c>
      <c r="H749" s="348">
        <v>29052687.811920866</v>
      </c>
      <c r="I749" s="369"/>
      <c r="J749" s="350">
        <v>20901097.19376798</v>
      </c>
      <c r="K749" s="350">
        <v>20478620.265613712</v>
      </c>
      <c r="L749" s="350">
        <v>20043289.340681888</v>
      </c>
      <c r="M749" s="350">
        <v>19563352.05710192</v>
      </c>
      <c r="N749" s="350">
        <v>19012108.942060154</v>
      </c>
      <c r="O749" s="348">
        <v>99998467.799225658</v>
      </c>
      <c r="P749" s="369"/>
      <c r="Q749" s="350">
        <f t="shared" si="309"/>
        <v>15042116.704906737</v>
      </c>
      <c r="R749" s="350">
        <f t="shared" si="310"/>
        <v>14640753.677772742</v>
      </c>
      <c r="S749" s="350">
        <f t="shared" si="311"/>
        <v>14228256.401653301</v>
      </c>
      <c r="T749" s="350">
        <f t="shared" si="312"/>
        <v>13775712.967726288</v>
      </c>
      <c r="U749" s="350">
        <f t="shared" si="313"/>
        <v>13258940.235245723</v>
      </c>
      <c r="V749" s="350">
        <f t="shared" si="314"/>
        <v>70945779.987304792</v>
      </c>
      <c r="W749" s="365"/>
      <c r="X749" s="377">
        <f t="shared" si="292"/>
        <v>0</v>
      </c>
      <c r="Y749" s="377">
        <f t="shared" si="293"/>
        <v>0</v>
      </c>
      <c r="Z749" s="377">
        <f t="shared" si="294"/>
        <v>0</v>
      </c>
      <c r="AA749" s="377">
        <f t="shared" si="295"/>
        <v>0</v>
      </c>
      <c r="AB749" s="377">
        <f t="shared" si="296"/>
        <v>0</v>
      </c>
      <c r="AC749" s="377">
        <f t="shared" si="297"/>
        <v>0</v>
      </c>
      <c r="AD749" s="376"/>
      <c r="AE749" s="332">
        <v>734</v>
      </c>
      <c r="AF749" s="350">
        <v>407204.0513147735</v>
      </c>
      <c r="AG749" s="350">
        <v>405736.61750937701</v>
      </c>
      <c r="AH749" s="350">
        <v>404149.65979200992</v>
      </c>
      <c r="AI749" s="350">
        <v>402245.76429671037</v>
      </c>
      <c r="AJ749" s="350">
        <v>399850.04383715655</v>
      </c>
      <c r="AK749" s="348">
        <v>2019186.1367500275</v>
      </c>
      <c r="AL749" s="369"/>
      <c r="AM749" s="350">
        <v>13414088.770086097</v>
      </c>
      <c r="AN749" s="350">
        <v>13298515.787726421</v>
      </c>
      <c r="AO749" s="350">
        <v>13171516.55029998</v>
      </c>
      <c r="AP749" s="350">
        <v>13007688.450231461</v>
      </c>
      <c r="AQ749" s="350">
        <v>12785288.617910938</v>
      </c>
      <c r="AR749" s="348">
        <v>65677098.176254898</v>
      </c>
      <c r="AS749" s="369"/>
      <c r="AT749" s="350">
        <f t="shared" si="315"/>
        <v>13006884.718771324</v>
      </c>
      <c r="AU749" s="350">
        <f t="shared" si="298"/>
        <v>12892779.170217045</v>
      </c>
      <c r="AV749" s="350">
        <f t="shared" si="299"/>
        <v>12767366.89050797</v>
      </c>
      <c r="AW749" s="350">
        <f t="shared" si="300"/>
        <v>12605442.68593475</v>
      </c>
      <c r="AX749" s="350">
        <f t="shared" si="301"/>
        <v>12385438.574073782</v>
      </c>
      <c r="AY749" s="350">
        <f t="shared" si="302"/>
        <v>63657912.039504871</v>
      </c>
      <c r="AZ749" s="365"/>
      <c r="BA749" s="377">
        <f t="shared" si="303"/>
        <v>0</v>
      </c>
      <c r="BB749" s="377">
        <f t="shared" si="304"/>
        <v>0</v>
      </c>
      <c r="BC749" s="377">
        <f t="shared" si="305"/>
        <v>0</v>
      </c>
      <c r="BD749" s="377">
        <f t="shared" si="306"/>
        <v>0</v>
      </c>
      <c r="BE749" s="377">
        <f t="shared" si="307"/>
        <v>0</v>
      </c>
      <c r="BF749" s="377">
        <f t="shared" si="308"/>
        <v>0</v>
      </c>
      <c r="BG749" s="328"/>
    </row>
    <row r="750" spans="2:59">
      <c r="B750" s="332">
        <v>735</v>
      </c>
      <c r="C750" s="350">
        <v>4814414.6628029617</v>
      </c>
      <c r="D750" s="350">
        <v>4797065.0445794137</v>
      </c>
      <c r="E750" s="350">
        <v>4778302.2830620054</v>
      </c>
      <c r="F750" s="350">
        <v>4755792.3341569826</v>
      </c>
      <c r="G750" s="350">
        <v>4727467.4889811743</v>
      </c>
      <c r="H750" s="348">
        <v>23873041.81358254</v>
      </c>
      <c r="I750" s="369"/>
      <c r="J750" s="350">
        <v>14733227.582800571</v>
      </c>
      <c r="K750" s="350">
        <v>14403668.741372928</v>
      </c>
      <c r="L750" s="350">
        <v>14065697.507811008</v>
      </c>
      <c r="M750" s="350">
        <v>13697957.11675646</v>
      </c>
      <c r="N750" s="350">
        <v>13282567.508987818</v>
      </c>
      <c r="O750" s="348">
        <v>70183118.457728788</v>
      </c>
      <c r="P750" s="369"/>
      <c r="Q750" s="350">
        <f t="shared" si="309"/>
        <v>9918812.9199976102</v>
      </c>
      <c r="R750" s="350">
        <f t="shared" si="310"/>
        <v>9606603.6967935152</v>
      </c>
      <c r="S750" s="350">
        <f t="shared" si="311"/>
        <v>9287395.2247490026</v>
      </c>
      <c r="T750" s="350">
        <f t="shared" si="312"/>
        <v>8942164.7825994771</v>
      </c>
      <c r="U750" s="350">
        <f t="shared" si="313"/>
        <v>8555100.0200066436</v>
      </c>
      <c r="V750" s="350">
        <f t="shared" si="314"/>
        <v>46310076.644146249</v>
      </c>
      <c r="W750" s="365"/>
      <c r="X750" s="377">
        <f t="shared" si="292"/>
        <v>0</v>
      </c>
      <c r="Y750" s="377">
        <f t="shared" si="293"/>
        <v>0</v>
      </c>
      <c r="Z750" s="377">
        <f t="shared" si="294"/>
        <v>0</v>
      </c>
      <c r="AA750" s="377">
        <f t="shared" si="295"/>
        <v>0</v>
      </c>
      <c r="AB750" s="377">
        <f t="shared" si="296"/>
        <v>0</v>
      </c>
      <c r="AC750" s="377">
        <f t="shared" si="297"/>
        <v>0</v>
      </c>
      <c r="AD750" s="376"/>
      <c r="AE750" s="332">
        <v>735</v>
      </c>
      <c r="AF750" s="350">
        <v>363767.3126764585</v>
      </c>
      <c r="AG750" s="350">
        <v>362456.41105306818</v>
      </c>
      <c r="AH750" s="350">
        <v>361038.73521631287</v>
      </c>
      <c r="AI750" s="350">
        <v>359337.92957426253</v>
      </c>
      <c r="AJ750" s="350">
        <v>357197.76227808249</v>
      </c>
      <c r="AK750" s="348">
        <v>1803798.1507981846</v>
      </c>
      <c r="AL750" s="369"/>
      <c r="AM750" s="350">
        <v>12437956.041014157</v>
      </c>
      <c r="AN750" s="350">
        <v>12331433.706793385</v>
      </c>
      <c r="AO750" s="350">
        <v>12214303.518242152</v>
      </c>
      <c r="AP750" s="350">
        <v>12062990.709963329</v>
      </c>
      <c r="AQ750" s="350">
        <v>11857315.654487584</v>
      </c>
      <c r="AR750" s="348">
        <v>60903999.6305006</v>
      </c>
      <c r="AS750" s="369"/>
      <c r="AT750" s="350">
        <f t="shared" si="315"/>
        <v>12074188.7283377</v>
      </c>
      <c r="AU750" s="350">
        <f t="shared" si="298"/>
        <v>11968977.295740316</v>
      </c>
      <c r="AV750" s="350">
        <f t="shared" si="299"/>
        <v>11853264.78302584</v>
      </c>
      <c r="AW750" s="350">
        <f t="shared" si="300"/>
        <v>11703652.780389067</v>
      </c>
      <c r="AX750" s="350">
        <f t="shared" si="301"/>
        <v>11500117.892209502</v>
      </c>
      <c r="AY750" s="350">
        <f t="shared" si="302"/>
        <v>59100201.479702413</v>
      </c>
      <c r="AZ750" s="365"/>
      <c r="BA750" s="377">
        <f t="shared" si="303"/>
        <v>0</v>
      </c>
      <c r="BB750" s="377">
        <f t="shared" si="304"/>
        <v>0</v>
      </c>
      <c r="BC750" s="377">
        <f t="shared" si="305"/>
        <v>0</v>
      </c>
      <c r="BD750" s="377">
        <f t="shared" si="306"/>
        <v>0</v>
      </c>
      <c r="BE750" s="377">
        <f t="shared" si="307"/>
        <v>0</v>
      </c>
      <c r="BF750" s="377">
        <f t="shared" si="308"/>
        <v>0</v>
      </c>
      <c r="BG750" s="328"/>
    </row>
    <row r="751" spans="2:59">
      <c r="B751" s="332">
        <v>736</v>
      </c>
      <c r="C751" s="350">
        <v>5737426.9193403954</v>
      </c>
      <c r="D751" s="350">
        <v>5716751.058699402</v>
      </c>
      <c r="E751" s="350">
        <v>5694391.1290816134</v>
      </c>
      <c r="F751" s="350">
        <v>5667565.6070096362</v>
      </c>
      <c r="G751" s="350">
        <v>5633810.3655981673</v>
      </c>
      <c r="H751" s="348">
        <v>28449945.079729218</v>
      </c>
      <c r="I751" s="369"/>
      <c r="J751" s="350">
        <v>18176163.644909315</v>
      </c>
      <c r="K751" s="350">
        <v>17778965.941413596</v>
      </c>
      <c r="L751" s="350">
        <v>17371198.574638162</v>
      </c>
      <c r="M751" s="350">
        <v>16926211.269233368</v>
      </c>
      <c r="N751" s="350">
        <v>16421668.02885785</v>
      </c>
      <c r="O751" s="348">
        <v>86674207.459052294</v>
      </c>
      <c r="P751" s="369"/>
      <c r="Q751" s="350">
        <f t="shared" si="309"/>
        <v>12438736.72556892</v>
      </c>
      <c r="R751" s="350">
        <f t="shared" si="310"/>
        <v>12062214.882714193</v>
      </c>
      <c r="S751" s="350">
        <f t="shared" si="311"/>
        <v>11676807.445556547</v>
      </c>
      <c r="T751" s="350">
        <f t="shared" si="312"/>
        <v>11258645.662223732</v>
      </c>
      <c r="U751" s="350">
        <f t="shared" si="313"/>
        <v>10787857.663259681</v>
      </c>
      <c r="V751" s="350">
        <f t="shared" si="314"/>
        <v>58224262.37932308</v>
      </c>
      <c r="W751" s="365"/>
      <c r="X751" s="377">
        <f t="shared" si="292"/>
        <v>0</v>
      </c>
      <c r="Y751" s="377">
        <f t="shared" si="293"/>
        <v>0</v>
      </c>
      <c r="Z751" s="377">
        <f t="shared" si="294"/>
        <v>0</v>
      </c>
      <c r="AA751" s="377">
        <f t="shared" si="295"/>
        <v>0</v>
      </c>
      <c r="AB751" s="377">
        <f t="shared" si="296"/>
        <v>0</v>
      </c>
      <c r="AC751" s="377">
        <f t="shared" si="297"/>
        <v>0</v>
      </c>
      <c r="AD751" s="376"/>
      <c r="AE751" s="332">
        <v>736</v>
      </c>
      <c r="AF751" s="350">
        <v>410925.25068078248</v>
      </c>
      <c r="AG751" s="350">
        <v>409444.40685716865</v>
      </c>
      <c r="AH751" s="350">
        <v>407842.94686254597</v>
      </c>
      <c r="AI751" s="350">
        <v>405921.65278123732</v>
      </c>
      <c r="AJ751" s="350">
        <v>403504.03923533915</v>
      </c>
      <c r="AK751" s="348">
        <v>2037638.2964170738</v>
      </c>
      <c r="AL751" s="369"/>
      <c r="AM751" s="350">
        <v>13316127.768428309</v>
      </c>
      <c r="AN751" s="350">
        <v>13201088.176664948</v>
      </c>
      <c r="AO751" s="350">
        <v>13074712.116889445</v>
      </c>
      <c r="AP751" s="350">
        <v>12911792.524780199</v>
      </c>
      <c r="AQ751" s="350">
        <v>12690754.515163032</v>
      </c>
      <c r="AR751" s="348">
        <v>65194475.101925939</v>
      </c>
      <c r="AS751" s="369"/>
      <c r="AT751" s="350">
        <f t="shared" si="315"/>
        <v>12905202.517747527</v>
      </c>
      <c r="AU751" s="350">
        <f t="shared" si="298"/>
        <v>12791643.76980778</v>
      </c>
      <c r="AV751" s="350">
        <f t="shared" si="299"/>
        <v>12666869.170026898</v>
      </c>
      <c r="AW751" s="350">
        <f t="shared" si="300"/>
        <v>12505870.871998962</v>
      </c>
      <c r="AX751" s="350">
        <f t="shared" si="301"/>
        <v>12287250.475927694</v>
      </c>
      <c r="AY751" s="350">
        <f t="shared" si="302"/>
        <v>63156836.805508867</v>
      </c>
      <c r="AZ751" s="365"/>
      <c r="BA751" s="377">
        <f t="shared" si="303"/>
        <v>0</v>
      </c>
      <c r="BB751" s="377">
        <f t="shared" si="304"/>
        <v>0</v>
      </c>
      <c r="BC751" s="377">
        <f t="shared" si="305"/>
        <v>0</v>
      </c>
      <c r="BD751" s="377">
        <f t="shared" si="306"/>
        <v>0</v>
      </c>
      <c r="BE751" s="377">
        <f t="shared" si="307"/>
        <v>0</v>
      </c>
      <c r="BF751" s="377">
        <f t="shared" si="308"/>
        <v>0</v>
      </c>
      <c r="BG751" s="328"/>
    </row>
    <row r="752" spans="2:59">
      <c r="B752" s="332">
        <v>737</v>
      </c>
      <c r="C752" s="350">
        <v>3298199.154618612</v>
      </c>
      <c r="D752" s="350">
        <v>3286313.4945403514</v>
      </c>
      <c r="E752" s="350">
        <v>3273459.7358782357</v>
      </c>
      <c r="F752" s="350">
        <v>3258038.9008133495</v>
      </c>
      <c r="G752" s="350">
        <v>3238634.4691312704</v>
      </c>
      <c r="H752" s="348">
        <v>16354645.754981818</v>
      </c>
      <c r="I752" s="369"/>
      <c r="J752" s="350">
        <v>10409396.020050827</v>
      </c>
      <c r="K752" s="350">
        <v>10181347.421612037</v>
      </c>
      <c r="L752" s="350">
        <v>9947257.3828479815</v>
      </c>
      <c r="M752" s="350">
        <v>9691882.0140300393</v>
      </c>
      <c r="N752" s="350">
        <v>9402446.6488812305</v>
      </c>
      <c r="O752" s="348">
        <v>49632329.487422109</v>
      </c>
      <c r="P752" s="369"/>
      <c r="Q752" s="350">
        <f t="shared" si="309"/>
        <v>7111196.8654322159</v>
      </c>
      <c r="R752" s="350">
        <f t="shared" si="310"/>
        <v>6895033.9270716859</v>
      </c>
      <c r="S752" s="350">
        <f t="shared" si="311"/>
        <v>6673797.6469697459</v>
      </c>
      <c r="T752" s="350">
        <f t="shared" si="312"/>
        <v>6433843.1132166898</v>
      </c>
      <c r="U752" s="350">
        <f t="shared" si="313"/>
        <v>6163812.1797499601</v>
      </c>
      <c r="V752" s="350">
        <f t="shared" si="314"/>
        <v>33277683.732440293</v>
      </c>
      <c r="W752" s="365"/>
      <c r="X752" s="377">
        <f t="shared" si="292"/>
        <v>0</v>
      </c>
      <c r="Y752" s="377">
        <f t="shared" si="293"/>
        <v>0</v>
      </c>
      <c r="Z752" s="377">
        <f t="shared" si="294"/>
        <v>0</v>
      </c>
      <c r="AA752" s="377">
        <f t="shared" si="295"/>
        <v>0</v>
      </c>
      <c r="AB752" s="377">
        <f t="shared" si="296"/>
        <v>0</v>
      </c>
      <c r="AC752" s="377">
        <f t="shared" si="297"/>
        <v>0</v>
      </c>
      <c r="AD752" s="376"/>
      <c r="AE752" s="332">
        <v>737</v>
      </c>
      <c r="AF752" s="350">
        <v>528761.22537103458</v>
      </c>
      <c r="AG752" s="350">
        <v>526855.73819676146</v>
      </c>
      <c r="AH752" s="350">
        <v>524795.04723718541</v>
      </c>
      <c r="AI752" s="350">
        <v>522322.80730778759</v>
      </c>
      <c r="AJ752" s="350">
        <v>519211.92449178908</v>
      </c>
      <c r="AK752" s="348">
        <v>2621946.7426045584</v>
      </c>
      <c r="AL752" s="369"/>
      <c r="AM752" s="350">
        <v>13442386.980206942</v>
      </c>
      <c r="AN752" s="350">
        <v>13320970.237026978</v>
      </c>
      <c r="AO752" s="350">
        <v>13188217.485304439</v>
      </c>
      <c r="AP752" s="350">
        <v>13018853.387138618</v>
      </c>
      <c r="AQ752" s="350">
        <v>12791255.057843043</v>
      </c>
      <c r="AR752" s="348">
        <v>65761683.147520021</v>
      </c>
      <c r="AS752" s="369"/>
      <c r="AT752" s="350">
        <f t="shared" si="315"/>
        <v>12913625.754835907</v>
      </c>
      <c r="AU752" s="350">
        <f t="shared" si="298"/>
        <v>12794114.498830216</v>
      </c>
      <c r="AV752" s="350">
        <f t="shared" si="299"/>
        <v>12663422.438067254</v>
      </c>
      <c r="AW752" s="350">
        <f t="shared" si="300"/>
        <v>12496530.579830831</v>
      </c>
      <c r="AX752" s="350">
        <f t="shared" si="301"/>
        <v>12272043.133351253</v>
      </c>
      <c r="AY752" s="350">
        <f t="shared" si="302"/>
        <v>63139736.404915459</v>
      </c>
      <c r="AZ752" s="365"/>
      <c r="BA752" s="377">
        <f t="shared" si="303"/>
        <v>0</v>
      </c>
      <c r="BB752" s="377">
        <f t="shared" si="304"/>
        <v>0</v>
      </c>
      <c r="BC752" s="377">
        <f t="shared" si="305"/>
        <v>0</v>
      </c>
      <c r="BD752" s="377">
        <f t="shared" si="306"/>
        <v>0</v>
      </c>
      <c r="BE752" s="377">
        <f t="shared" si="307"/>
        <v>0</v>
      </c>
      <c r="BF752" s="377">
        <f t="shared" si="308"/>
        <v>0</v>
      </c>
      <c r="BG752" s="328"/>
    </row>
    <row r="753" spans="2:59">
      <c r="B753" s="332">
        <v>738</v>
      </c>
      <c r="C753" s="350">
        <v>7269569.4332242832</v>
      </c>
      <c r="D753" s="350">
        <v>7243372.2185783423</v>
      </c>
      <c r="E753" s="350">
        <v>7215041.2152969567</v>
      </c>
      <c r="F753" s="350">
        <v>7181052.1121630492</v>
      </c>
      <c r="G753" s="350">
        <v>7138282.7532455958</v>
      </c>
      <c r="H753" s="348">
        <v>36047317.732508227</v>
      </c>
      <c r="I753" s="369"/>
      <c r="J753" s="350">
        <v>22658336.00728599</v>
      </c>
      <c r="K753" s="350">
        <v>22157747.886678543</v>
      </c>
      <c r="L753" s="350">
        <v>21644094.810282603</v>
      </c>
      <c r="M753" s="350">
        <v>21084330.436189897</v>
      </c>
      <c r="N753" s="350">
        <v>20450772.001486767</v>
      </c>
      <c r="O753" s="348">
        <v>107995281.1419238</v>
      </c>
      <c r="P753" s="369"/>
      <c r="Q753" s="350">
        <f t="shared" si="309"/>
        <v>15388766.574061707</v>
      </c>
      <c r="R753" s="350">
        <f t="shared" si="310"/>
        <v>14914375.668100201</v>
      </c>
      <c r="S753" s="350">
        <f t="shared" si="311"/>
        <v>14429053.594985645</v>
      </c>
      <c r="T753" s="350">
        <f t="shared" si="312"/>
        <v>13903278.324026849</v>
      </c>
      <c r="U753" s="350">
        <f t="shared" si="313"/>
        <v>13312489.248241171</v>
      </c>
      <c r="V753" s="350">
        <f t="shared" si="314"/>
        <v>71947963.409415573</v>
      </c>
      <c r="W753" s="365"/>
      <c r="X753" s="377">
        <f t="shared" si="292"/>
        <v>0</v>
      </c>
      <c r="Y753" s="377">
        <f t="shared" si="293"/>
        <v>0</v>
      </c>
      <c r="Z753" s="377">
        <f t="shared" si="294"/>
        <v>0</v>
      </c>
      <c r="AA753" s="377">
        <f t="shared" si="295"/>
        <v>0</v>
      </c>
      <c r="AB753" s="377">
        <f t="shared" si="296"/>
        <v>0</v>
      </c>
      <c r="AC753" s="377">
        <f t="shared" si="297"/>
        <v>0</v>
      </c>
      <c r="AD753" s="376"/>
      <c r="AE753" s="332">
        <v>738</v>
      </c>
      <c r="AF753" s="350">
        <v>566507.49166240497</v>
      </c>
      <c r="AG753" s="350">
        <v>564465.97895743139</v>
      </c>
      <c r="AH753" s="350">
        <v>562258.18305526092</v>
      </c>
      <c r="AI753" s="350">
        <v>559609.45925708895</v>
      </c>
      <c r="AJ753" s="350">
        <v>556276.50226934766</v>
      </c>
      <c r="AK753" s="348">
        <v>2809117.6152015338</v>
      </c>
      <c r="AL753" s="369"/>
      <c r="AM753" s="350">
        <v>14669763.428570176</v>
      </c>
      <c r="AN753" s="350">
        <v>14537749.249408854</v>
      </c>
      <c r="AO753" s="350">
        <v>14393354.032008432</v>
      </c>
      <c r="AP753" s="350">
        <v>14208978.854335545</v>
      </c>
      <c r="AQ753" s="350">
        <v>13961012.049533216</v>
      </c>
      <c r="AR753" s="348">
        <v>71770857.613856226</v>
      </c>
      <c r="AS753" s="369"/>
      <c r="AT753" s="350">
        <f t="shared" si="315"/>
        <v>14103255.93690777</v>
      </c>
      <c r="AU753" s="350">
        <f t="shared" si="298"/>
        <v>13973283.270451423</v>
      </c>
      <c r="AV753" s="350">
        <f t="shared" si="299"/>
        <v>13831095.848953171</v>
      </c>
      <c r="AW753" s="350">
        <f t="shared" si="300"/>
        <v>13649369.395078456</v>
      </c>
      <c r="AX753" s="350">
        <f t="shared" si="301"/>
        <v>13404735.547263868</v>
      </c>
      <c r="AY753" s="350">
        <f t="shared" si="302"/>
        <v>68961739.998654693</v>
      </c>
      <c r="AZ753" s="365"/>
      <c r="BA753" s="377">
        <f t="shared" si="303"/>
        <v>0</v>
      </c>
      <c r="BB753" s="377">
        <f t="shared" si="304"/>
        <v>0</v>
      </c>
      <c r="BC753" s="377">
        <f t="shared" si="305"/>
        <v>0</v>
      </c>
      <c r="BD753" s="377">
        <f t="shared" si="306"/>
        <v>0</v>
      </c>
      <c r="BE753" s="377">
        <f t="shared" si="307"/>
        <v>0</v>
      </c>
      <c r="BF753" s="377">
        <f t="shared" si="308"/>
        <v>0</v>
      </c>
      <c r="BG753" s="328"/>
    </row>
    <row r="754" spans="2:59">
      <c r="B754" s="332">
        <v>739</v>
      </c>
      <c r="C754" s="350">
        <v>5924487.2161753364</v>
      </c>
      <c r="D754" s="350">
        <v>5903137.2497578012</v>
      </c>
      <c r="E754" s="350">
        <v>5880048.3077917378</v>
      </c>
      <c r="F754" s="350">
        <v>5852348.1793514211</v>
      </c>
      <c r="G754" s="350">
        <v>5817492.3983484358</v>
      </c>
      <c r="H754" s="348">
        <v>29377513.351424731</v>
      </c>
      <c r="I754" s="369"/>
      <c r="J754" s="350">
        <v>17491259.282601275</v>
      </c>
      <c r="K754" s="350">
        <v>17090319.024732657</v>
      </c>
      <c r="L754" s="350">
        <v>16679589.433648121</v>
      </c>
      <c r="M754" s="350">
        <v>16234028.707896261</v>
      </c>
      <c r="N754" s="350">
        <v>15732696.623721745</v>
      </c>
      <c r="O754" s="348">
        <v>83227893.072600067</v>
      </c>
      <c r="P754" s="369"/>
      <c r="Q754" s="350">
        <f t="shared" si="309"/>
        <v>11566772.066425938</v>
      </c>
      <c r="R754" s="350">
        <f t="shared" si="310"/>
        <v>11187181.774974857</v>
      </c>
      <c r="S754" s="350">
        <f t="shared" si="311"/>
        <v>10799541.125856383</v>
      </c>
      <c r="T754" s="350">
        <f t="shared" si="312"/>
        <v>10381680.528544839</v>
      </c>
      <c r="U754" s="350">
        <f t="shared" si="313"/>
        <v>9915204.2253733091</v>
      </c>
      <c r="V754" s="350">
        <f t="shared" si="314"/>
        <v>53850379.721175335</v>
      </c>
      <c r="W754" s="365"/>
      <c r="X754" s="377">
        <f t="shared" si="292"/>
        <v>0</v>
      </c>
      <c r="Y754" s="377">
        <f t="shared" si="293"/>
        <v>0</v>
      </c>
      <c r="Z754" s="377">
        <f t="shared" si="294"/>
        <v>0</v>
      </c>
      <c r="AA754" s="377">
        <f t="shared" si="295"/>
        <v>0</v>
      </c>
      <c r="AB754" s="377">
        <f t="shared" si="296"/>
        <v>0</v>
      </c>
      <c r="AC754" s="377">
        <f t="shared" si="297"/>
        <v>0</v>
      </c>
      <c r="AD754" s="376"/>
      <c r="AE754" s="332">
        <v>739</v>
      </c>
      <c r="AF754" s="350">
        <v>348092.19234086946</v>
      </c>
      <c r="AG754" s="350">
        <v>346837.77886245167</v>
      </c>
      <c r="AH754" s="350">
        <v>345481.19218506728</v>
      </c>
      <c r="AI754" s="350">
        <v>343853.67606677988</v>
      </c>
      <c r="AJ754" s="350">
        <v>341805.730855259</v>
      </c>
      <c r="AK754" s="348">
        <v>1726070.5703104273</v>
      </c>
      <c r="AL754" s="369"/>
      <c r="AM754" s="350">
        <v>10160540.641855389</v>
      </c>
      <c r="AN754" s="350">
        <v>10071159.73609674</v>
      </c>
      <c r="AO754" s="350">
        <v>9973161.5492028333</v>
      </c>
      <c r="AP754" s="350">
        <v>9847364.2215360235</v>
      </c>
      <c r="AQ754" s="350">
        <v>9677353.042793911</v>
      </c>
      <c r="AR754" s="348">
        <v>49729579.191484898</v>
      </c>
      <c r="AS754" s="369"/>
      <c r="AT754" s="350">
        <f t="shared" si="315"/>
        <v>9812448.4495145194</v>
      </c>
      <c r="AU754" s="350">
        <f t="shared" si="298"/>
        <v>9724321.9572342876</v>
      </c>
      <c r="AV754" s="350">
        <f t="shared" si="299"/>
        <v>9627680.3570177667</v>
      </c>
      <c r="AW754" s="350">
        <f t="shared" si="300"/>
        <v>9503510.5454692431</v>
      </c>
      <c r="AX754" s="350">
        <f t="shared" si="301"/>
        <v>9335547.3119386528</v>
      </c>
      <c r="AY754" s="350">
        <f t="shared" si="302"/>
        <v>48003508.62117447</v>
      </c>
      <c r="AZ754" s="365"/>
      <c r="BA754" s="377">
        <f t="shared" si="303"/>
        <v>0</v>
      </c>
      <c r="BB754" s="377">
        <f t="shared" si="304"/>
        <v>0</v>
      </c>
      <c r="BC754" s="377">
        <f t="shared" si="305"/>
        <v>0</v>
      </c>
      <c r="BD754" s="377">
        <f t="shared" si="306"/>
        <v>0</v>
      </c>
      <c r="BE754" s="377">
        <f t="shared" si="307"/>
        <v>0</v>
      </c>
      <c r="BF754" s="377">
        <f t="shared" si="308"/>
        <v>0</v>
      </c>
      <c r="BG754" s="328"/>
    </row>
    <row r="755" spans="2:59">
      <c r="B755" s="332">
        <v>740</v>
      </c>
      <c r="C755" s="350">
        <v>3835143.6144257952</v>
      </c>
      <c r="D755" s="350">
        <v>3821322.9774007271</v>
      </c>
      <c r="E755" s="350">
        <v>3806376.6360358181</v>
      </c>
      <c r="F755" s="350">
        <v>3788445.3000686131</v>
      </c>
      <c r="G755" s="350">
        <v>3765881.8408084684</v>
      </c>
      <c r="H755" s="348">
        <v>19017170.368739422</v>
      </c>
      <c r="I755" s="369"/>
      <c r="J755" s="350">
        <v>15222569.189001974</v>
      </c>
      <c r="K755" s="350">
        <v>14934918.055969998</v>
      </c>
      <c r="L755" s="350">
        <v>14637495.855160248</v>
      </c>
      <c r="M755" s="350">
        <v>14306529.506184356</v>
      </c>
      <c r="N755" s="350">
        <v>13921979.731378492</v>
      </c>
      <c r="O755" s="348">
        <v>73023492.337695062</v>
      </c>
      <c r="P755" s="369"/>
      <c r="Q755" s="350">
        <f t="shared" si="309"/>
        <v>11387425.574576179</v>
      </c>
      <c r="R755" s="350">
        <f t="shared" si="310"/>
        <v>11113595.078569271</v>
      </c>
      <c r="S755" s="350">
        <f t="shared" si="311"/>
        <v>10831119.219124429</v>
      </c>
      <c r="T755" s="350">
        <f t="shared" si="312"/>
        <v>10518084.206115743</v>
      </c>
      <c r="U755" s="350">
        <f t="shared" si="313"/>
        <v>10156097.890570024</v>
      </c>
      <c r="V755" s="350">
        <f t="shared" si="314"/>
        <v>54006321.968955636</v>
      </c>
      <c r="W755" s="365"/>
      <c r="X755" s="377">
        <f t="shared" si="292"/>
        <v>0</v>
      </c>
      <c r="Y755" s="377">
        <f t="shared" si="293"/>
        <v>0</v>
      </c>
      <c r="Z755" s="377">
        <f t="shared" si="294"/>
        <v>0</v>
      </c>
      <c r="AA755" s="377">
        <f t="shared" si="295"/>
        <v>0</v>
      </c>
      <c r="AB755" s="377">
        <f t="shared" si="296"/>
        <v>0</v>
      </c>
      <c r="AC755" s="377">
        <f t="shared" si="297"/>
        <v>0</v>
      </c>
      <c r="AD755" s="376"/>
      <c r="AE755" s="332">
        <v>740</v>
      </c>
      <c r="AF755" s="350">
        <v>558001.25562176469</v>
      </c>
      <c r="AG755" s="350">
        <v>555990.39668431238</v>
      </c>
      <c r="AH755" s="350">
        <v>553815.75132886879</v>
      </c>
      <c r="AI755" s="350">
        <v>551206.79870789277</v>
      </c>
      <c r="AJ755" s="350">
        <v>547923.8868109372</v>
      </c>
      <c r="AK755" s="348">
        <v>2766938.0891537759</v>
      </c>
      <c r="AL755" s="369"/>
      <c r="AM755" s="350">
        <v>12416179.748804322</v>
      </c>
      <c r="AN755" s="350">
        <v>12300802.624403669</v>
      </c>
      <c r="AO755" s="350">
        <v>12175020.841366317</v>
      </c>
      <c r="AP755" s="350">
        <v>12015592.910765521</v>
      </c>
      <c r="AQ755" s="350">
        <v>11802642.310914561</v>
      </c>
      <c r="AR755" s="348">
        <v>60710238.43625439</v>
      </c>
      <c r="AS755" s="369"/>
      <c r="AT755" s="350">
        <f t="shared" si="315"/>
        <v>11858178.493182557</v>
      </c>
      <c r="AU755" s="350">
        <f t="shared" si="298"/>
        <v>11744812.227719355</v>
      </c>
      <c r="AV755" s="350">
        <f t="shared" si="299"/>
        <v>11621205.090037448</v>
      </c>
      <c r="AW755" s="350">
        <f t="shared" si="300"/>
        <v>11464386.112057628</v>
      </c>
      <c r="AX755" s="350">
        <f t="shared" si="301"/>
        <v>11254718.424103623</v>
      </c>
      <c r="AY755" s="350">
        <f t="shared" si="302"/>
        <v>57943300.347100616</v>
      </c>
      <c r="AZ755" s="365"/>
      <c r="BA755" s="377">
        <f t="shared" si="303"/>
        <v>0</v>
      </c>
      <c r="BB755" s="377">
        <f t="shared" si="304"/>
        <v>0</v>
      </c>
      <c r="BC755" s="377">
        <f t="shared" si="305"/>
        <v>0</v>
      </c>
      <c r="BD755" s="377">
        <f t="shared" si="306"/>
        <v>0</v>
      </c>
      <c r="BE755" s="377">
        <f t="shared" si="307"/>
        <v>0</v>
      </c>
      <c r="BF755" s="377">
        <f t="shared" si="308"/>
        <v>0</v>
      </c>
      <c r="BG755" s="328"/>
    </row>
    <row r="756" spans="2:59">
      <c r="B756" s="332">
        <v>741</v>
      </c>
      <c r="C756" s="350">
        <v>6782982.6177861057</v>
      </c>
      <c r="D756" s="350">
        <v>6758538.9071633406</v>
      </c>
      <c r="E756" s="350">
        <v>6732104.2325148266</v>
      </c>
      <c r="F756" s="350">
        <v>6700390.1815150827</v>
      </c>
      <c r="G756" s="350">
        <v>6660483.5789610101</v>
      </c>
      <c r="H756" s="348">
        <v>33634499.517940365</v>
      </c>
      <c r="I756" s="369"/>
      <c r="J756" s="350">
        <v>23939912.167267211</v>
      </c>
      <c r="K756" s="350">
        <v>23452663.098188512</v>
      </c>
      <c r="L756" s="350">
        <v>22950759.555977635</v>
      </c>
      <c r="M756" s="350">
        <v>22397940.828977518</v>
      </c>
      <c r="N756" s="350">
        <v>21763724.763752498</v>
      </c>
      <c r="O756" s="348">
        <v>114505000.41416338</v>
      </c>
      <c r="P756" s="369"/>
      <c r="Q756" s="350">
        <f t="shared" si="309"/>
        <v>17156929.549481105</v>
      </c>
      <c r="R756" s="350">
        <f t="shared" si="310"/>
        <v>16694124.191025171</v>
      </c>
      <c r="S756" s="350">
        <f t="shared" si="311"/>
        <v>16218655.323462809</v>
      </c>
      <c r="T756" s="350">
        <f t="shared" si="312"/>
        <v>15697550.647462435</v>
      </c>
      <c r="U756" s="350">
        <f t="shared" si="313"/>
        <v>15103241.184791487</v>
      </c>
      <c r="V756" s="350">
        <f t="shared" si="314"/>
        <v>80870500.896223009</v>
      </c>
      <c r="W756" s="365"/>
      <c r="X756" s="377">
        <f t="shared" si="292"/>
        <v>0</v>
      </c>
      <c r="Y756" s="377">
        <f t="shared" si="293"/>
        <v>0</v>
      </c>
      <c r="Z756" s="377">
        <f t="shared" si="294"/>
        <v>0</v>
      </c>
      <c r="AA756" s="377">
        <f t="shared" si="295"/>
        <v>0</v>
      </c>
      <c r="AB756" s="377">
        <f t="shared" si="296"/>
        <v>0</v>
      </c>
      <c r="AC756" s="377">
        <f t="shared" si="297"/>
        <v>0</v>
      </c>
      <c r="AD756" s="376"/>
      <c r="AE756" s="332">
        <v>741</v>
      </c>
      <c r="AF756" s="350">
        <v>253353.72578028083</v>
      </c>
      <c r="AG756" s="350">
        <v>252440.71958416671</v>
      </c>
      <c r="AH756" s="350">
        <v>251453.34814458375</v>
      </c>
      <c r="AI756" s="350">
        <v>250268.78474038129</v>
      </c>
      <c r="AJ756" s="350">
        <v>248778.21827279276</v>
      </c>
      <c r="AK756" s="348">
        <v>1256294.7965222052</v>
      </c>
      <c r="AL756" s="369"/>
      <c r="AM756" s="350">
        <v>7379146.6932901237</v>
      </c>
      <c r="AN756" s="350">
        <v>7314207.8207622422</v>
      </c>
      <c r="AO756" s="350">
        <v>7243011.122969361</v>
      </c>
      <c r="AP756" s="350">
        <v>7151626.4963259809</v>
      </c>
      <c r="AQ756" s="350">
        <v>7028133.4258056749</v>
      </c>
      <c r="AR756" s="348">
        <v>36116125.559153385</v>
      </c>
      <c r="AS756" s="369"/>
      <c r="AT756" s="350">
        <f t="shared" si="315"/>
        <v>7125792.9675098425</v>
      </c>
      <c r="AU756" s="350">
        <f t="shared" si="298"/>
        <v>7061767.1011780752</v>
      </c>
      <c r="AV756" s="350">
        <f t="shared" si="299"/>
        <v>6991557.7748247776</v>
      </c>
      <c r="AW756" s="350">
        <f t="shared" si="300"/>
        <v>6901357.7115855999</v>
      </c>
      <c r="AX756" s="350">
        <f t="shared" si="301"/>
        <v>6779355.2075328818</v>
      </c>
      <c r="AY756" s="350">
        <f t="shared" si="302"/>
        <v>34859830.762631178</v>
      </c>
      <c r="AZ756" s="365"/>
      <c r="BA756" s="377">
        <f t="shared" si="303"/>
        <v>0</v>
      </c>
      <c r="BB756" s="377">
        <f t="shared" si="304"/>
        <v>0</v>
      </c>
      <c r="BC756" s="377">
        <f t="shared" si="305"/>
        <v>0</v>
      </c>
      <c r="BD756" s="377">
        <f t="shared" si="306"/>
        <v>0</v>
      </c>
      <c r="BE756" s="377">
        <f t="shared" si="307"/>
        <v>0</v>
      </c>
      <c r="BF756" s="377">
        <f t="shared" si="308"/>
        <v>0</v>
      </c>
      <c r="BG756" s="328"/>
    </row>
    <row r="757" spans="2:59">
      <c r="B757" s="332">
        <v>742</v>
      </c>
      <c r="C757" s="350">
        <v>6161877.3030422814</v>
      </c>
      <c r="D757" s="350">
        <v>6139671.8583027357</v>
      </c>
      <c r="E757" s="350">
        <v>6115657.7584725404</v>
      </c>
      <c r="F757" s="350">
        <v>6086847.705129575</v>
      </c>
      <c r="G757" s="350">
        <v>6050595.2771969577</v>
      </c>
      <c r="H757" s="348">
        <v>30554649.902144089</v>
      </c>
      <c r="I757" s="369"/>
      <c r="J757" s="350">
        <v>19561498.225873966</v>
      </c>
      <c r="K757" s="350">
        <v>19134622.977416992</v>
      </c>
      <c r="L757" s="350">
        <v>18696360.312026616</v>
      </c>
      <c r="M757" s="350">
        <v>18218009.508024454</v>
      </c>
      <c r="N757" s="350">
        <v>17675514.540839005</v>
      </c>
      <c r="O757" s="348">
        <v>93286005.56418103</v>
      </c>
      <c r="P757" s="369"/>
      <c r="Q757" s="350">
        <f t="shared" si="309"/>
        <v>13399620.922831684</v>
      </c>
      <c r="R757" s="350">
        <f t="shared" si="310"/>
        <v>12994951.119114257</v>
      </c>
      <c r="S757" s="350">
        <f t="shared" si="311"/>
        <v>12580702.553554077</v>
      </c>
      <c r="T757" s="350">
        <f t="shared" si="312"/>
        <v>12131161.802894879</v>
      </c>
      <c r="U757" s="350">
        <f t="shared" si="313"/>
        <v>11624919.263642047</v>
      </c>
      <c r="V757" s="350">
        <f t="shared" si="314"/>
        <v>62731355.66203694</v>
      </c>
      <c r="W757" s="365"/>
      <c r="X757" s="377">
        <f t="shared" si="292"/>
        <v>0</v>
      </c>
      <c r="Y757" s="377">
        <f t="shared" si="293"/>
        <v>0</v>
      </c>
      <c r="Z757" s="377">
        <f t="shared" si="294"/>
        <v>0</v>
      </c>
      <c r="AA757" s="377">
        <f t="shared" si="295"/>
        <v>0</v>
      </c>
      <c r="AB757" s="377">
        <f t="shared" si="296"/>
        <v>0</v>
      </c>
      <c r="AC757" s="377">
        <f t="shared" si="297"/>
        <v>0</v>
      </c>
      <c r="AD757" s="376"/>
      <c r="AE757" s="332">
        <v>742</v>
      </c>
      <c r="AF757" s="350">
        <v>491813.52203098219</v>
      </c>
      <c r="AG757" s="350">
        <v>490041.18262068118</v>
      </c>
      <c r="AH757" s="350">
        <v>488124.48444006994</v>
      </c>
      <c r="AI757" s="350">
        <v>485824.9946729645</v>
      </c>
      <c r="AJ757" s="350">
        <v>482931.48781022435</v>
      </c>
      <c r="AK757" s="348">
        <v>2438735.6715749223</v>
      </c>
      <c r="AL757" s="369"/>
      <c r="AM757" s="350">
        <v>13731908.696197059</v>
      </c>
      <c r="AN757" s="350">
        <v>13610119.502175899</v>
      </c>
      <c r="AO757" s="350">
        <v>13476704.350622524</v>
      </c>
      <c r="AP757" s="350">
        <v>13305771.095450966</v>
      </c>
      <c r="AQ757" s="350">
        <v>13075164.719403984</v>
      </c>
      <c r="AR757" s="348">
        <v>67199668.36385043</v>
      </c>
      <c r="AS757" s="369"/>
      <c r="AT757" s="350">
        <f t="shared" si="315"/>
        <v>13240095.174166076</v>
      </c>
      <c r="AU757" s="350">
        <f t="shared" si="298"/>
        <v>13120078.319555217</v>
      </c>
      <c r="AV757" s="350">
        <f t="shared" si="299"/>
        <v>12988579.866182454</v>
      </c>
      <c r="AW757" s="350">
        <f t="shared" si="300"/>
        <v>12819946.100778</v>
      </c>
      <c r="AX757" s="350">
        <f t="shared" si="301"/>
        <v>12592233.23159376</v>
      </c>
      <c r="AY757" s="350">
        <f t="shared" si="302"/>
        <v>64760932.692275509</v>
      </c>
      <c r="AZ757" s="365"/>
      <c r="BA757" s="377">
        <f t="shared" si="303"/>
        <v>0</v>
      </c>
      <c r="BB757" s="377">
        <f t="shared" si="304"/>
        <v>0</v>
      </c>
      <c r="BC757" s="377">
        <f t="shared" si="305"/>
        <v>0</v>
      </c>
      <c r="BD757" s="377">
        <f t="shared" si="306"/>
        <v>0</v>
      </c>
      <c r="BE757" s="377">
        <f t="shared" si="307"/>
        <v>0</v>
      </c>
      <c r="BF757" s="377">
        <f t="shared" si="308"/>
        <v>0</v>
      </c>
      <c r="BG757" s="328"/>
    </row>
    <row r="758" spans="2:59">
      <c r="B758" s="332">
        <v>743</v>
      </c>
      <c r="C758" s="350">
        <v>4860246.9164730553</v>
      </c>
      <c r="D758" s="350">
        <v>4842732.1333937133</v>
      </c>
      <c r="E758" s="350">
        <v>4823790.7541822279</v>
      </c>
      <c r="F758" s="350">
        <v>4801066.5151172196</v>
      </c>
      <c r="G758" s="350">
        <v>4772472.0231452417</v>
      </c>
      <c r="H758" s="348">
        <v>24100308.342311457</v>
      </c>
      <c r="I758" s="369"/>
      <c r="J758" s="350">
        <v>18670984.620849859</v>
      </c>
      <c r="K758" s="350">
        <v>18310918.485301755</v>
      </c>
      <c r="L758" s="350">
        <v>17939015.908443376</v>
      </c>
      <c r="M758" s="350">
        <v>17526352.651371345</v>
      </c>
      <c r="N758" s="350">
        <v>17048564.674338523</v>
      </c>
      <c r="O758" s="348">
        <v>89495836.340304852</v>
      </c>
      <c r="P758" s="369"/>
      <c r="Q758" s="350">
        <f t="shared" si="309"/>
        <v>13810737.704376804</v>
      </c>
      <c r="R758" s="350">
        <f t="shared" si="310"/>
        <v>13468186.351908043</v>
      </c>
      <c r="S758" s="350">
        <f t="shared" si="311"/>
        <v>13115225.154261149</v>
      </c>
      <c r="T758" s="350">
        <f t="shared" si="312"/>
        <v>12725286.136254124</v>
      </c>
      <c r="U758" s="350">
        <f t="shared" si="313"/>
        <v>12276092.651193282</v>
      </c>
      <c r="V758" s="350">
        <f t="shared" si="314"/>
        <v>65395527.997993395</v>
      </c>
      <c r="W758" s="365"/>
      <c r="X758" s="377">
        <f t="shared" si="292"/>
        <v>0</v>
      </c>
      <c r="Y758" s="377">
        <f t="shared" si="293"/>
        <v>0</v>
      </c>
      <c r="Z758" s="377">
        <f t="shared" si="294"/>
        <v>0</v>
      </c>
      <c r="AA758" s="377">
        <f t="shared" si="295"/>
        <v>0</v>
      </c>
      <c r="AB758" s="377">
        <f t="shared" si="296"/>
        <v>0</v>
      </c>
      <c r="AC758" s="377">
        <f t="shared" si="297"/>
        <v>0</v>
      </c>
      <c r="AD758" s="376"/>
      <c r="AE758" s="332">
        <v>743</v>
      </c>
      <c r="AF758" s="350">
        <v>388252.98508455476</v>
      </c>
      <c r="AG758" s="350">
        <v>386853.84489054239</v>
      </c>
      <c r="AH758" s="350">
        <v>385340.74336568912</v>
      </c>
      <c r="AI758" s="350">
        <v>383525.45418339252</v>
      </c>
      <c r="AJ758" s="350">
        <v>381241.22931665392</v>
      </c>
      <c r="AK758" s="348">
        <v>1925214.2568408328</v>
      </c>
      <c r="AL758" s="369"/>
      <c r="AM758" s="350">
        <v>9719115.5929704756</v>
      </c>
      <c r="AN758" s="350">
        <v>9631052.8850693777</v>
      </c>
      <c r="AO758" s="350">
        <v>9534799.650693465</v>
      </c>
      <c r="AP758" s="350">
        <v>9412090.2259523347</v>
      </c>
      <c r="AQ758" s="350">
        <v>9247299.0044779181</v>
      </c>
      <c r="AR758" s="348">
        <v>47544357.359163567</v>
      </c>
      <c r="AS758" s="369"/>
      <c r="AT758" s="350">
        <f t="shared" si="315"/>
        <v>9330862.6078859214</v>
      </c>
      <c r="AU758" s="350">
        <f t="shared" si="298"/>
        <v>9244199.0401788354</v>
      </c>
      <c r="AV758" s="350">
        <f t="shared" si="299"/>
        <v>9149458.9073277768</v>
      </c>
      <c r="AW758" s="350">
        <f t="shared" si="300"/>
        <v>9028564.7717689425</v>
      </c>
      <c r="AX758" s="350">
        <f t="shared" si="301"/>
        <v>8866057.7751612645</v>
      </c>
      <c r="AY758" s="350">
        <f t="shared" si="302"/>
        <v>45619143.102322735</v>
      </c>
      <c r="AZ758" s="365"/>
      <c r="BA758" s="377">
        <f t="shared" si="303"/>
        <v>0</v>
      </c>
      <c r="BB758" s="377">
        <f t="shared" si="304"/>
        <v>0</v>
      </c>
      <c r="BC758" s="377">
        <f t="shared" si="305"/>
        <v>0</v>
      </c>
      <c r="BD758" s="377">
        <f t="shared" si="306"/>
        <v>0</v>
      </c>
      <c r="BE758" s="377">
        <f t="shared" si="307"/>
        <v>0</v>
      </c>
      <c r="BF758" s="377">
        <f t="shared" si="308"/>
        <v>0</v>
      </c>
      <c r="BG758" s="328"/>
    </row>
    <row r="759" spans="2:59">
      <c r="B759" s="332">
        <v>744</v>
      </c>
      <c r="C759" s="350">
        <v>4547774.8568098033</v>
      </c>
      <c r="D759" s="350">
        <v>4531386.1235870682</v>
      </c>
      <c r="E759" s="350">
        <v>4513662.5120891966</v>
      </c>
      <c r="F759" s="350">
        <v>4492399.2460790463</v>
      </c>
      <c r="G759" s="350">
        <v>4465643.1339167897</v>
      </c>
      <c r="H759" s="348">
        <v>22550865.872481905</v>
      </c>
      <c r="I759" s="369"/>
      <c r="J759" s="350">
        <v>15461013.380204767</v>
      </c>
      <c r="K759" s="350">
        <v>15138580.227294138</v>
      </c>
      <c r="L759" s="350">
        <v>14806841.197256912</v>
      </c>
      <c r="M759" s="350">
        <v>14442628.649600446</v>
      </c>
      <c r="N759" s="350">
        <v>14026486.105756484</v>
      </c>
      <c r="O759" s="348">
        <v>73875549.560112745</v>
      </c>
      <c r="P759" s="369"/>
      <c r="Q759" s="350">
        <f t="shared" si="309"/>
        <v>10913238.523394965</v>
      </c>
      <c r="R759" s="350">
        <f t="shared" si="310"/>
        <v>10607194.10370707</v>
      </c>
      <c r="S759" s="350">
        <f t="shared" si="311"/>
        <v>10293178.685167715</v>
      </c>
      <c r="T759" s="350">
        <f t="shared" si="312"/>
        <v>9950229.4035213999</v>
      </c>
      <c r="U759" s="350">
        <f t="shared" si="313"/>
        <v>9560842.9718396943</v>
      </c>
      <c r="V759" s="350">
        <f t="shared" si="314"/>
        <v>51324683.68763084</v>
      </c>
      <c r="W759" s="365"/>
      <c r="X759" s="377">
        <f t="shared" si="292"/>
        <v>0</v>
      </c>
      <c r="Y759" s="377">
        <f t="shared" si="293"/>
        <v>0</v>
      </c>
      <c r="Z759" s="377">
        <f t="shared" si="294"/>
        <v>0</v>
      </c>
      <c r="AA759" s="377">
        <f t="shared" si="295"/>
        <v>0</v>
      </c>
      <c r="AB759" s="377">
        <f t="shared" si="296"/>
        <v>0</v>
      </c>
      <c r="AC759" s="377">
        <f t="shared" si="297"/>
        <v>0</v>
      </c>
      <c r="AD759" s="376"/>
      <c r="AE759" s="332">
        <v>744</v>
      </c>
      <c r="AF759" s="350">
        <v>488690.09414867649</v>
      </c>
      <c r="AG759" s="350">
        <v>486929.0105784107</v>
      </c>
      <c r="AH759" s="350">
        <v>485024.48503696255</v>
      </c>
      <c r="AI759" s="350">
        <v>482739.5989562787</v>
      </c>
      <c r="AJ759" s="350">
        <v>479864.46828615613</v>
      </c>
      <c r="AK759" s="348">
        <v>2423247.6570064845</v>
      </c>
      <c r="AL759" s="369"/>
      <c r="AM759" s="350">
        <v>14271692.843410965</v>
      </c>
      <c r="AN759" s="350">
        <v>14146158.14439095</v>
      </c>
      <c r="AO759" s="350">
        <v>14008519.210844491</v>
      </c>
      <c r="AP759" s="350">
        <v>13831832.459887996</v>
      </c>
      <c r="AQ759" s="350">
        <v>13593041.131073093</v>
      </c>
      <c r="AR759" s="348">
        <v>69851243.789607495</v>
      </c>
      <c r="AS759" s="369"/>
      <c r="AT759" s="350">
        <f t="shared" si="315"/>
        <v>13783002.749262288</v>
      </c>
      <c r="AU759" s="350">
        <f t="shared" si="298"/>
        <v>13659229.133812539</v>
      </c>
      <c r="AV759" s="350">
        <f t="shared" si="299"/>
        <v>13523494.725807529</v>
      </c>
      <c r="AW759" s="350">
        <f t="shared" si="300"/>
        <v>13349092.860931717</v>
      </c>
      <c r="AX759" s="350">
        <f t="shared" si="301"/>
        <v>13113176.662786936</v>
      </c>
      <c r="AY759" s="350">
        <f t="shared" si="302"/>
        <v>67427996.132601008</v>
      </c>
      <c r="AZ759" s="365"/>
      <c r="BA759" s="377">
        <f t="shared" si="303"/>
        <v>0</v>
      </c>
      <c r="BB759" s="377">
        <f t="shared" si="304"/>
        <v>0</v>
      </c>
      <c r="BC759" s="377">
        <f t="shared" si="305"/>
        <v>0</v>
      </c>
      <c r="BD759" s="377">
        <f t="shared" si="306"/>
        <v>0</v>
      </c>
      <c r="BE759" s="377">
        <f t="shared" si="307"/>
        <v>0</v>
      </c>
      <c r="BF759" s="377">
        <f t="shared" si="308"/>
        <v>0</v>
      </c>
      <c r="BG759" s="328"/>
    </row>
    <row r="760" spans="2:59">
      <c r="B760" s="332">
        <v>745</v>
      </c>
      <c r="C760" s="350">
        <v>5662522.47698275</v>
      </c>
      <c r="D760" s="350">
        <v>5642116.5481131515</v>
      </c>
      <c r="E760" s="350">
        <v>5620048.5364723075</v>
      </c>
      <c r="F760" s="350">
        <v>5593573.2325033257</v>
      </c>
      <c r="G760" s="350">
        <v>5560258.6794997631</v>
      </c>
      <c r="H760" s="348">
        <v>28078519.473571297</v>
      </c>
      <c r="I760" s="369"/>
      <c r="J760" s="350">
        <v>20202740.310480595</v>
      </c>
      <c r="K760" s="350">
        <v>19794411.622670382</v>
      </c>
      <c r="L760" s="350">
        <v>19373657.763057031</v>
      </c>
      <c r="M760" s="350">
        <v>18909786.252415597</v>
      </c>
      <c r="N760" s="350">
        <v>18376988.757587761</v>
      </c>
      <c r="O760" s="348">
        <v>96657584.706211358</v>
      </c>
      <c r="P760" s="369"/>
      <c r="Q760" s="350">
        <f t="shared" si="309"/>
        <v>14540217.833497845</v>
      </c>
      <c r="R760" s="350">
        <f t="shared" si="310"/>
        <v>14152295.07455723</v>
      </c>
      <c r="S760" s="350">
        <f t="shared" si="311"/>
        <v>13753609.226584723</v>
      </c>
      <c r="T760" s="350">
        <f t="shared" si="312"/>
        <v>13316213.019912273</v>
      </c>
      <c r="U760" s="350">
        <f t="shared" si="313"/>
        <v>12816730.078087997</v>
      </c>
      <c r="V760" s="350">
        <f t="shared" si="314"/>
        <v>68579065.232640058</v>
      </c>
      <c r="W760" s="365"/>
      <c r="X760" s="377">
        <f t="shared" si="292"/>
        <v>0</v>
      </c>
      <c r="Y760" s="377">
        <f t="shared" si="293"/>
        <v>0</v>
      </c>
      <c r="Z760" s="377">
        <f t="shared" si="294"/>
        <v>0</v>
      </c>
      <c r="AA760" s="377">
        <f t="shared" si="295"/>
        <v>0</v>
      </c>
      <c r="AB760" s="377">
        <f t="shared" si="296"/>
        <v>0</v>
      </c>
      <c r="AC760" s="377">
        <f t="shared" si="297"/>
        <v>0</v>
      </c>
      <c r="AD760" s="376"/>
      <c r="AE760" s="332">
        <v>745</v>
      </c>
      <c r="AF760" s="350">
        <v>377695.17926599819</v>
      </c>
      <c r="AG760" s="350">
        <v>376334.08604406018</v>
      </c>
      <c r="AH760" s="350">
        <v>374862.13045419496</v>
      </c>
      <c r="AI760" s="350">
        <v>373096.20462885243</v>
      </c>
      <c r="AJ760" s="350">
        <v>370874.09493834013</v>
      </c>
      <c r="AK760" s="348">
        <v>1872861.6953314459</v>
      </c>
      <c r="AL760" s="369"/>
      <c r="AM760" s="350">
        <v>11830370.88414409</v>
      </c>
      <c r="AN760" s="350">
        <v>11727581.435266636</v>
      </c>
      <c r="AO760" s="350">
        <v>11614732.348885458</v>
      </c>
      <c r="AP760" s="350">
        <v>11469447.966798507</v>
      </c>
      <c r="AQ760" s="350">
        <v>11272577.978022784</v>
      </c>
      <c r="AR760" s="348">
        <v>57914710.613117479</v>
      </c>
      <c r="AS760" s="369"/>
      <c r="AT760" s="350">
        <f t="shared" si="315"/>
        <v>11452675.704878092</v>
      </c>
      <c r="AU760" s="350">
        <f t="shared" si="298"/>
        <v>11351247.349222576</v>
      </c>
      <c r="AV760" s="350">
        <f t="shared" si="299"/>
        <v>11239870.218431262</v>
      </c>
      <c r="AW760" s="350">
        <f t="shared" si="300"/>
        <v>11096351.762169654</v>
      </c>
      <c r="AX760" s="350">
        <f t="shared" si="301"/>
        <v>10901703.883084444</v>
      </c>
      <c r="AY760" s="350">
        <f t="shared" si="302"/>
        <v>56041848.917786032</v>
      </c>
      <c r="AZ760" s="365"/>
      <c r="BA760" s="377">
        <f t="shared" si="303"/>
        <v>0</v>
      </c>
      <c r="BB760" s="377">
        <f t="shared" si="304"/>
        <v>0</v>
      </c>
      <c r="BC760" s="377">
        <f t="shared" si="305"/>
        <v>0</v>
      </c>
      <c r="BD760" s="377">
        <f t="shared" si="306"/>
        <v>0</v>
      </c>
      <c r="BE760" s="377">
        <f t="shared" si="307"/>
        <v>0</v>
      </c>
      <c r="BF760" s="377">
        <f t="shared" si="308"/>
        <v>0</v>
      </c>
      <c r="BG760" s="328"/>
    </row>
    <row r="761" spans="2:59">
      <c r="B761" s="332">
        <v>746</v>
      </c>
      <c r="C761" s="350">
        <v>5521751.1252592299</v>
      </c>
      <c r="D761" s="350">
        <v>5501852.4915397745</v>
      </c>
      <c r="E761" s="350">
        <v>5480333.0947328964</v>
      </c>
      <c r="F761" s="350">
        <v>5454515.9716969095</v>
      </c>
      <c r="G761" s="350">
        <v>5422029.6246170225</v>
      </c>
      <c r="H761" s="348">
        <v>27380482.307845831</v>
      </c>
      <c r="I761" s="369"/>
      <c r="J761" s="350">
        <v>17882289.770359308</v>
      </c>
      <c r="K761" s="350">
        <v>17497216.685479045</v>
      </c>
      <c r="L761" s="350">
        <v>17101628.379412346</v>
      </c>
      <c r="M761" s="350">
        <v>16669121.284010351</v>
      </c>
      <c r="N761" s="350">
        <v>16177551.63706544</v>
      </c>
      <c r="O761" s="348">
        <v>85327807.756326497</v>
      </c>
      <c r="P761" s="369"/>
      <c r="Q761" s="350">
        <f t="shared" si="309"/>
        <v>12360538.645100078</v>
      </c>
      <c r="R761" s="350">
        <f t="shared" si="310"/>
        <v>11995364.19393927</v>
      </c>
      <c r="S761" s="350">
        <f t="shared" si="311"/>
        <v>11621295.28467945</v>
      </c>
      <c r="T761" s="350">
        <f t="shared" si="312"/>
        <v>11214605.312313441</v>
      </c>
      <c r="U761" s="350">
        <f t="shared" si="313"/>
        <v>10755522.012448419</v>
      </c>
      <c r="V761" s="350">
        <f t="shared" si="314"/>
        <v>57947325.448480666</v>
      </c>
      <c r="W761" s="365"/>
      <c r="X761" s="377">
        <f t="shared" si="292"/>
        <v>0</v>
      </c>
      <c r="Y761" s="377">
        <f t="shared" si="293"/>
        <v>0</v>
      </c>
      <c r="Z761" s="377">
        <f t="shared" si="294"/>
        <v>0</v>
      </c>
      <c r="AA761" s="377">
        <f t="shared" si="295"/>
        <v>0</v>
      </c>
      <c r="AB761" s="377">
        <f t="shared" si="296"/>
        <v>0</v>
      </c>
      <c r="AC761" s="377">
        <f t="shared" si="297"/>
        <v>0</v>
      </c>
      <c r="AD761" s="376"/>
      <c r="AE761" s="332">
        <v>746</v>
      </c>
      <c r="AF761" s="350">
        <v>502631.77762651286</v>
      </c>
      <c r="AG761" s="350">
        <v>500820.45266603137</v>
      </c>
      <c r="AH761" s="350">
        <v>498861.59352422535</v>
      </c>
      <c r="AI761" s="350">
        <v>496511.52265894867</v>
      </c>
      <c r="AJ761" s="350">
        <v>493554.36830502271</v>
      </c>
      <c r="AK761" s="348">
        <v>2492379.7147807409</v>
      </c>
      <c r="AL761" s="369"/>
      <c r="AM761" s="350">
        <v>15724070.359638875</v>
      </c>
      <c r="AN761" s="350">
        <v>15587421.005156852</v>
      </c>
      <c r="AO761" s="350">
        <v>15437401.704408361</v>
      </c>
      <c r="AP761" s="350">
        <v>15244273.295639742</v>
      </c>
      <c r="AQ761" s="350">
        <v>14982583.436613949</v>
      </c>
      <c r="AR761" s="348">
        <v>76975749.801457778</v>
      </c>
      <c r="AS761" s="369"/>
      <c r="AT761" s="350">
        <f t="shared" si="315"/>
        <v>15221438.582012363</v>
      </c>
      <c r="AU761" s="350">
        <f t="shared" si="298"/>
        <v>15086600.552490821</v>
      </c>
      <c r="AV761" s="350">
        <f t="shared" si="299"/>
        <v>14938540.110884136</v>
      </c>
      <c r="AW761" s="350">
        <f t="shared" si="300"/>
        <v>14747761.772980794</v>
      </c>
      <c r="AX761" s="350">
        <f t="shared" si="301"/>
        <v>14489029.068308927</v>
      </c>
      <c r="AY761" s="350">
        <f t="shared" si="302"/>
        <v>74483370.08667703</v>
      </c>
      <c r="AZ761" s="365"/>
      <c r="BA761" s="377">
        <f t="shared" si="303"/>
        <v>0</v>
      </c>
      <c r="BB761" s="377">
        <f t="shared" si="304"/>
        <v>0</v>
      </c>
      <c r="BC761" s="377">
        <f t="shared" si="305"/>
        <v>0</v>
      </c>
      <c r="BD761" s="377">
        <f t="shared" si="306"/>
        <v>0</v>
      </c>
      <c r="BE761" s="377">
        <f t="shared" si="307"/>
        <v>0</v>
      </c>
      <c r="BF761" s="377">
        <f t="shared" si="308"/>
        <v>0</v>
      </c>
      <c r="BG761" s="328"/>
    </row>
    <row r="762" spans="2:59">
      <c r="B762" s="332">
        <v>747</v>
      </c>
      <c r="C762" s="350">
        <v>6402149.7958478993</v>
      </c>
      <c r="D762" s="350">
        <v>6379078.4855126869</v>
      </c>
      <c r="E762" s="350">
        <v>6354127.9944911525</v>
      </c>
      <c r="F762" s="350">
        <v>6324194.539464877</v>
      </c>
      <c r="G762" s="350">
        <v>6286528.5064243944</v>
      </c>
      <c r="H762" s="348">
        <v>31746079.321741007</v>
      </c>
      <c r="I762" s="369"/>
      <c r="J762" s="350">
        <v>19084068.319110211</v>
      </c>
      <c r="K762" s="350">
        <v>18649486.32248576</v>
      </c>
      <c r="L762" s="350">
        <v>18204164.957207363</v>
      </c>
      <c r="M762" s="350">
        <v>17720689.373493295</v>
      </c>
      <c r="N762" s="350">
        <v>17176127.489792712</v>
      </c>
      <c r="O762" s="348">
        <v>90834536.46208936</v>
      </c>
      <c r="P762" s="369"/>
      <c r="Q762" s="350">
        <f t="shared" si="309"/>
        <v>12681918.523262311</v>
      </c>
      <c r="R762" s="350">
        <f t="shared" si="310"/>
        <v>12270407.836973073</v>
      </c>
      <c r="S762" s="350">
        <f t="shared" si="311"/>
        <v>11850036.962716211</v>
      </c>
      <c r="T762" s="350">
        <f t="shared" si="312"/>
        <v>11396494.834028419</v>
      </c>
      <c r="U762" s="350">
        <f t="shared" si="313"/>
        <v>10889598.983368319</v>
      </c>
      <c r="V762" s="350">
        <f t="shared" si="314"/>
        <v>59088457.140348352</v>
      </c>
      <c r="W762" s="365"/>
      <c r="X762" s="377">
        <f t="shared" si="292"/>
        <v>0</v>
      </c>
      <c r="Y762" s="377">
        <f t="shared" si="293"/>
        <v>0</v>
      </c>
      <c r="Z762" s="377">
        <f t="shared" si="294"/>
        <v>0</v>
      </c>
      <c r="AA762" s="377">
        <f t="shared" si="295"/>
        <v>0</v>
      </c>
      <c r="AB762" s="377">
        <f t="shared" si="296"/>
        <v>0</v>
      </c>
      <c r="AC762" s="377">
        <f t="shared" si="297"/>
        <v>0</v>
      </c>
      <c r="AD762" s="376"/>
      <c r="AE762" s="332">
        <v>747</v>
      </c>
      <c r="AF762" s="350">
        <v>605527.90162971104</v>
      </c>
      <c r="AG762" s="350">
        <v>603345.7717857341</v>
      </c>
      <c r="AH762" s="350">
        <v>600985.90534170019</v>
      </c>
      <c r="AI762" s="350">
        <v>598154.74037546618</v>
      </c>
      <c r="AJ762" s="350">
        <v>594592.2129937245</v>
      </c>
      <c r="AK762" s="348">
        <v>3002606.5321263364</v>
      </c>
      <c r="AL762" s="369"/>
      <c r="AM762" s="350">
        <v>18934849.032297283</v>
      </c>
      <c r="AN762" s="350">
        <v>18770284.427531675</v>
      </c>
      <c r="AO762" s="350">
        <v>18589620.045941491</v>
      </c>
      <c r="AP762" s="350">
        <v>18357044.524951156</v>
      </c>
      <c r="AQ762" s="350">
        <v>18041908.636724729</v>
      </c>
      <c r="AR762" s="348">
        <v>92693706.66744633</v>
      </c>
      <c r="AS762" s="369"/>
      <c r="AT762" s="350">
        <f t="shared" si="315"/>
        <v>18329321.130667571</v>
      </c>
      <c r="AU762" s="350">
        <f t="shared" si="298"/>
        <v>18166938.655745942</v>
      </c>
      <c r="AV762" s="350">
        <f t="shared" si="299"/>
        <v>17988634.140599791</v>
      </c>
      <c r="AW762" s="350">
        <f t="shared" si="300"/>
        <v>17758889.78457569</v>
      </c>
      <c r="AX762" s="350">
        <f t="shared" si="301"/>
        <v>17447316.423731003</v>
      </c>
      <c r="AY762" s="350">
        <f t="shared" si="302"/>
        <v>89691100.135319993</v>
      </c>
      <c r="AZ762" s="365"/>
      <c r="BA762" s="377">
        <f t="shared" si="303"/>
        <v>0</v>
      </c>
      <c r="BB762" s="377">
        <f t="shared" si="304"/>
        <v>0</v>
      </c>
      <c r="BC762" s="377">
        <f t="shared" si="305"/>
        <v>0</v>
      </c>
      <c r="BD762" s="377">
        <f t="shared" si="306"/>
        <v>0</v>
      </c>
      <c r="BE762" s="377">
        <f t="shared" si="307"/>
        <v>0</v>
      </c>
      <c r="BF762" s="377">
        <f t="shared" si="308"/>
        <v>0</v>
      </c>
      <c r="BG762" s="328"/>
    </row>
    <row r="763" spans="2:59">
      <c r="B763" s="332">
        <v>748</v>
      </c>
      <c r="C763" s="350">
        <v>4761824.2400253005</v>
      </c>
      <c r="D763" s="350">
        <v>4744664.1409481727</v>
      </c>
      <c r="E763" s="350">
        <v>4726106.3350961562</v>
      </c>
      <c r="F763" s="350">
        <v>4703842.2743857577</v>
      </c>
      <c r="G763" s="350">
        <v>4675826.836622322</v>
      </c>
      <c r="H763" s="348">
        <v>23612263.827077709</v>
      </c>
      <c r="I763" s="369"/>
      <c r="J763" s="350">
        <v>18236053.859130785</v>
      </c>
      <c r="K763" s="350">
        <v>17883688.877493821</v>
      </c>
      <c r="L763" s="350">
        <v>17519777.194481485</v>
      </c>
      <c r="M763" s="350">
        <v>17116090.514339395</v>
      </c>
      <c r="N763" s="350">
        <v>16648852.673800116</v>
      </c>
      <c r="O763" s="348">
        <v>87404463.119245589</v>
      </c>
      <c r="P763" s="369"/>
      <c r="Q763" s="350">
        <f t="shared" si="309"/>
        <v>13474229.619105484</v>
      </c>
      <c r="R763" s="350">
        <f t="shared" si="310"/>
        <v>13139024.736545648</v>
      </c>
      <c r="S763" s="350">
        <f t="shared" si="311"/>
        <v>12793670.859385328</v>
      </c>
      <c r="T763" s="350">
        <f t="shared" si="312"/>
        <v>12412248.239953637</v>
      </c>
      <c r="U763" s="350">
        <f t="shared" si="313"/>
        <v>11973025.837177794</v>
      </c>
      <c r="V763" s="350">
        <f t="shared" si="314"/>
        <v>63792199.29216788</v>
      </c>
      <c r="W763" s="365"/>
      <c r="X763" s="377">
        <f t="shared" si="292"/>
        <v>0</v>
      </c>
      <c r="Y763" s="377">
        <f t="shared" si="293"/>
        <v>0</v>
      </c>
      <c r="Z763" s="377">
        <f t="shared" si="294"/>
        <v>0</v>
      </c>
      <c r="AA763" s="377">
        <f t="shared" si="295"/>
        <v>0</v>
      </c>
      <c r="AB763" s="377">
        <f t="shared" si="296"/>
        <v>0</v>
      </c>
      <c r="AC763" s="377">
        <f t="shared" si="297"/>
        <v>0</v>
      </c>
      <c r="AD763" s="376"/>
      <c r="AE763" s="332">
        <v>748</v>
      </c>
      <c r="AF763" s="350">
        <v>445492.23941651976</v>
      </c>
      <c r="AG763" s="350">
        <v>443886.8271666888</v>
      </c>
      <c r="AH763" s="350">
        <v>442150.65252626821</v>
      </c>
      <c r="AI763" s="350">
        <v>440067.73938953131</v>
      </c>
      <c r="AJ763" s="350">
        <v>437446.75644720404</v>
      </c>
      <c r="AK763" s="348">
        <v>2209044.2149462122</v>
      </c>
      <c r="AL763" s="369"/>
      <c r="AM763" s="350">
        <v>14760618.717210097</v>
      </c>
      <c r="AN763" s="350">
        <v>14633564.373116082</v>
      </c>
      <c r="AO763" s="350">
        <v>14493934.33466832</v>
      </c>
      <c r="AP763" s="350">
        <v>14313772.158159947</v>
      </c>
      <c r="AQ763" s="350">
        <v>14069148.830518739</v>
      </c>
      <c r="AR763" s="348">
        <v>72271038.413673192</v>
      </c>
      <c r="AS763" s="369"/>
      <c r="AT763" s="350">
        <f t="shared" si="315"/>
        <v>14315126.477793578</v>
      </c>
      <c r="AU763" s="350">
        <f t="shared" si="298"/>
        <v>14189677.545949392</v>
      </c>
      <c r="AV763" s="350">
        <f t="shared" si="299"/>
        <v>14051783.682142051</v>
      </c>
      <c r="AW763" s="350">
        <f t="shared" si="300"/>
        <v>13873704.418770416</v>
      </c>
      <c r="AX763" s="350">
        <f t="shared" si="301"/>
        <v>13631702.074071536</v>
      </c>
      <c r="AY763" s="350">
        <f t="shared" si="302"/>
        <v>70061994.198726982</v>
      </c>
      <c r="AZ763" s="365"/>
      <c r="BA763" s="377">
        <f t="shared" si="303"/>
        <v>0</v>
      </c>
      <c r="BB763" s="377">
        <f t="shared" si="304"/>
        <v>0</v>
      </c>
      <c r="BC763" s="377">
        <f t="shared" si="305"/>
        <v>0</v>
      </c>
      <c r="BD763" s="377">
        <f t="shared" si="306"/>
        <v>0</v>
      </c>
      <c r="BE763" s="377">
        <f t="shared" si="307"/>
        <v>0</v>
      </c>
      <c r="BF763" s="377">
        <f t="shared" si="308"/>
        <v>0</v>
      </c>
      <c r="BG763" s="328"/>
    </row>
    <row r="764" spans="2:59">
      <c r="B764" s="332">
        <v>749</v>
      </c>
      <c r="C764" s="350">
        <v>5352092.6826661285</v>
      </c>
      <c r="D764" s="350">
        <v>5332805.4439787902</v>
      </c>
      <c r="E764" s="350">
        <v>5311947.2409245772</v>
      </c>
      <c r="F764" s="350">
        <v>5286923.3613338592</v>
      </c>
      <c r="G764" s="350">
        <v>5255435.1727957251</v>
      </c>
      <c r="H764" s="348">
        <v>26539203.901699077</v>
      </c>
      <c r="I764" s="369"/>
      <c r="J764" s="350">
        <v>18727777.678152923</v>
      </c>
      <c r="K764" s="350">
        <v>18344482.38169571</v>
      </c>
      <c r="L764" s="350">
        <v>17949766.61568699</v>
      </c>
      <c r="M764" s="350">
        <v>17515333.007958084</v>
      </c>
      <c r="N764" s="350">
        <v>17017398.947888244</v>
      </c>
      <c r="O764" s="348">
        <v>89554758.631381944</v>
      </c>
      <c r="P764" s="369"/>
      <c r="Q764" s="350">
        <f t="shared" si="309"/>
        <v>13375684.995486794</v>
      </c>
      <c r="R764" s="350">
        <f t="shared" si="310"/>
        <v>13011676.93771692</v>
      </c>
      <c r="S764" s="350">
        <f t="shared" si="311"/>
        <v>12637819.374762412</v>
      </c>
      <c r="T764" s="350">
        <f t="shared" si="312"/>
        <v>12228409.646624226</v>
      </c>
      <c r="U764" s="350">
        <f t="shared" si="313"/>
        <v>11761963.77509252</v>
      </c>
      <c r="V764" s="350">
        <f t="shared" si="314"/>
        <v>63015554.729682863</v>
      </c>
      <c r="W764" s="365"/>
      <c r="X764" s="377">
        <f t="shared" si="292"/>
        <v>0</v>
      </c>
      <c r="Y764" s="377">
        <f t="shared" si="293"/>
        <v>0</v>
      </c>
      <c r="Z764" s="377">
        <f t="shared" si="294"/>
        <v>0</v>
      </c>
      <c r="AA764" s="377">
        <f t="shared" si="295"/>
        <v>0</v>
      </c>
      <c r="AB764" s="377">
        <f t="shared" si="296"/>
        <v>0</v>
      </c>
      <c r="AC764" s="377">
        <f t="shared" si="297"/>
        <v>0</v>
      </c>
      <c r="AD764" s="376"/>
      <c r="AE764" s="332">
        <v>749</v>
      </c>
      <c r="AF764" s="350">
        <v>579909.68656018877</v>
      </c>
      <c r="AG764" s="350">
        <v>577819.87661014625</v>
      </c>
      <c r="AH764" s="350">
        <v>575559.84960527904</v>
      </c>
      <c r="AI764" s="350">
        <v>572848.46341853158</v>
      </c>
      <c r="AJ764" s="350">
        <v>569436.65674249304</v>
      </c>
      <c r="AK764" s="348">
        <v>2875574.5329366387</v>
      </c>
      <c r="AL764" s="369"/>
      <c r="AM764" s="350">
        <v>17161422.814959392</v>
      </c>
      <c r="AN764" s="350">
        <v>17010828.528417267</v>
      </c>
      <c r="AO764" s="350">
        <v>16845671.82017557</v>
      </c>
      <c r="AP764" s="350">
        <v>16633541.991838656</v>
      </c>
      <c r="AQ764" s="350">
        <v>16346703.131637134</v>
      </c>
      <c r="AR764" s="348">
        <v>83998168.287028015</v>
      </c>
      <c r="AS764" s="369"/>
      <c r="AT764" s="350">
        <f t="shared" si="315"/>
        <v>16581513.128399203</v>
      </c>
      <c r="AU764" s="350">
        <f t="shared" si="298"/>
        <v>16433008.65180712</v>
      </c>
      <c r="AV764" s="350">
        <f t="shared" si="299"/>
        <v>16270111.97057029</v>
      </c>
      <c r="AW764" s="350">
        <f t="shared" si="300"/>
        <v>16060693.528420124</v>
      </c>
      <c r="AX764" s="350">
        <f t="shared" si="301"/>
        <v>15777266.474894641</v>
      </c>
      <c r="AY764" s="350">
        <f t="shared" si="302"/>
        <v>81122593.754091382</v>
      </c>
      <c r="AZ764" s="365"/>
      <c r="BA764" s="377">
        <f t="shared" si="303"/>
        <v>0</v>
      </c>
      <c r="BB764" s="377">
        <f t="shared" si="304"/>
        <v>0</v>
      </c>
      <c r="BC764" s="377">
        <f t="shared" si="305"/>
        <v>0</v>
      </c>
      <c r="BD764" s="377">
        <f t="shared" si="306"/>
        <v>0</v>
      </c>
      <c r="BE764" s="377">
        <f t="shared" si="307"/>
        <v>0</v>
      </c>
      <c r="BF764" s="377">
        <f t="shared" si="308"/>
        <v>0</v>
      </c>
      <c r="BG764" s="328"/>
    </row>
    <row r="765" spans="2:59">
      <c r="B765" s="332">
        <v>750</v>
      </c>
      <c r="C765" s="350">
        <v>5679079.6016891198</v>
      </c>
      <c r="D765" s="350">
        <v>5658614.0062115015</v>
      </c>
      <c r="E765" s="350">
        <v>5636481.4680593284</v>
      </c>
      <c r="F765" s="350">
        <v>5609928.7507270919</v>
      </c>
      <c r="G765" s="350">
        <v>5576516.7865060279</v>
      </c>
      <c r="H765" s="348">
        <v>28160620.613193069</v>
      </c>
      <c r="I765" s="369"/>
      <c r="J765" s="350">
        <v>17846245.336573873</v>
      </c>
      <c r="K765" s="350">
        <v>17454132.574966218</v>
      </c>
      <c r="L765" s="350">
        <v>17051685.387174953</v>
      </c>
      <c r="M765" s="350">
        <v>16612805.849921919</v>
      </c>
      <c r="N765" s="350">
        <v>16115626.316706017</v>
      </c>
      <c r="O765" s="348">
        <v>85080495.465342984</v>
      </c>
      <c r="P765" s="369"/>
      <c r="Q765" s="350">
        <f t="shared" si="309"/>
        <v>12167165.734884754</v>
      </c>
      <c r="R765" s="350">
        <f t="shared" si="310"/>
        <v>11795518.568754718</v>
      </c>
      <c r="S765" s="350">
        <f t="shared" si="311"/>
        <v>11415203.919115625</v>
      </c>
      <c r="T765" s="350">
        <f t="shared" si="312"/>
        <v>11002877.099194828</v>
      </c>
      <c r="U765" s="350">
        <f t="shared" si="313"/>
        <v>10539109.53019999</v>
      </c>
      <c r="V765" s="350">
        <f t="shared" si="314"/>
        <v>56919874.852149919</v>
      </c>
      <c r="W765" s="365"/>
      <c r="X765" s="377">
        <f t="shared" si="292"/>
        <v>0</v>
      </c>
      <c r="Y765" s="377">
        <f t="shared" si="293"/>
        <v>0</v>
      </c>
      <c r="Z765" s="377">
        <f t="shared" si="294"/>
        <v>0</v>
      </c>
      <c r="AA765" s="377">
        <f t="shared" si="295"/>
        <v>0</v>
      </c>
      <c r="AB765" s="377">
        <f t="shared" si="296"/>
        <v>0</v>
      </c>
      <c r="AC765" s="377">
        <f t="shared" si="297"/>
        <v>0</v>
      </c>
      <c r="AD765" s="376"/>
      <c r="AE765" s="332">
        <v>750</v>
      </c>
      <c r="AF765" s="350">
        <v>398308.26849140471</v>
      </c>
      <c r="AG765" s="350">
        <v>396872.89225615846</v>
      </c>
      <c r="AH765" s="350">
        <v>395320.60322923772</v>
      </c>
      <c r="AI765" s="350">
        <v>393458.30024950841</v>
      </c>
      <c r="AJ765" s="350">
        <v>391114.91671746032</v>
      </c>
      <c r="AK765" s="348">
        <v>1975074.9809437697</v>
      </c>
      <c r="AL765" s="369"/>
      <c r="AM765" s="350">
        <v>13170400.82947538</v>
      </c>
      <c r="AN765" s="350">
        <v>13056996.926251858</v>
      </c>
      <c r="AO765" s="350">
        <v>12932372.92429238</v>
      </c>
      <c r="AP765" s="350">
        <v>12771585.449105732</v>
      </c>
      <c r="AQ765" s="350">
        <v>12553284.565559354</v>
      </c>
      <c r="AR765" s="348">
        <v>64484640.694684699</v>
      </c>
      <c r="AS765" s="369"/>
      <c r="AT765" s="350">
        <f t="shared" si="315"/>
        <v>12772092.560983976</v>
      </c>
      <c r="AU765" s="350">
        <f t="shared" si="298"/>
        <v>12660124.033995699</v>
      </c>
      <c r="AV765" s="350">
        <f t="shared" si="299"/>
        <v>12537052.321063142</v>
      </c>
      <c r="AW765" s="350">
        <f t="shared" si="300"/>
        <v>12378127.148856224</v>
      </c>
      <c r="AX765" s="350">
        <f t="shared" si="301"/>
        <v>12162169.648841893</v>
      </c>
      <c r="AY765" s="350">
        <f t="shared" si="302"/>
        <v>62509565.71374093</v>
      </c>
      <c r="AZ765" s="365"/>
      <c r="BA765" s="377">
        <f t="shared" si="303"/>
        <v>0</v>
      </c>
      <c r="BB765" s="377">
        <f t="shared" si="304"/>
        <v>0</v>
      </c>
      <c r="BC765" s="377">
        <f t="shared" si="305"/>
        <v>0</v>
      </c>
      <c r="BD765" s="377">
        <f t="shared" si="306"/>
        <v>0</v>
      </c>
      <c r="BE765" s="377">
        <f t="shared" si="307"/>
        <v>0</v>
      </c>
      <c r="BF765" s="377">
        <f t="shared" si="308"/>
        <v>0</v>
      </c>
      <c r="BG765" s="328"/>
    </row>
    <row r="766" spans="2:59">
      <c r="B766" s="332">
        <v>751</v>
      </c>
      <c r="C766" s="350">
        <v>8817823.6509829126</v>
      </c>
      <c r="D766" s="350">
        <v>8786047.0208789185</v>
      </c>
      <c r="E766" s="350">
        <v>8751682.1533189602</v>
      </c>
      <c r="F766" s="350">
        <v>8710454.1383391339</v>
      </c>
      <c r="G766" s="350">
        <v>8658575.871261023</v>
      </c>
      <c r="H766" s="348">
        <v>43724582.834780946</v>
      </c>
      <c r="I766" s="369"/>
      <c r="J766" s="350">
        <v>27043417.956705935</v>
      </c>
      <c r="K766" s="350">
        <v>26439391.661143281</v>
      </c>
      <c r="L766" s="350">
        <v>25819905.876672797</v>
      </c>
      <c r="M766" s="350">
        <v>25145730.616231725</v>
      </c>
      <c r="N766" s="350">
        <v>24384019.913329232</v>
      </c>
      <c r="O766" s="348">
        <v>128832466.02408296</v>
      </c>
      <c r="P766" s="369"/>
      <c r="Q766" s="350">
        <f t="shared" si="309"/>
        <v>18225594.305723023</v>
      </c>
      <c r="R766" s="350">
        <f t="shared" si="310"/>
        <v>17653344.640264362</v>
      </c>
      <c r="S766" s="350">
        <f t="shared" si="311"/>
        <v>17068223.723353837</v>
      </c>
      <c r="T766" s="350">
        <f t="shared" si="312"/>
        <v>16435276.477892591</v>
      </c>
      <c r="U766" s="350">
        <f t="shared" si="313"/>
        <v>15725444.042068209</v>
      </c>
      <c r="V766" s="350">
        <f t="shared" si="314"/>
        <v>85107883.189302012</v>
      </c>
      <c r="W766" s="365"/>
      <c r="X766" s="377">
        <f t="shared" si="292"/>
        <v>0</v>
      </c>
      <c r="Y766" s="377">
        <f t="shared" si="293"/>
        <v>0</v>
      </c>
      <c r="Z766" s="377">
        <f t="shared" si="294"/>
        <v>0</v>
      </c>
      <c r="AA766" s="377">
        <f t="shared" si="295"/>
        <v>0</v>
      </c>
      <c r="AB766" s="377">
        <f t="shared" si="296"/>
        <v>0</v>
      </c>
      <c r="AC766" s="377">
        <f t="shared" si="297"/>
        <v>0</v>
      </c>
      <c r="AD766" s="376"/>
      <c r="AE766" s="332">
        <v>751</v>
      </c>
      <c r="AF766" s="350">
        <v>352371.72890462406</v>
      </c>
      <c r="AG766" s="350">
        <v>351101.89333842293</v>
      </c>
      <c r="AH766" s="350">
        <v>349728.62842919218</v>
      </c>
      <c r="AI766" s="350">
        <v>348081.10320156661</v>
      </c>
      <c r="AJ766" s="350">
        <v>346007.98001534224</v>
      </c>
      <c r="AK766" s="348">
        <v>1747291.3338891477</v>
      </c>
      <c r="AL766" s="369"/>
      <c r="AM766" s="350">
        <v>12678972.570989594</v>
      </c>
      <c r="AN766" s="350">
        <v>12571241.85616255</v>
      </c>
      <c r="AO766" s="350">
        <v>12452680.258694725</v>
      </c>
      <c r="AP766" s="350">
        <v>12299228.555176856</v>
      </c>
      <c r="AQ766" s="350">
        <v>12090290.742456499</v>
      </c>
      <c r="AR766" s="348">
        <v>62092413.983480215</v>
      </c>
      <c r="AS766" s="369"/>
      <c r="AT766" s="350">
        <f t="shared" si="315"/>
        <v>12326600.84208497</v>
      </c>
      <c r="AU766" s="350">
        <f t="shared" si="298"/>
        <v>12220139.962824127</v>
      </c>
      <c r="AV766" s="350">
        <f t="shared" si="299"/>
        <v>12102951.630265532</v>
      </c>
      <c r="AW766" s="350">
        <f t="shared" si="300"/>
        <v>11951147.45197529</v>
      </c>
      <c r="AX766" s="350">
        <f t="shared" si="301"/>
        <v>11744282.762441156</v>
      </c>
      <c r="AY766" s="350">
        <f t="shared" si="302"/>
        <v>60345122.649591066</v>
      </c>
      <c r="AZ766" s="365"/>
      <c r="BA766" s="377">
        <f t="shared" si="303"/>
        <v>0</v>
      </c>
      <c r="BB766" s="377">
        <f t="shared" si="304"/>
        <v>0</v>
      </c>
      <c r="BC766" s="377">
        <f t="shared" si="305"/>
        <v>0</v>
      </c>
      <c r="BD766" s="377">
        <f t="shared" si="306"/>
        <v>0</v>
      </c>
      <c r="BE766" s="377">
        <f t="shared" si="307"/>
        <v>0</v>
      </c>
      <c r="BF766" s="377">
        <f t="shared" si="308"/>
        <v>0</v>
      </c>
      <c r="BG766" s="328"/>
    </row>
    <row r="767" spans="2:59">
      <c r="B767" s="332">
        <v>752</v>
      </c>
      <c r="C767" s="350">
        <v>5978268.4308866207</v>
      </c>
      <c r="D767" s="350">
        <v>5956724.6540875128</v>
      </c>
      <c r="E767" s="350">
        <v>5933426.1156956293</v>
      </c>
      <c r="F767" s="350">
        <v>5905474.531475123</v>
      </c>
      <c r="G767" s="350">
        <v>5870302.3372242637</v>
      </c>
      <c r="H767" s="348">
        <v>29644196.069369148</v>
      </c>
      <c r="I767" s="369"/>
      <c r="J767" s="350">
        <v>20422143.670164846</v>
      </c>
      <c r="K767" s="350">
        <v>19997584.212825648</v>
      </c>
      <c r="L767" s="350">
        <v>19560705.526068196</v>
      </c>
      <c r="M767" s="350">
        <v>19080862.786640413</v>
      </c>
      <c r="N767" s="350">
        <v>18532316.750935595</v>
      </c>
      <c r="O767" s="348">
        <v>97593612.946634695</v>
      </c>
      <c r="P767" s="369"/>
      <c r="Q767" s="350">
        <f t="shared" si="309"/>
        <v>14443875.239278225</v>
      </c>
      <c r="R767" s="350">
        <f t="shared" si="310"/>
        <v>14040859.558738135</v>
      </c>
      <c r="S767" s="350">
        <f t="shared" si="311"/>
        <v>13627279.410372566</v>
      </c>
      <c r="T767" s="350">
        <f t="shared" si="312"/>
        <v>13175388.25516529</v>
      </c>
      <c r="U767" s="350">
        <f t="shared" si="313"/>
        <v>12662014.413711332</v>
      </c>
      <c r="V767" s="350">
        <f t="shared" si="314"/>
        <v>67949416.877265543</v>
      </c>
      <c r="W767" s="365"/>
      <c r="X767" s="377">
        <f t="shared" si="292"/>
        <v>0</v>
      </c>
      <c r="Y767" s="377">
        <f t="shared" si="293"/>
        <v>0</v>
      </c>
      <c r="Z767" s="377">
        <f t="shared" si="294"/>
        <v>0</v>
      </c>
      <c r="AA767" s="377">
        <f t="shared" si="295"/>
        <v>0</v>
      </c>
      <c r="AB767" s="377">
        <f t="shared" si="296"/>
        <v>0</v>
      </c>
      <c r="AC767" s="377">
        <f t="shared" si="297"/>
        <v>0</v>
      </c>
      <c r="AD767" s="376"/>
      <c r="AE767" s="332">
        <v>752</v>
      </c>
      <c r="AF767" s="350">
        <v>382894.60262270545</v>
      </c>
      <c r="AG767" s="350">
        <v>381514.77233374288</v>
      </c>
      <c r="AH767" s="350">
        <v>380022.55352450348</v>
      </c>
      <c r="AI767" s="350">
        <v>378232.31762986031</v>
      </c>
      <c r="AJ767" s="350">
        <v>375979.61795657809</v>
      </c>
      <c r="AK767" s="348">
        <v>1898643.8640673901</v>
      </c>
      <c r="AL767" s="369"/>
      <c r="AM767" s="350">
        <v>10186517.748159071</v>
      </c>
      <c r="AN767" s="350">
        <v>10095334.912249437</v>
      </c>
      <c r="AO767" s="350">
        <v>9995544.8928635828</v>
      </c>
      <c r="AP767" s="350">
        <v>9867967.6044847388</v>
      </c>
      <c r="AQ767" s="350">
        <v>9696192.9695826862</v>
      </c>
      <c r="AR767" s="348">
        <v>49841558.127339512</v>
      </c>
      <c r="AS767" s="369"/>
      <c r="AT767" s="350">
        <f t="shared" si="315"/>
        <v>9803623.1455363669</v>
      </c>
      <c r="AU767" s="350">
        <f t="shared" si="298"/>
        <v>9713820.1399156936</v>
      </c>
      <c r="AV767" s="350">
        <f t="shared" si="299"/>
        <v>9615522.3393390793</v>
      </c>
      <c r="AW767" s="350">
        <f t="shared" si="300"/>
        <v>9489735.2868548781</v>
      </c>
      <c r="AX767" s="350">
        <f t="shared" si="301"/>
        <v>9320213.3516261075</v>
      </c>
      <c r="AY767" s="350">
        <f t="shared" si="302"/>
        <v>47942914.263272122</v>
      </c>
      <c r="AZ767" s="365"/>
      <c r="BA767" s="377">
        <f t="shared" si="303"/>
        <v>0</v>
      </c>
      <c r="BB767" s="377">
        <f t="shared" si="304"/>
        <v>0</v>
      </c>
      <c r="BC767" s="377">
        <f t="shared" si="305"/>
        <v>0</v>
      </c>
      <c r="BD767" s="377">
        <f t="shared" si="306"/>
        <v>0</v>
      </c>
      <c r="BE767" s="377">
        <f t="shared" si="307"/>
        <v>0</v>
      </c>
      <c r="BF767" s="377">
        <f t="shared" si="308"/>
        <v>0</v>
      </c>
      <c r="BG767" s="328"/>
    </row>
    <row r="768" spans="2:59">
      <c r="B768" s="332">
        <v>753</v>
      </c>
      <c r="C768" s="350">
        <v>5019516.3126821946</v>
      </c>
      <c r="D768" s="350">
        <v>5001427.5733875176</v>
      </c>
      <c r="E768" s="350">
        <v>4981865.4886682183</v>
      </c>
      <c r="F768" s="350">
        <v>4958396.580474792</v>
      </c>
      <c r="G768" s="350">
        <v>4928865.0522679146</v>
      </c>
      <c r="H768" s="348">
        <v>24890071.007480636</v>
      </c>
      <c r="I768" s="369"/>
      <c r="J768" s="350">
        <v>18000619.832086369</v>
      </c>
      <c r="K768" s="350">
        <v>17637995.745643981</v>
      </c>
      <c r="L768" s="350">
        <v>17264276.41532591</v>
      </c>
      <c r="M768" s="350">
        <v>16852076.237841867</v>
      </c>
      <c r="N768" s="350">
        <v>16378364.584406424</v>
      </c>
      <c r="O768" s="348">
        <v>86133332.815304548</v>
      </c>
      <c r="P768" s="369"/>
      <c r="Q768" s="350">
        <f t="shared" si="309"/>
        <v>12981103.519404175</v>
      </c>
      <c r="R768" s="350">
        <f t="shared" si="310"/>
        <v>12636568.172256462</v>
      </c>
      <c r="S768" s="350">
        <f t="shared" si="311"/>
        <v>12282410.926657692</v>
      </c>
      <c r="T768" s="350">
        <f t="shared" si="312"/>
        <v>11893679.657367075</v>
      </c>
      <c r="U768" s="350">
        <f t="shared" si="313"/>
        <v>11449499.53213851</v>
      </c>
      <c r="V768" s="350">
        <f t="shared" si="314"/>
        <v>61243261.807823911</v>
      </c>
      <c r="W768" s="365"/>
      <c r="X768" s="377">
        <f t="shared" si="292"/>
        <v>0</v>
      </c>
      <c r="Y768" s="377">
        <f t="shared" si="293"/>
        <v>0</v>
      </c>
      <c r="Z768" s="377">
        <f t="shared" si="294"/>
        <v>0</v>
      </c>
      <c r="AA768" s="377">
        <f t="shared" si="295"/>
        <v>0</v>
      </c>
      <c r="AB768" s="377">
        <f t="shared" si="296"/>
        <v>0</v>
      </c>
      <c r="AC768" s="377">
        <f t="shared" si="297"/>
        <v>0</v>
      </c>
      <c r="AD768" s="376"/>
      <c r="AE768" s="332">
        <v>753</v>
      </c>
      <c r="AF768" s="350">
        <v>494474.44683699124</v>
      </c>
      <c r="AG768" s="350">
        <v>492692.5183005475</v>
      </c>
      <c r="AH768" s="350">
        <v>490765.44995013397</v>
      </c>
      <c r="AI768" s="350">
        <v>488453.51894445275</v>
      </c>
      <c r="AJ768" s="350">
        <v>485544.35695259867</v>
      </c>
      <c r="AK768" s="348">
        <v>2451930.2909847242</v>
      </c>
      <c r="AL768" s="369"/>
      <c r="AM768" s="350">
        <v>16793197.139510822</v>
      </c>
      <c r="AN768" s="350">
        <v>16649220.669829087</v>
      </c>
      <c r="AO768" s="350">
        <v>16490925.084366029</v>
      </c>
      <c r="AP768" s="350">
        <v>16286485.733366167</v>
      </c>
      <c r="AQ768" s="350">
        <v>16008661.523173183</v>
      </c>
      <c r="AR768" s="348">
        <v>82228490.150245294</v>
      </c>
      <c r="AS768" s="369"/>
      <c r="AT768" s="350">
        <f t="shared" si="315"/>
        <v>16298722.69267383</v>
      </c>
      <c r="AU768" s="350">
        <f t="shared" si="298"/>
        <v>16156528.151528539</v>
      </c>
      <c r="AV768" s="350">
        <f t="shared" si="299"/>
        <v>16000159.634415895</v>
      </c>
      <c r="AW768" s="350">
        <f t="shared" si="300"/>
        <v>15798032.214421714</v>
      </c>
      <c r="AX768" s="350">
        <f t="shared" si="301"/>
        <v>15523117.166220585</v>
      </c>
      <c r="AY768" s="350">
        <f t="shared" si="302"/>
        <v>79776559.859260574</v>
      </c>
      <c r="AZ768" s="365"/>
      <c r="BA768" s="377">
        <f t="shared" si="303"/>
        <v>0</v>
      </c>
      <c r="BB768" s="377">
        <f t="shared" si="304"/>
        <v>0</v>
      </c>
      <c r="BC768" s="377">
        <f t="shared" si="305"/>
        <v>0</v>
      </c>
      <c r="BD768" s="377">
        <f t="shared" si="306"/>
        <v>0</v>
      </c>
      <c r="BE768" s="377">
        <f t="shared" si="307"/>
        <v>0</v>
      </c>
      <c r="BF768" s="377">
        <f t="shared" si="308"/>
        <v>0</v>
      </c>
      <c r="BG768" s="328"/>
    </row>
    <row r="769" spans="2:59">
      <c r="B769" s="332">
        <v>754</v>
      </c>
      <c r="C769" s="350">
        <v>6098793.4587304303</v>
      </c>
      <c r="D769" s="350">
        <v>6076815.3480889071</v>
      </c>
      <c r="E769" s="350">
        <v>6053047.0989403268</v>
      </c>
      <c r="F769" s="350">
        <v>6024531.9961181711</v>
      </c>
      <c r="G769" s="350">
        <v>5988650.7119794264</v>
      </c>
      <c r="H769" s="348">
        <v>30241838.613857262</v>
      </c>
      <c r="I769" s="369"/>
      <c r="J769" s="350">
        <v>22609171.27755079</v>
      </c>
      <c r="K769" s="350">
        <v>22163257.19974149</v>
      </c>
      <c r="L769" s="350">
        <v>21703212.248480372</v>
      </c>
      <c r="M769" s="350">
        <v>21194331.087080102</v>
      </c>
      <c r="N769" s="350">
        <v>20607403.910632491</v>
      </c>
      <c r="O769" s="348">
        <v>108277375.72348525</v>
      </c>
      <c r="P769" s="369"/>
      <c r="Q769" s="350">
        <f t="shared" si="309"/>
        <v>16510377.818820361</v>
      </c>
      <c r="R769" s="350">
        <f t="shared" si="310"/>
        <v>16086441.851652583</v>
      </c>
      <c r="S769" s="350">
        <f t="shared" si="311"/>
        <v>15650165.149540044</v>
      </c>
      <c r="T769" s="350">
        <f t="shared" si="312"/>
        <v>15169799.090961931</v>
      </c>
      <c r="U769" s="350">
        <f t="shared" si="313"/>
        <v>14618753.198653065</v>
      </c>
      <c r="V769" s="350">
        <f t="shared" si="314"/>
        <v>78035537.109627992</v>
      </c>
      <c r="W769" s="365"/>
      <c r="X769" s="377">
        <f t="shared" si="292"/>
        <v>0</v>
      </c>
      <c r="Y769" s="377">
        <f t="shared" si="293"/>
        <v>0</v>
      </c>
      <c r="Z769" s="377">
        <f t="shared" si="294"/>
        <v>0</v>
      </c>
      <c r="AA769" s="377">
        <f t="shared" si="295"/>
        <v>0</v>
      </c>
      <c r="AB769" s="377">
        <f t="shared" si="296"/>
        <v>0</v>
      </c>
      <c r="AC769" s="377">
        <f t="shared" si="297"/>
        <v>0</v>
      </c>
      <c r="AD769" s="376"/>
      <c r="AE769" s="332">
        <v>754</v>
      </c>
      <c r="AF769" s="350">
        <v>475488.10731620825</v>
      </c>
      <c r="AG769" s="350">
        <v>473774.59950486192</v>
      </c>
      <c r="AH769" s="350">
        <v>471921.5248142113</v>
      </c>
      <c r="AI769" s="350">
        <v>469698.365042925</v>
      </c>
      <c r="AJ769" s="350">
        <v>466900.90616869729</v>
      </c>
      <c r="AK769" s="348">
        <v>2357783.5028469036</v>
      </c>
      <c r="AL769" s="369"/>
      <c r="AM769" s="350">
        <v>14931113.507382909</v>
      </c>
      <c r="AN769" s="350">
        <v>14801438.647530179</v>
      </c>
      <c r="AO769" s="350">
        <v>14659066.379232915</v>
      </c>
      <c r="AP769" s="350">
        <v>14475754.579999922</v>
      </c>
      <c r="AQ769" s="350">
        <v>14227331.988039583</v>
      </c>
      <c r="AR769" s="348">
        <v>73094705.102185518</v>
      </c>
      <c r="AS769" s="369"/>
      <c r="AT769" s="350">
        <f t="shared" si="315"/>
        <v>14455625.4000667</v>
      </c>
      <c r="AU769" s="350">
        <f t="shared" si="298"/>
        <v>14327664.048025317</v>
      </c>
      <c r="AV769" s="350">
        <f t="shared" si="299"/>
        <v>14187144.854418704</v>
      </c>
      <c r="AW769" s="350">
        <f t="shared" si="300"/>
        <v>14006056.214956997</v>
      </c>
      <c r="AX769" s="350">
        <f t="shared" si="301"/>
        <v>13760431.081870886</v>
      </c>
      <c r="AY769" s="350">
        <f t="shared" si="302"/>
        <v>70736921.599338621</v>
      </c>
      <c r="AZ769" s="365"/>
      <c r="BA769" s="377">
        <f t="shared" si="303"/>
        <v>0</v>
      </c>
      <c r="BB769" s="377">
        <f t="shared" si="304"/>
        <v>0</v>
      </c>
      <c r="BC769" s="377">
        <f t="shared" si="305"/>
        <v>0</v>
      </c>
      <c r="BD769" s="377">
        <f t="shared" si="306"/>
        <v>0</v>
      </c>
      <c r="BE769" s="377">
        <f t="shared" si="307"/>
        <v>0</v>
      </c>
      <c r="BF769" s="377">
        <f t="shared" si="308"/>
        <v>0</v>
      </c>
      <c r="BG769" s="328"/>
    </row>
    <row r="770" spans="2:59">
      <c r="B770" s="332">
        <v>755</v>
      </c>
      <c r="C770" s="350">
        <v>3389929.8103020135</v>
      </c>
      <c r="D770" s="350">
        <v>3377713.5821345947</v>
      </c>
      <c r="E770" s="350">
        <v>3364502.3302906556</v>
      </c>
      <c r="F770" s="350">
        <v>3348652.6056271191</v>
      </c>
      <c r="G770" s="350">
        <v>3328708.4911794122</v>
      </c>
      <c r="H770" s="348">
        <v>16809506.819533795</v>
      </c>
      <c r="I770" s="369"/>
      <c r="J770" s="350">
        <v>12277375.842236705</v>
      </c>
      <c r="K770" s="350">
        <v>12031608.069539918</v>
      </c>
      <c r="L770" s="350">
        <v>11778240.876224447</v>
      </c>
      <c r="M770" s="350">
        <v>11498545.414204201</v>
      </c>
      <c r="N770" s="350">
        <v>11176767.341507791</v>
      </c>
      <c r="O770" s="348">
        <v>58762537.54371307</v>
      </c>
      <c r="P770" s="369"/>
      <c r="Q770" s="350">
        <f t="shared" si="309"/>
        <v>8887446.0319346916</v>
      </c>
      <c r="R770" s="350">
        <f t="shared" si="310"/>
        <v>8653894.4874053225</v>
      </c>
      <c r="S770" s="350">
        <f t="shared" si="311"/>
        <v>8413738.5459337905</v>
      </c>
      <c r="T770" s="350">
        <f t="shared" si="312"/>
        <v>8149892.8085770812</v>
      </c>
      <c r="U770" s="350">
        <f t="shared" si="313"/>
        <v>7848058.8503283784</v>
      </c>
      <c r="V770" s="350">
        <f t="shared" si="314"/>
        <v>41953030.724179275</v>
      </c>
      <c r="W770" s="365"/>
      <c r="X770" s="377">
        <f t="shared" si="292"/>
        <v>0</v>
      </c>
      <c r="Y770" s="377">
        <f t="shared" si="293"/>
        <v>0</v>
      </c>
      <c r="Z770" s="377">
        <f t="shared" si="294"/>
        <v>0</v>
      </c>
      <c r="AA770" s="377">
        <f t="shared" si="295"/>
        <v>0</v>
      </c>
      <c r="AB770" s="377">
        <f t="shared" si="296"/>
        <v>0</v>
      </c>
      <c r="AC770" s="377">
        <f t="shared" si="297"/>
        <v>0</v>
      </c>
      <c r="AD770" s="376"/>
      <c r="AE770" s="332">
        <v>755</v>
      </c>
      <c r="AF770" s="350">
        <v>498791.62605410675</v>
      </c>
      <c r="AG770" s="350">
        <v>496994.13977773685</v>
      </c>
      <c r="AH770" s="350">
        <v>495050.2464943353</v>
      </c>
      <c r="AI770" s="350">
        <v>492718.13037989271</v>
      </c>
      <c r="AJ770" s="350">
        <v>489783.56894875353</v>
      </c>
      <c r="AK770" s="348">
        <v>2473337.7116548251</v>
      </c>
      <c r="AL770" s="369"/>
      <c r="AM770" s="350">
        <v>13353485.378337802</v>
      </c>
      <c r="AN770" s="350">
        <v>13234099.860384936</v>
      </c>
      <c r="AO770" s="350">
        <v>13103428.224340798</v>
      </c>
      <c r="AP770" s="350">
        <v>12936322.623864595</v>
      </c>
      <c r="AQ770" s="350">
        <v>12711266.801326742</v>
      </c>
      <c r="AR770" s="348">
        <v>65338602.888254873</v>
      </c>
      <c r="AS770" s="369"/>
      <c r="AT770" s="350">
        <f t="shared" si="315"/>
        <v>12854693.752283696</v>
      </c>
      <c r="AU770" s="350">
        <f t="shared" si="298"/>
        <v>12737105.720607199</v>
      </c>
      <c r="AV770" s="350">
        <f t="shared" si="299"/>
        <v>12608377.977846462</v>
      </c>
      <c r="AW770" s="350">
        <f t="shared" si="300"/>
        <v>12443604.493484702</v>
      </c>
      <c r="AX770" s="350">
        <f t="shared" si="301"/>
        <v>12221483.232377989</v>
      </c>
      <c r="AY770" s="350">
        <f t="shared" si="302"/>
        <v>62865265.176600046</v>
      </c>
      <c r="AZ770" s="365"/>
      <c r="BA770" s="377">
        <f t="shared" si="303"/>
        <v>0</v>
      </c>
      <c r="BB770" s="377">
        <f t="shared" si="304"/>
        <v>0</v>
      </c>
      <c r="BC770" s="377">
        <f t="shared" si="305"/>
        <v>0</v>
      </c>
      <c r="BD770" s="377">
        <f t="shared" si="306"/>
        <v>0</v>
      </c>
      <c r="BE770" s="377">
        <f t="shared" si="307"/>
        <v>0</v>
      </c>
      <c r="BF770" s="377">
        <f t="shared" si="308"/>
        <v>0</v>
      </c>
      <c r="BG770" s="328"/>
    </row>
    <row r="771" spans="2:59">
      <c r="B771" s="332">
        <v>756</v>
      </c>
      <c r="C771" s="350">
        <v>4965489.8572176248</v>
      </c>
      <c r="D771" s="350">
        <v>4947595.8120741444</v>
      </c>
      <c r="E771" s="350">
        <v>4928244.279534189</v>
      </c>
      <c r="F771" s="350">
        <v>4905027.9737518951</v>
      </c>
      <c r="G771" s="350">
        <v>4875814.3016279712</v>
      </c>
      <c r="H771" s="348">
        <v>24622172.224205822</v>
      </c>
      <c r="I771" s="369"/>
      <c r="J771" s="350">
        <v>16701325.348029844</v>
      </c>
      <c r="K771" s="350">
        <v>16350572.377831433</v>
      </c>
      <c r="L771" s="350">
        <v>15989817.098235372</v>
      </c>
      <c r="M771" s="350">
        <v>15594112.55962627</v>
      </c>
      <c r="N771" s="350">
        <v>15142514.116235755</v>
      </c>
      <c r="O771" s="348">
        <v>79778341.499958664</v>
      </c>
      <c r="P771" s="369"/>
      <c r="Q771" s="350">
        <f t="shared" si="309"/>
        <v>11735835.49081222</v>
      </c>
      <c r="R771" s="350">
        <f t="shared" si="310"/>
        <v>11402976.56575729</v>
      </c>
      <c r="S771" s="350">
        <f t="shared" si="311"/>
        <v>11061572.818701183</v>
      </c>
      <c r="T771" s="350">
        <f t="shared" si="312"/>
        <v>10689084.585874375</v>
      </c>
      <c r="U771" s="350">
        <f t="shared" si="313"/>
        <v>10266699.814607784</v>
      </c>
      <c r="V771" s="350">
        <f t="shared" si="314"/>
        <v>55156169.275752842</v>
      </c>
      <c r="W771" s="365"/>
      <c r="X771" s="377">
        <f t="shared" si="292"/>
        <v>0</v>
      </c>
      <c r="Y771" s="377">
        <f t="shared" si="293"/>
        <v>0</v>
      </c>
      <c r="Z771" s="377">
        <f t="shared" si="294"/>
        <v>0</v>
      </c>
      <c r="AA771" s="377">
        <f t="shared" si="295"/>
        <v>0</v>
      </c>
      <c r="AB771" s="377">
        <f t="shared" si="296"/>
        <v>0</v>
      </c>
      <c r="AC771" s="377">
        <f t="shared" si="297"/>
        <v>0</v>
      </c>
      <c r="AD771" s="376"/>
      <c r="AE771" s="332">
        <v>756</v>
      </c>
      <c r="AF771" s="350">
        <v>415998.38529735763</v>
      </c>
      <c r="AG771" s="350">
        <v>414499.25951114635</v>
      </c>
      <c r="AH771" s="350">
        <v>412878.02847027534</v>
      </c>
      <c r="AI771" s="350">
        <v>410933.0147866878</v>
      </c>
      <c r="AJ771" s="350">
        <v>408485.55425779487</v>
      </c>
      <c r="AK771" s="348">
        <v>2062794.2423232617</v>
      </c>
      <c r="AL771" s="369"/>
      <c r="AM771" s="350">
        <v>13876841.69997629</v>
      </c>
      <c r="AN771" s="350">
        <v>13757525.464328375</v>
      </c>
      <c r="AO771" s="350">
        <v>13626383.819076428</v>
      </c>
      <c r="AP771" s="350">
        <v>13457129.95783147</v>
      </c>
      <c r="AQ771" s="350">
        <v>13227263.717172321</v>
      </c>
      <c r="AR771" s="348">
        <v>67945144.658384889</v>
      </c>
      <c r="AS771" s="369"/>
      <c r="AT771" s="350">
        <f t="shared" si="315"/>
        <v>13460843.314678932</v>
      </c>
      <c r="AU771" s="350">
        <f t="shared" si="298"/>
        <v>13343026.204817228</v>
      </c>
      <c r="AV771" s="350">
        <f t="shared" si="299"/>
        <v>13213505.790606152</v>
      </c>
      <c r="AW771" s="350">
        <f t="shared" si="300"/>
        <v>13046196.943044782</v>
      </c>
      <c r="AX771" s="350">
        <f t="shared" si="301"/>
        <v>12818778.162914526</v>
      </c>
      <c r="AY771" s="350">
        <f t="shared" si="302"/>
        <v>65882350.416061625</v>
      </c>
      <c r="AZ771" s="365"/>
      <c r="BA771" s="377">
        <f t="shared" si="303"/>
        <v>0</v>
      </c>
      <c r="BB771" s="377">
        <f t="shared" si="304"/>
        <v>0</v>
      </c>
      <c r="BC771" s="377">
        <f t="shared" si="305"/>
        <v>0</v>
      </c>
      <c r="BD771" s="377">
        <f t="shared" si="306"/>
        <v>0</v>
      </c>
      <c r="BE771" s="377">
        <f t="shared" si="307"/>
        <v>0</v>
      </c>
      <c r="BF771" s="377">
        <f t="shared" si="308"/>
        <v>0</v>
      </c>
      <c r="BG771" s="328"/>
    </row>
    <row r="772" spans="2:59">
      <c r="B772" s="332">
        <v>757</v>
      </c>
      <c r="C772" s="350">
        <v>5461423.3123923587</v>
      </c>
      <c r="D772" s="350">
        <v>5441742.0809107255</v>
      </c>
      <c r="E772" s="350">
        <v>5420457.7939655781</v>
      </c>
      <c r="F772" s="350">
        <v>5394922.7355377087</v>
      </c>
      <c r="G772" s="350">
        <v>5362791.3175777514</v>
      </c>
      <c r="H772" s="348">
        <v>27081337.240384124</v>
      </c>
      <c r="I772" s="369"/>
      <c r="J772" s="350">
        <v>19908750.940949194</v>
      </c>
      <c r="K772" s="350">
        <v>19511871.402227752</v>
      </c>
      <c r="L772" s="350">
        <v>19102635.0456146</v>
      </c>
      <c r="M772" s="350">
        <v>18650618.165236112</v>
      </c>
      <c r="N772" s="350">
        <v>18130224.884093743</v>
      </c>
      <c r="O772" s="348">
        <v>95304100.438121408</v>
      </c>
      <c r="P772" s="369"/>
      <c r="Q772" s="350">
        <f t="shared" si="309"/>
        <v>14447327.628556836</v>
      </c>
      <c r="R772" s="350">
        <f t="shared" si="310"/>
        <v>14070129.321317026</v>
      </c>
      <c r="S772" s="350">
        <f t="shared" si="311"/>
        <v>13682177.251649022</v>
      </c>
      <c r="T772" s="350">
        <f t="shared" si="312"/>
        <v>13255695.429698404</v>
      </c>
      <c r="U772" s="350">
        <f t="shared" si="313"/>
        <v>12767433.566515991</v>
      </c>
      <c r="V772" s="350">
        <f t="shared" si="314"/>
        <v>68222763.197737277</v>
      </c>
      <c r="W772" s="365"/>
      <c r="X772" s="377">
        <f t="shared" si="292"/>
        <v>0</v>
      </c>
      <c r="Y772" s="377">
        <f t="shared" si="293"/>
        <v>0</v>
      </c>
      <c r="Z772" s="377">
        <f t="shared" si="294"/>
        <v>0</v>
      </c>
      <c r="AA772" s="377">
        <f t="shared" si="295"/>
        <v>0</v>
      </c>
      <c r="AB772" s="377">
        <f t="shared" si="296"/>
        <v>0</v>
      </c>
      <c r="AC772" s="377">
        <f t="shared" si="297"/>
        <v>0</v>
      </c>
      <c r="AD772" s="376"/>
      <c r="AE772" s="332">
        <v>757</v>
      </c>
      <c r="AF772" s="350">
        <v>433033.62402002304</v>
      </c>
      <c r="AG772" s="350">
        <v>431473.10865503916</v>
      </c>
      <c r="AH772" s="350">
        <v>429785.48779444321</v>
      </c>
      <c r="AI772" s="350">
        <v>427760.8253103079</v>
      </c>
      <c r="AJ772" s="350">
        <v>425213.14065591921</v>
      </c>
      <c r="AK772" s="348">
        <v>2147266.186435733</v>
      </c>
      <c r="AL772" s="369"/>
      <c r="AM772" s="350">
        <v>15249902.659372048</v>
      </c>
      <c r="AN772" s="350">
        <v>15119899.901943969</v>
      </c>
      <c r="AO772" s="350">
        <v>14976878.797845373</v>
      </c>
      <c r="AP772" s="350">
        <v>14791915.409031544</v>
      </c>
      <c r="AQ772" s="350">
        <v>14540250.113806633</v>
      </c>
      <c r="AR772" s="348">
        <v>74678846.881999567</v>
      </c>
      <c r="AS772" s="369"/>
      <c r="AT772" s="350">
        <f t="shared" si="315"/>
        <v>14816869.035352025</v>
      </c>
      <c r="AU772" s="350">
        <f t="shared" si="298"/>
        <v>14688426.793288929</v>
      </c>
      <c r="AV772" s="350">
        <f t="shared" si="299"/>
        <v>14547093.310050929</v>
      </c>
      <c r="AW772" s="350">
        <f t="shared" si="300"/>
        <v>14364154.583721235</v>
      </c>
      <c r="AX772" s="350">
        <f t="shared" si="301"/>
        <v>14115036.973150713</v>
      </c>
      <c r="AY772" s="350">
        <f t="shared" si="302"/>
        <v>72531580.695563838</v>
      </c>
      <c r="AZ772" s="365"/>
      <c r="BA772" s="377">
        <f t="shared" si="303"/>
        <v>0</v>
      </c>
      <c r="BB772" s="377">
        <f t="shared" si="304"/>
        <v>0</v>
      </c>
      <c r="BC772" s="377">
        <f t="shared" si="305"/>
        <v>0</v>
      </c>
      <c r="BD772" s="377">
        <f t="shared" si="306"/>
        <v>0</v>
      </c>
      <c r="BE772" s="377">
        <f t="shared" si="307"/>
        <v>0</v>
      </c>
      <c r="BF772" s="377">
        <f t="shared" si="308"/>
        <v>0</v>
      </c>
      <c r="BG772" s="328"/>
    </row>
    <row r="773" spans="2:59">
      <c r="B773" s="332">
        <v>758</v>
      </c>
      <c r="C773" s="350">
        <v>5094661.9297336312</v>
      </c>
      <c r="D773" s="350">
        <v>5076302.3895507213</v>
      </c>
      <c r="E773" s="350">
        <v>5056447.4469472207</v>
      </c>
      <c r="F773" s="350">
        <v>5032627.1930308482</v>
      </c>
      <c r="G773" s="350">
        <v>5002653.557502998</v>
      </c>
      <c r="H773" s="348">
        <v>25262692.516765423</v>
      </c>
      <c r="I773" s="369"/>
      <c r="J773" s="350">
        <v>18615233.802410688</v>
      </c>
      <c r="K773" s="350">
        <v>18244693.489716269</v>
      </c>
      <c r="L773" s="350">
        <v>17862587.91650581</v>
      </c>
      <c r="M773" s="350">
        <v>17440452.213053983</v>
      </c>
      <c r="N773" s="350">
        <v>16954337.145342592</v>
      </c>
      <c r="O773" s="348">
        <v>89117304.567029342</v>
      </c>
      <c r="P773" s="369"/>
      <c r="Q773" s="350">
        <f t="shared" si="309"/>
        <v>13520571.872677058</v>
      </c>
      <c r="R773" s="350">
        <f t="shared" si="310"/>
        <v>13168391.100165548</v>
      </c>
      <c r="S773" s="350">
        <f t="shared" si="311"/>
        <v>12806140.469558589</v>
      </c>
      <c r="T773" s="350">
        <f t="shared" si="312"/>
        <v>12407825.020023134</v>
      </c>
      <c r="U773" s="350">
        <f t="shared" si="313"/>
        <v>11951683.587839594</v>
      </c>
      <c r="V773" s="350">
        <f t="shared" si="314"/>
        <v>63854612.050263919</v>
      </c>
      <c r="W773" s="365"/>
      <c r="X773" s="377">
        <f t="shared" si="292"/>
        <v>0</v>
      </c>
      <c r="Y773" s="377">
        <f t="shared" si="293"/>
        <v>0</v>
      </c>
      <c r="Z773" s="377">
        <f t="shared" si="294"/>
        <v>0</v>
      </c>
      <c r="AA773" s="377">
        <f t="shared" si="295"/>
        <v>0</v>
      </c>
      <c r="AB773" s="377">
        <f t="shared" si="296"/>
        <v>0</v>
      </c>
      <c r="AC773" s="377">
        <f t="shared" si="297"/>
        <v>0</v>
      </c>
      <c r="AD773" s="376"/>
      <c r="AE773" s="332">
        <v>758</v>
      </c>
      <c r="AF773" s="350">
        <v>727756.86894995125</v>
      </c>
      <c r="AG773" s="350">
        <v>725134.26480797725</v>
      </c>
      <c r="AH773" s="350">
        <v>722298.04700558027</v>
      </c>
      <c r="AI773" s="350">
        <v>718895.39661447203</v>
      </c>
      <c r="AJ773" s="350">
        <v>714613.75448715326</v>
      </c>
      <c r="AK773" s="348">
        <v>3608698.3318651337</v>
      </c>
      <c r="AL773" s="369"/>
      <c r="AM773" s="350">
        <v>17733620.237932697</v>
      </c>
      <c r="AN773" s="350">
        <v>17572042.351649895</v>
      </c>
      <c r="AO773" s="350">
        <v>17395538.256322615</v>
      </c>
      <c r="AP773" s="350">
        <v>17170809.180664707</v>
      </c>
      <c r="AQ773" s="350">
        <v>16869371.030403763</v>
      </c>
      <c r="AR773" s="348">
        <v>86741381.056973681</v>
      </c>
      <c r="AS773" s="369"/>
      <c r="AT773" s="350">
        <f t="shared" si="315"/>
        <v>17005863.368982747</v>
      </c>
      <c r="AU773" s="350">
        <f t="shared" si="298"/>
        <v>16846908.086841919</v>
      </c>
      <c r="AV773" s="350">
        <f t="shared" si="299"/>
        <v>16673240.209317034</v>
      </c>
      <c r="AW773" s="350">
        <f t="shared" si="300"/>
        <v>16451913.784050236</v>
      </c>
      <c r="AX773" s="350">
        <f t="shared" si="301"/>
        <v>16154757.27591661</v>
      </c>
      <c r="AY773" s="350">
        <f t="shared" si="302"/>
        <v>83132682.725108549</v>
      </c>
      <c r="AZ773" s="365"/>
      <c r="BA773" s="377">
        <f t="shared" si="303"/>
        <v>0</v>
      </c>
      <c r="BB773" s="377">
        <f t="shared" si="304"/>
        <v>0</v>
      </c>
      <c r="BC773" s="377">
        <f t="shared" si="305"/>
        <v>0</v>
      </c>
      <c r="BD773" s="377">
        <f t="shared" si="306"/>
        <v>0</v>
      </c>
      <c r="BE773" s="377">
        <f t="shared" si="307"/>
        <v>0</v>
      </c>
      <c r="BF773" s="377">
        <f t="shared" si="308"/>
        <v>0</v>
      </c>
      <c r="BG773" s="328"/>
    </row>
    <row r="774" spans="2:59">
      <c r="B774" s="332">
        <v>759</v>
      </c>
      <c r="C774" s="350">
        <v>5631721.4279186903</v>
      </c>
      <c r="D774" s="350">
        <v>5611426.4962272681</v>
      </c>
      <c r="E774" s="350">
        <v>5589478.5225928184</v>
      </c>
      <c r="F774" s="350">
        <v>5563147.2299085334</v>
      </c>
      <c r="G774" s="350">
        <v>5530013.8899925631</v>
      </c>
      <c r="H774" s="348">
        <v>27925787.566639878</v>
      </c>
      <c r="I774" s="369"/>
      <c r="J774" s="350">
        <v>19247468.630123794</v>
      </c>
      <c r="K774" s="350">
        <v>18847453.987816803</v>
      </c>
      <c r="L774" s="350">
        <v>18435826.176067196</v>
      </c>
      <c r="M774" s="350">
        <v>17983699.037609905</v>
      </c>
      <c r="N774" s="350">
        <v>17466810.160534479</v>
      </c>
      <c r="O774" s="348">
        <v>91981257.992152184</v>
      </c>
      <c r="P774" s="369"/>
      <c r="Q774" s="350">
        <f t="shared" si="309"/>
        <v>13615747.202205103</v>
      </c>
      <c r="R774" s="350">
        <f t="shared" si="310"/>
        <v>13236027.491589535</v>
      </c>
      <c r="S774" s="350">
        <f t="shared" si="311"/>
        <v>12846347.653474377</v>
      </c>
      <c r="T774" s="350">
        <f t="shared" si="312"/>
        <v>12420551.807701372</v>
      </c>
      <c r="U774" s="350">
        <f t="shared" si="313"/>
        <v>11936796.270541916</v>
      </c>
      <c r="V774" s="350">
        <f t="shared" si="314"/>
        <v>64055470.425512306</v>
      </c>
      <c r="W774" s="365"/>
      <c r="X774" s="377">
        <f t="shared" si="292"/>
        <v>0</v>
      </c>
      <c r="Y774" s="377">
        <f t="shared" si="293"/>
        <v>0</v>
      </c>
      <c r="Z774" s="377">
        <f t="shared" si="294"/>
        <v>0</v>
      </c>
      <c r="AA774" s="377">
        <f t="shared" si="295"/>
        <v>0</v>
      </c>
      <c r="AB774" s="377">
        <f t="shared" si="296"/>
        <v>0</v>
      </c>
      <c r="AC774" s="377">
        <f t="shared" si="297"/>
        <v>0</v>
      </c>
      <c r="AD774" s="376"/>
      <c r="AE774" s="332">
        <v>759</v>
      </c>
      <c r="AF774" s="350">
        <v>558825.1576671995</v>
      </c>
      <c r="AG774" s="350">
        <v>556811.32964898797</v>
      </c>
      <c r="AH774" s="350">
        <v>554633.47337826714</v>
      </c>
      <c r="AI774" s="350">
        <v>552020.66857706883</v>
      </c>
      <c r="AJ774" s="350">
        <v>548732.90938308719</v>
      </c>
      <c r="AK774" s="348">
        <v>2771023.5386546105</v>
      </c>
      <c r="AL774" s="369"/>
      <c r="AM774" s="350">
        <v>12295701.648435192</v>
      </c>
      <c r="AN774" s="350">
        <v>12181154.627474487</v>
      </c>
      <c r="AO774" s="350">
        <v>12056309.817874111</v>
      </c>
      <c r="AP774" s="350">
        <v>11898160.597994069</v>
      </c>
      <c r="AQ774" s="350">
        <v>11687031.88653953</v>
      </c>
      <c r="AR774" s="348">
        <v>60118358.578317389</v>
      </c>
      <c r="AS774" s="369"/>
      <c r="AT774" s="350">
        <f t="shared" si="315"/>
        <v>11736876.490767993</v>
      </c>
      <c r="AU774" s="350">
        <f t="shared" si="298"/>
        <v>11624343.297825499</v>
      </c>
      <c r="AV774" s="350">
        <f t="shared" si="299"/>
        <v>11501676.344495844</v>
      </c>
      <c r="AW774" s="350">
        <f t="shared" si="300"/>
        <v>11346139.929416999</v>
      </c>
      <c r="AX774" s="350">
        <f t="shared" si="301"/>
        <v>11138298.977156444</v>
      </c>
      <c r="AY774" s="350">
        <f t="shared" si="302"/>
        <v>57347335.039662778</v>
      </c>
      <c r="AZ774" s="365"/>
      <c r="BA774" s="377">
        <f t="shared" si="303"/>
        <v>0</v>
      </c>
      <c r="BB774" s="377">
        <f t="shared" si="304"/>
        <v>0</v>
      </c>
      <c r="BC774" s="377">
        <f t="shared" si="305"/>
        <v>0</v>
      </c>
      <c r="BD774" s="377">
        <f t="shared" si="306"/>
        <v>0</v>
      </c>
      <c r="BE774" s="377">
        <f t="shared" si="307"/>
        <v>0</v>
      </c>
      <c r="BF774" s="377">
        <f t="shared" si="308"/>
        <v>0</v>
      </c>
      <c r="BG774" s="328"/>
    </row>
    <row r="775" spans="2:59">
      <c r="B775" s="332">
        <v>760</v>
      </c>
      <c r="C775" s="350">
        <v>6754212.1724746199</v>
      </c>
      <c r="D775" s="350">
        <v>6729872.1413803622</v>
      </c>
      <c r="E775" s="350">
        <v>6703549.591058882</v>
      </c>
      <c r="F775" s="350">
        <v>6671970.0571913989</v>
      </c>
      <c r="G775" s="350">
        <v>6632232.7209897581</v>
      </c>
      <c r="H775" s="348">
        <v>33491836.683095023</v>
      </c>
      <c r="I775" s="369"/>
      <c r="J775" s="350">
        <v>21759016.43458626</v>
      </c>
      <c r="K775" s="350">
        <v>21288820.716515124</v>
      </c>
      <c r="L775" s="350">
        <v>20805863.699462369</v>
      </c>
      <c r="M775" s="350">
        <v>20278070.782783248</v>
      </c>
      <c r="N775" s="350">
        <v>19678546.261002779</v>
      </c>
      <c r="O775" s="348">
        <v>103810317.89434978</v>
      </c>
      <c r="P775" s="369"/>
      <c r="Q775" s="350">
        <f t="shared" si="309"/>
        <v>15004804.262111641</v>
      </c>
      <c r="R775" s="350">
        <f t="shared" si="310"/>
        <v>14558948.575134762</v>
      </c>
      <c r="S775" s="350">
        <f t="shared" si="311"/>
        <v>14102314.108403487</v>
      </c>
      <c r="T775" s="350">
        <f t="shared" si="312"/>
        <v>13606100.72559185</v>
      </c>
      <c r="U775" s="350">
        <f t="shared" si="313"/>
        <v>13046313.540013021</v>
      </c>
      <c r="V775" s="350">
        <f t="shared" si="314"/>
        <v>70318481.211254761</v>
      </c>
      <c r="W775" s="365"/>
      <c r="X775" s="377">
        <f t="shared" si="292"/>
        <v>0</v>
      </c>
      <c r="Y775" s="377">
        <f t="shared" si="293"/>
        <v>0</v>
      </c>
      <c r="Z775" s="377">
        <f t="shared" si="294"/>
        <v>0</v>
      </c>
      <c r="AA775" s="377">
        <f t="shared" si="295"/>
        <v>0</v>
      </c>
      <c r="AB775" s="377">
        <f t="shared" si="296"/>
        <v>0</v>
      </c>
      <c r="AC775" s="377">
        <f t="shared" si="297"/>
        <v>0</v>
      </c>
      <c r="AD775" s="376"/>
      <c r="AE775" s="332">
        <v>760</v>
      </c>
      <c r="AF775" s="350">
        <v>433981.22196429723</v>
      </c>
      <c r="AG775" s="350">
        <v>432417.29175790207</v>
      </c>
      <c r="AH775" s="350">
        <v>430725.9779137373</v>
      </c>
      <c r="AI775" s="350">
        <v>428696.88490526984</v>
      </c>
      <c r="AJ775" s="350">
        <v>426143.62520865072</v>
      </c>
      <c r="AK775" s="348">
        <v>2151965.0017498573</v>
      </c>
      <c r="AL775" s="369"/>
      <c r="AM775" s="350">
        <v>11049937.624145683</v>
      </c>
      <c r="AN775" s="350">
        <v>10950161.576299138</v>
      </c>
      <c r="AO775" s="350">
        <v>10841066.443426274</v>
      </c>
      <c r="AP775" s="350">
        <v>10701874.334957467</v>
      </c>
      <c r="AQ775" s="350">
        <v>10514809.840723014</v>
      </c>
      <c r="AR775" s="348">
        <v>54057849.81955158</v>
      </c>
      <c r="AS775" s="369"/>
      <c r="AT775" s="350">
        <f t="shared" si="315"/>
        <v>10615956.402181385</v>
      </c>
      <c r="AU775" s="350">
        <f t="shared" si="298"/>
        <v>10517744.284541236</v>
      </c>
      <c r="AV775" s="350">
        <f t="shared" si="299"/>
        <v>10410340.465512536</v>
      </c>
      <c r="AW775" s="350">
        <f t="shared" si="300"/>
        <v>10273177.450052198</v>
      </c>
      <c r="AX775" s="350">
        <f t="shared" si="301"/>
        <v>10088666.215514362</v>
      </c>
      <c r="AY775" s="350">
        <f t="shared" si="302"/>
        <v>51905884.817801721</v>
      </c>
      <c r="AZ775" s="365"/>
      <c r="BA775" s="377">
        <f t="shared" si="303"/>
        <v>0</v>
      </c>
      <c r="BB775" s="377">
        <f t="shared" si="304"/>
        <v>0</v>
      </c>
      <c r="BC775" s="377">
        <f t="shared" si="305"/>
        <v>0</v>
      </c>
      <c r="BD775" s="377">
        <f t="shared" si="306"/>
        <v>0</v>
      </c>
      <c r="BE775" s="377">
        <f t="shared" si="307"/>
        <v>0</v>
      </c>
      <c r="BF775" s="377">
        <f t="shared" si="308"/>
        <v>0</v>
      </c>
      <c r="BG775" s="328"/>
    </row>
    <row r="776" spans="2:59">
      <c r="B776" s="332">
        <v>761</v>
      </c>
      <c r="C776" s="350">
        <v>3927907.7832315741</v>
      </c>
      <c r="D776" s="350">
        <v>3913752.8536649765</v>
      </c>
      <c r="E776" s="350">
        <v>3898444.9913056018</v>
      </c>
      <c r="F776" s="350">
        <v>3880079.9335162677</v>
      </c>
      <c r="G776" s="350">
        <v>3856970.710979938</v>
      </c>
      <c r="H776" s="348">
        <v>19477156.272698358</v>
      </c>
      <c r="I776" s="369"/>
      <c r="J776" s="350">
        <v>15599945.067684416</v>
      </c>
      <c r="K776" s="350">
        <v>15305270.133625172</v>
      </c>
      <c r="L776" s="350">
        <v>15000579.712010961</v>
      </c>
      <c r="M776" s="350">
        <v>14661507.911567237</v>
      </c>
      <c r="N776" s="350">
        <v>14267515.494095773</v>
      </c>
      <c r="O776" s="348">
        <v>74834818.318983555</v>
      </c>
      <c r="P776" s="369"/>
      <c r="Q776" s="350">
        <f t="shared" si="309"/>
        <v>11672037.284452841</v>
      </c>
      <c r="R776" s="350">
        <f t="shared" si="310"/>
        <v>11391517.279960196</v>
      </c>
      <c r="S776" s="350">
        <f t="shared" si="311"/>
        <v>11102134.72070536</v>
      </c>
      <c r="T776" s="350">
        <f t="shared" si="312"/>
        <v>10781427.97805097</v>
      </c>
      <c r="U776" s="350">
        <f t="shared" si="313"/>
        <v>10410544.783115834</v>
      </c>
      <c r="V776" s="350">
        <f t="shared" si="314"/>
        <v>55357662.046285197</v>
      </c>
      <c r="W776" s="365"/>
      <c r="X776" s="377">
        <f t="shared" si="292"/>
        <v>0</v>
      </c>
      <c r="Y776" s="377">
        <f t="shared" si="293"/>
        <v>0</v>
      </c>
      <c r="Z776" s="377">
        <f t="shared" si="294"/>
        <v>0</v>
      </c>
      <c r="AA776" s="377">
        <f t="shared" si="295"/>
        <v>0</v>
      </c>
      <c r="AB776" s="377">
        <f t="shared" si="296"/>
        <v>0</v>
      </c>
      <c r="AC776" s="377">
        <f t="shared" si="297"/>
        <v>0</v>
      </c>
      <c r="AD776" s="376"/>
      <c r="AE776" s="332">
        <v>761</v>
      </c>
      <c r="AF776" s="350">
        <v>492188.37539401097</v>
      </c>
      <c r="AG776" s="350">
        <v>490414.68513148947</v>
      </c>
      <c r="AH776" s="350">
        <v>488496.52607042913</v>
      </c>
      <c r="AI776" s="350">
        <v>486195.28366450052</v>
      </c>
      <c r="AJ776" s="350">
        <v>483299.57141144521</v>
      </c>
      <c r="AK776" s="348">
        <v>2440594.4416718753</v>
      </c>
      <c r="AL776" s="369"/>
      <c r="AM776" s="350">
        <v>14439662.249129739</v>
      </c>
      <c r="AN776" s="350">
        <v>14312754.626178168</v>
      </c>
      <c r="AO776" s="350">
        <v>14173598.174177928</v>
      </c>
      <c r="AP776" s="350">
        <v>13994928.823718686</v>
      </c>
      <c r="AQ776" s="350">
        <v>13753415.353566278</v>
      </c>
      <c r="AR776" s="348">
        <v>70674359.226770788</v>
      </c>
      <c r="AS776" s="369"/>
      <c r="AT776" s="350">
        <f t="shared" si="315"/>
        <v>13947473.873735728</v>
      </c>
      <c r="AU776" s="350">
        <f t="shared" si="298"/>
        <v>13822339.941046678</v>
      </c>
      <c r="AV776" s="350">
        <f t="shared" si="299"/>
        <v>13685101.648107499</v>
      </c>
      <c r="AW776" s="350">
        <f t="shared" si="300"/>
        <v>13508733.540054185</v>
      </c>
      <c r="AX776" s="350">
        <f t="shared" si="301"/>
        <v>13270115.782154832</v>
      </c>
      <c r="AY776" s="350">
        <f t="shared" si="302"/>
        <v>68233764.78509891</v>
      </c>
      <c r="AZ776" s="365"/>
      <c r="BA776" s="377">
        <f t="shared" si="303"/>
        <v>0</v>
      </c>
      <c r="BB776" s="377">
        <f t="shared" si="304"/>
        <v>0</v>
      </c>
      <c r="BC776" s="377">
        <f t="shared" si="305"/>
        <v>0</v>
      </c>
      <c r="BD776" s="377">
        <f t="shared" si="306"/>
        <v>0</v>
      </c>
      <c r="BE776" s="377">
        <f t="shared" si="307"/>
        <v>0</v>
      </c>
      <c r="BF776" s="377">
        <f t="shared" si="308"/>
        <v>0</v>
      </c>
      <c r="BG776" s="328"/>
    </row>
    <row r="777" spans="2:59">
      <c r="B777" s="332">
        <v>762</v>
      </c>
      <c r="C777" s="350">
        <v>3673438.5969430245</v>
      </c>
      <c r="D777" s="350">
        <v>3660200.6933372095</v>
      </c>
      <c r="E777" s="350">
        <v>3645884.5495958328</v>
      </c>
      <c r="F777" s="350">
        <v>3628709.2705817912</v>
      </c>
      <c r="G777" s="350">
        <v>3607097.1771480544</v>
      </c>
      <c r="H777" s="348">
        <v>18215330.287605911</v>
      </c>
      <c r="I777" s="369"/>
      <c r="J777" s="350">
        <v>12684974.176376084</v>
      </c>
      <c r="K777" s="350">
        <v>12423114.930435222</v>
      </c>
      <c r="L777" s="350">
        <v>12153565.945407983</v>
      </c>
      <c r="M777" s="350">
        <v>11857232.77359695</v>
      </c>
      <c r="N777" s="350">
        <v>11518072.969829407</v>
      </c>
      <c r="O777" s="348">
        <v>60636960.795645639</v>
      </c>
      <c r="P777" s="369"/>
      <c r="Q777" s="350">
        <f t="shared" si="309"/>
        <v>9011535.5794330593</v>
      </c>
      <c r="R777" s="350">
        <f t="shared" si="310"/>
        <v>8762914.2370980121</v>
      </c>
      <c r="S777" s="350">
        <f t="shared" si="311"/>
        <v>8507681.3958121501</v>
      </c>
      <c r="T777" s="350">
        <f t="shared" si="312"/>
        <v>8228523.5030151587</v>
      </c>
      <c r="U777" s="350">
        <f t="shared" si="313"/>
        <v>7910975.7926813522</v>
      </c>
      <c r="V777" s="350">
        <f t="shared" si="314"/>
        <v>42421630.508039728</v>
      </c>
      <c r="W777" s="365"/>
      <c r="X777" s="377">
        <f t="shared" si="292"/>
        <v>0</v>
      </c>
      <c r="Y777" s="377">
        <f t="shared" si="293"/>
        <v>0</v>
      </c>
      <c r="Z777" s="377">
        <f t="shared" si="294"/>
        <v>0</v>
      </c>
      <c r="AA777" s="377">
        <f t="shared" si="295"/>
        <v>0</v>
      </c>
      <c r="AB777" s="377">
        <f t="shared" si="296"/>
        <v>0</v>
      </c>
      <c r="AC777" s="377">
        <f t="shared" si="297"/>
        <v>0</v>
      </c>
      <c r="AD777" s="376"/>
      <c r="AE777" s="332">
        <v>762</v>
      </c>
      <c r="AF777" s="350">
        <v>660256.26839596825</v>
      </c>
      <c r="AG777" s="350">
        <v>657876.91493585194</v>
      </c>
      <c r="AH777" s="350">
        <v>655303.76082015014</v>
      </c>
      <c r="AI777" s="350">
        <v>652216.71163416211</v>
      </c>
      <c r="AJ777" s="350">
        <v>648332.1985856361</v>
      </c>
      <c r="AK777" s="348">
        <v>3273985.8543717684</v>
      </c>
      <c r="AL777" s="369"/>
      <c r="AM777" s="350">
        <v>18224730.76430596</v>
      </c>
      <c r="AN777" s="350">
        <v>18062745.045293637</v>
      </c>
      <c r="AO777" s="350">
        <v>17885336.708885033</v>
      </c>
      <c r="AP777" s="350">
        <v>17658153.47029626</v>
      </c>
      <c r="AQ777" s="350">
        <v>17351801.955572985</v>
      </c>
      <c r="AR777" s="348">
        <v>89182767.944353878</v>
      </c>
      <c r="AS777" s="369"/>
      <c r="AT777" s="350">
        <f t="shared" si="315"/>
        <v>17564474.495909993</v>
      </c>
      <c r="AU777" s="350">
        <f t="shared" si="298"/>
        <v>17404868.130357783</v>
      </c>
      <c r="AV777" s="350">
        <f t="shared" si="299"/>
        <v>17230032.948064882</v>
      </c>
      <c r="AW777" s="350">
        <f t="shared" si="300"/>
        <v>17005936.758662097</v>
      </c>
      <c r="AX777" s="350">
        <f t="shared" si="301"/>
        <v>16703469.756987348</v>
      </c>
      <c r="AY777" s="350">
        <f t="shared" si="302"/>
        <v>85908782.089982107</v>
      </c>
      <c r="AZ777" s="365"/>
      <c r="BA777" s="377">
        <f t="shared" si="303"/>
        <v>0</v>
      </c>
      <c r="BB777" s="377">
        <f t="shared" si="304"/>
        <v>0</v>
      </c>
      <c r="BC777" s="377">
        <f t="shared" si="305"/>
        <v>0</v>
      </c>
      <c r="BD777" s="377">
        <f t="shared" si="306"/>
        <v>0</v>
      </c>
      <c r="BE777" s="377">
        <f t="shared" si="307"/>
        <v>0</v>
      </c>
      <c r="BF777" s="377">
        <f t="shared" si="308"/>
        <v>0</v>
      </c>
      <c r="BG777" s="328"/>
    </row>
    <row r="778" spans="2:59">
      <c r="B778" s="332">
        <v>763</v>
      </c>
      <c r="C778" s="350">
        <v>6568152.1539516579</v>
      </c>
      <c r="D778" s="350">
        <v>6544482.6239492502</v>
      </c>
      <c r="E778" s="350">
        <v>6518885.1876862748</v>
      </c>
      <c r="F778" s="350">
        <v>6488175.5833540633</v>
      </c>
      <c r="G778" s="350">
        <v>6449532.9017651193</v>
      </c>
      <c r="H778" s="348">
        <v>32569228.450706366</v>
      </c>
      <c r="I778" s="369"/>
      <c r="J778" s="350">
        <v>23990409.784346089</v>
      </c>
      <c r="K778" s="350">
        <v>23512764.103157297</v>
      </c>
      <c r="L778" s="350">
        <v>23020215.948549248</v>
      </c>
      <c r="M778" s="350">
        <v>22476084.773005057</v>
      </c>
      <c r="N778" s="350">
        <v>21849509.262865338</v>
      </c>
      <c r="O778" s="348">
        <v>114848983.87192301</v>
      </c>
      <c r="P778" s="369"/>
      <c r="Q778" s="350">
        <f t="shared" si="309"/>
        <v>17422257.630394429</v>
      </c>
      <c r="R778" s="350">
        <f t="shared" si="310"/>
        <v>16968281.479208045</v>
      </c>
      <c r="S778" s="350">
        <f t="shared" si="311"/>
        <v>16501330.760862973</v>
      </c>
      <c r="T778" s="350">
        <f t="shared" si="312"/>
        <v>15987909.189650994</v>
      </c>
      <c r="U778" s="350">
        <f t="shared" si="313"/>
        <v>15399976.361100219</v>
      </c>
      <c r="V778" s="350">
        <f t="shared" si="314"/>
        <v>82279755.421216652</v>
      </c>
      <c r="W778" s="365"/>
      <c r="X778" s="377">
        <f t="shared" si="292"/>
        <v>0</v>
      </c>
      <c r="Y778" s="377">
        <f t="shared" si="293"/>
        <v>0</v>
      </c>
      <c r="Z778" s="377">
        <f t="shared" si="294"/>
        <v>0</v>
      </c>
      <c r="AA778" s="377">
        <f t="shared" si="295"/>
        <v>0</v>
      </c>
      <c r="AB778" s="377">
        <f t="shared" si="296"/>
        <v>0</v>
      </c>
      <c r="AC778" s="377">
        <f t="shared" si="297"/>
        <v>0</v>
      </c>
      <c r="AD778" s="376"/>
      <c r="AE778" s="332">
        <v>763</v>
      </c>
      <c r="AF778" s="350">
        <v>485106.68085805589</v>
      </c>
      <c r="AG778" s="350">
        <v>483358.51076884317</v>
      </c>
      <c r="AH778" s="350">
        <v>481467.95052405086</v>
      </c>
      <c r="AI778" s="350">
        <v>479199.81880619773</v>
      </c>
      <c r="AJ778" s="350">
        <v>476345.77057989564</v>
      </c>
      <c r="AK778" s="348">
        <v>2405478.7315370431</v>
      </c>
      <c r="AL778" s="369"/>
      <c r="AM778" s="350">
        <v>15654293.537290117</v>
      </c>
      <c r="AN778" s="350">
        <v>15518960.189696815</v>
      </c>
      <c r="AO778" s="350">
        <v>15370301.735685924</v>
      </c>
      <c r="AP778" s="350">
        <v>15178688.065359589</v>
      </c>
      <c r="AQ778" s="350">
        <v>14918758.766672233</v>
      </c>
      <c r="AR778" s="348">
        <v>76641002.294704676</v>
      </c>
      <c r="AS778" s="369"/>
      <c r="AT778" s="350">
        <f t="shared" si="315"/>
        <v>15169186.856432062</v>
      </c>
      <c r="AU778" s="350">
        <f t="shared" si="298"/>
        <v>15035601.678927971</v>
      </c>
      <c r="AV778" s="350">
        <f t="shared" si="299"/>
        <v>14888833.785161873</v>
      </c>
      <c r="AW778" s="350">
        <f t="shared" si="300"/>
        <v>14699488.246553391</v>
      </c>
      <c r="AX778" s="350">
        <f t="shared" si="301"/>
        <v>14442412.996092338</v>
      </c>
      <c r="AY778" s="350">
        <f t="shared" si="302"/>
        <v>74235523.563167632</v>
      </c>
      <c r="AZ778" s="365"/>
      <c r="BA778" s="377">
        <f t="shared" si="303"/>
        <v>0</v>
      </c>
      <c r="BB778" s="377">
        <f t="shared" si="304"/>
        <v>0</v>
      </c>
      <c r="BC778" s="377">
        <f t="shared" si="305"/>
        <v>0</v>
      </c>
      <c r="BD778" s="377">
        <f t="shared" si="306"/>
        <v>0</v>
      </c>
      <c r="BE778" s="377">
        <f t="shared" si="307"/>
        <v>0</v>
      </c>
      <c r="BF778" s="377">
        <f t="shared" si="308"/>
        <v>0</v>
      </c>
      <c r="BG778" s="328"/>
    </row>
    <row r="779" spans="2:59">
      <c r="B779" s="332">
        <v>764</v>
      </c>
      <c r="C779" s="350">
        <v>4350072.4675891809</v>
      </c>
      <c r="D779" s="350">
        <v>4334396.1908570267</v>
      </c>
      <c r="E779" s="350">
        <v>4317443.066124456</v>
      </c>
      <c r="F779" s="350">
        <v>4297104.1639241269</v>
      </c>
      <c r="G779" s="350">
        <v>4271511.2024162635</v>
      </c>
      <c r="H779" s="348">
        <v>21570527.090911053</v>
      </c>
      <c r="I779" s="369"/>
      <c r="J779" s="350">
        <v>14581583.17350019</v>
      </c>
      <c r="K779" s="350">
        <v>14274661.05672029</v>
      </c>
      <c r="L779" s="350">
        <v>13959020.156611592</v>
      </c>
      <c r="M779" s="350">
        <v>13612901.990479864</v>
      </c>
      <c r="N779" s="350">
        <v>13218040.564048883</v>
      </c>
      <c r="O779" s="348">
        <v>69646206.941360816</v>
      </c>
      <c r="P779" s="369"/>
      <c r="Q779" s="350">
        <f t="shared" si="309"/>
        <v>10231510.705911009</v>
      </c>
      <c r="R779" s="350">
        <f t="shared" si="310"/>
        <v>9940264.8658632636</v>
      </c>
      <c r="S779" s="350">
        <f t="shared" si="311"/>
        <v>9641577.0904871356</v>
      </c>
      <c r="T779" s="350">
        <f t="shared" si="312"/>
        <v>9315797.8265557364</v>
      </c>
      <c r="U779" s="350">
        <f t="shared" si="313"/>
        <v>8946529.3616326191</v>
      </c>
      <c r="V779" s="350">
        <f t="shared" si="314"/>
        <v>48075679.850449763</v>
      </c>
      <c r="W779" s="365"/>
      <c r="X779" s="377">
        <f t="shared" si="292"/>
        <v>0</v>
      </c>
      <c r="Y779" s="377">
        <f t="shared" si="293"/>
        <v>0</v>
      </c>
      <c r="Z779" s="377">
        <f t="shared" si="294"/>
        <v>0</v>
      </c>
      <c r="AA779" s="377">
        <f t="shared" si="295"/>
        <v>0</v>
      </c>
      <c r="AB779" s="377">
        <f t="shared" si="296"/>
        <v>0</v>
      </c>
      <c r="AC779" s="377">
        <f t="shared" si="297"/>
        <v>0</v>
      </c>
      <c r="AD779" s="376"/>
      <c r="AE779" s="332">
        <v>764</v>
      </c>
      <c r="AF779" s="350">
        <v>769157.20912623778</v>
      </c>
      <c r="AG779" s="350">
        <v>766385.41133421718</v>
      </c>
      <c r="AH779" s="350">
        <v>763387.84791373939</v>
      </c>
      <c r="AI779" s="350">
        <v>759791.62891516974</v>
      </c>
      <c r="AJ779" s="350">
        <v>755266.4144518869</v>
      </c>
      <c r="AK779" s="348">
        <v>3813988.5117412508</v>
      </c>
      <c r="AL779" s="369"/>
      <c r="AM779" s="350">
        <v>20177365.394194491</v>
      </c>
      <c r="AN779" s="350">
        <v>19996253.724944629</v>
      </c>
      <c r="AO779" s="350">
        <v>19798103.180892337</v>
      </c>
      <c r="AP779" s="350">
        <v>19544938.083791614</v>
      </c>
      <c r="AQ779" s="350">
        <v>19204268.229942415</v>
      </c>
      <c r="AR779" s="348">
        <v>98720928.613765478</v>
      </c>
      <c r="AS779" s="369"/>
      <c r="AT779" s="350">
        <f t="shared" si="315"/>
        <v>19408208.185068253</v>
      </c>
      <c r="AU779" s="350">
        <f t="shared" si="298"/>
        <v>19229868.313610412</v>
      </c>
      <c r="AV779" s="350">
        <f t="shared" si="299"/>
        <v>19034715.332978599</v>
      </c>
      <c r="AW779" s="350">
        <f t="shared" si="300"/>
        <v>18785146.454876445</v>
      </c>
      <c r="AX779" s="350">
        <f t="shared" si="301"/>
        <v>18449001.815490529</v>
      </c>
      <c r="AY779" s="350">
        <f t="shared" si="302"/>
        <v>94906940.102024227</v>
      </c>
      <c r="AZ779" s="365"/>
      <c r="BA779" s="377">
        <f t="shared" si="303"/>
        <v>0</v>
      </c>
      <c r="BB779" s="377">
        <f t="shared" si="304"/>
        <v>0</v>
      </c>
      <c r="BC779" s="377">
        <f t="shared" si="305"/>
        <v>0</v>
      </c>
      <c r="BD779" s="377">
        <f t="shared" si="306"/>
        <v>0</v>
      </c>
      <c r="BE779" s="377">
        <f t="shared" si="307"/>
        <v>0</v>
      </c>
      <c r="BF779" s="377">
        <f t="shared" si="308"/>
        <v>0</v>
      </c>
      <c r="BG779" s="328"/>
    </row>
    <row r="780" spans="2:59">
      <c r="B780" s="332">
        <v>765</v>
      </c>
      <c r="C780" s="350">
        <v>4805596.7008592915</v>
      </c>
      <c r="D780" s="350">
        <v>4788278.8597642099</v>
      </c>
      <c r="E780" s="350">
        <v>4769550.4636533186</v>
      </c>
      <c r="F780" s="350">
        <v>4747081.7434098655</v>
      </c>
      <c r="G780" s="350">
        <v>4718808.7773147589</v>
      </c>
      <c r="H780" s="348">
        <v>23829316.545001443</v>
      </c>
      <c r="I780" s="369"/>
      <c r="J780" s="350">
        <v>17272076.484255698</v>
      </c>
      <c r="K780" s="350">
        <v>16924628.356927983</v>
      </c>
      <c r="L780" s="350">
        <v>16566523.848618092</v>
      </c>
      <c r="M780" s="350">
        <v>16171469.611539515</v>
      </c>
      <c r="N780" s="350">
        <v>15717352.350628726</v>
      </c>
      <c r="O780" s="348">
        <v>82652050.651969999</v>
      </c>
      <c r="P780" s="369"/>
      <c r="Q780" s="350">
        <f t="shared" si="309"/>
        <v>12466479.783396406</v>
      </c>
      <c r="R780" s="350">
        <f t="shared" si="310"/>
        <v>12136349.497163773</v>
      </c>
      <c r="S780" s="350">
        <f t="shared" si="311"/>
        <v>11796973.384964773</v>
      </c>
      <c r="T780" s="350">
        <f t="shared" si="312"/>
        <v>11424387.868129648</v>
      </c>
      <c r="U780" s="350">
        <f t="shared" si="313"/>
        <v>10998543.573313966</v>
      </c>
      <c r="V780" s="350">
        <f t="shared" si="314"/>
        <v>58822734.106968552</v>
      </c>
      <c r="W780" s="365"/>
      <c r="X780" s="377">
        <f t="shared" si="292"/>
        <v>0</v>
      </c>
      <c r="Y780" s="377">
        <f t="shared" si="293"/>
        <v>0</v>
      </c>
      <c r="Z780" s="377">
        <f t="shared" si="294"/>
        <v>0</v>
      </c>
      <c r="AA780" s="377">
        <f t="shared" si="295"/>
        <v>0</v>
      </c>
      <c r="AB780" s="377">
        <f t="shared" si="296"/>
        <v>0</v>
      </c>
      <c r="AC780" s="377">
        <f t="shared" si="297"/>
        <v>0</v>
      </c>
      <c r="AD780" s="376"/>
      <c r="AE780" s="332">
        <v>765</v>
      </c>
      <c r="AF780" s="350">
        <v>435804.18939563289</v>
      </c>
      <c r="AG780" s="350">
        <v>434233.68979478726</v>
      </c>
      <c r="AH780" s="350">
        <v>432535.27147259889</v>
      </c>
      <c r="AI780" s="350">
        <v>430497.65512191667</v>
      </c>
      <c r="AJ780" s="350">
        <v>427933.67028551025</v>
      </c>
      <c r="AK780" s="348">
        <v>2161004.476070446</v>
      </c>
      <c r="AL780" s="369"/>
      <c r="AM780" s="350">
        <v>14018913.688874051</v>
      </c>
      <c r="AN780" s="350">
        <v>13897654.572370689</v>
      </c>
      <c r="AO780" s="350">
        <v>13764463.706224393</v>
      </c>
      <c r="AP780" s="350">
        <v>13592808.453949841</v>
      </c>
      <c r="AQ780" s="350">
        <v>13359979.657132057</v>
      </c>
      <c r="AR780" s="348">
        <v>68633820.078551024</v>
      </c>
      <c r="AS780" s="369"/>
      <c r="AT780" s="350">
        <f t="shared" si="315"/>
        <v>13583109.499478418</v>
      </c>
      <c r="AU780" s="350">
        <f t="shared" si="298"/>
        <v>13463420.882575901</v>
      </c>
      <c r="AV780" s="350">
        <f t="shared" si="299"/>
        <v>13331928.434751794</v>
      </c>
      <c r="AW780" s="350">
        <f t="shared" si="300"/>
        <v>13162310.798827924</v>
      </c>
      <c r="AX780" s="350">
        <f t="shared" si="301"/>
        <v>12932045.986846548</v>
      </c>
      <c r="AY780" s="350">
        <f t="shared" si="302"/>
        <v>66472815.602480575</v>
      </c>
      <c r="AZ780" s="365"/>
      <c r="BA780" s="377">
        <f t="shared" si="303"/>
        <v>0</v>
      </c>
      <c r="BB780" s="377">
        <f t="shared" si="304"/>
        <v>0</v>
      </c>
      <c r="BC780" s="377">
        <f t="shared" si="305"/>
        <v>0</v>
      </c>
      <c r="BD780" s="377">
        <f t="shared" si="306"/>
        <v>0</v>
      </c>
      <c r="BE780" s="377">
        <f t="shared" si="307"/>
        <v>0</v>
      </c>
      <c r="BF780" s="377">
        <f t="shared" si="308"/>
        <v>0</v>
      </c>
      <c r="BG780" s="328"/>
    </row>
    <row r="781" spans="2:59">
      <c r="B781" s="332">
        <v>766</v>
      </c>
      <c r="C781" s="350">
        <v>7860344.0974406302</v>
      </c>
      <c r="D781" s="350">
        <v>7832017.9189230278</v>
      </c>
      <c r="E781" s="350">
        <v>7801384.5455901269</v>
      </c>
      <c r="F781" s="350">
        <v>7764633.2567208214</v>
      </c>
      <c r="G781" s="350">
        <v>7718388.1687543094</v>
      </c>
      <c r="H781" s="348">
        <v>38976767.987428918</v>
      </c>
      <c r="I781" s="369"/>
      <c r="J781" s="350">
        <v>22410063.376521952</v>
      </c>
      <c r="K781" s="350">
        <v>21883854.877668869</v>
      </c>
      <c r="L781" s="350">
        <v>21345359.753243975</v>
      </c>
      <c r="M781" s="350">
        <v>20762898.354336172</v>
      </c>
      <c r="N781" s="350">
        <v>20110012.492761251</v>
      </c>
      <c r="O781" s="348">
        <v>106512188.85453221</v>
      </c>
      <c r="P781" s="369"/>
      <c r="Q781" s="350">
        <f t="shared" si="309"/>
        <v>14549719.279081322</v>
      </c>
      <c r="R781" s="350">
        <f t="shared" si="310"/>
        <v>14051836.958745841</v>
      </c>
      <c r="S781" s="350">
        <f t="shared" si="311"/>
        <v>13543975.207653848</v>
      </c>
      <c r="T781" s="350">
        <f t="shared" si="312"/>
        <v>12998265.09761535</v>
      </c>
      <c r="U781" s="350">
        <f t="shared" si="313"/>
        <v>12391624.324006941</v>
      </c>
      <c r="V781" s="350">
        <f t="shared" si="314"/>
        <v>67535420.867103294</v>
      </c>
      <c r="W781" s="365"/>
      <c r="X781" s="377">
        <f t="shared" si="292"/>
        <v>0</v>
      </c>
      <c r="Y781" s="377">
        <f t="shared" si="293"/>
        <v>0</v>
      </c>
      <c r="Z781" s="377">
        <f t="shared" si="294"/>
        <v>0</v>
      </c>
      <c r="AA781" s="377">
        <f t="shared" si="295"/>
        <v>0</v>
      </c>
      <c r="AB781" s="377">
        <f t="shared" si="296"/>
        <v>0</v>
      </c>
      <c r="AC781" s="377">
        <f t="shared" si="297"/>
        <v>0</v>
      </c>
      <c r="AD781" s="376"/>
      <c r="AE781" s="332">
        <v>766</v>
      </c>
      <c r="AF781" s="350">
        <v>297647.12587613822</v>
      </c>
      <c r="AG781" s="350">
        <v>296574.50036276359</v>
      </c>
      <c r="AH781" s="350">
        <v>295414.50845714234</v>
      </c>
      <c r="AI781" s="350">
        <v>294022.84985179518</v>
      </c>
      <c r="AJ781" s="350">
        <v>292271.69018900098</v>
      </c>
      <c r="AK781" s="348">
        <v>1475930.6747368404</v>
      </c>
      <c r="AL781" s="369"/>
      <c r="AM781" s="350">
        <v>11329412.91330686</v>
      </c>
      <c r="AN781" s="350">
        <v>11233947.985577365</v>
      </c>
      <c r="AO781" s="350">
        <v>11128788.710261587</v>
      </c>
      <c r="AP781" s="350">
        <v>10992410.946381316</v>
      </c>
      <c r="AQ781" s="350">
        <v>10806387.285911035</v>
      </c>
      <c r="AR781" s="348">
        <v>55490947.841438159</v>
      </c>
      <c r="AS781" s="369"/>
      <c r="AT781" s="350">
        <f t="shared" si="315"/>
        <v>11031765.787430722</v>
      </c>
      <c r="AU781" s="350">
        <f t="shared" si="298"/>
        <v>10937373.485214602</v>
      </c>
      <c r="AV781" s="350">
        <f t="shared" si="299"/>
        <v>10833374.201804444</v>
      </c>
      <c r="AW781" s="350">
        <f t="shared" si="300"/>
        <v>10698388.096529521</v>
      </c>
      <c r="AX781" s="350">
        <f t="shared" si="301"/>
        <v>10514115.595722035</v>
      </c>
      <c r="AY781" s="350">
        <f t="shared" si="302"/>
        <v>54015017.166701317</v>
      </c>
      <c r="AZ781" s="365"/>
      <c r="BA781" s="377">
        <f t="shared" si="303"/>
        <v>0</v>
      </c>
      <c r="BB781" s="377">
        <f t="shared" si="304"/>
        <v>0</v>
      </c>
      <c r="BC781" s="377">
        <f t="shared" si="305"/>
        <v>0</v>
      </c>
      <c r="BD781" s="377">
        <f t="shared" si="306"/>
        <v>0</v>
      </c>
      <c r="BE781" s="377">
        <f t="shared" si="307"/>
        <v>0</v>
      </c>
      <c r="BF781" s="377">
        <f t="shared" si="308"/>
        <v>0</v>
      </c>
      <c r="BG781" s="328"/>
    </row>
    <row r="782" spans="2:59">
      <c r="B782" s="332">
        <v>767</v>
      </c>
      <c r="C782" s="350">
        <v>10010219.660992354</v>
      </c>
      <c r="D782" s="350">
        <v>9974146.0151566677</v>
      </c>
      <c r="E782" s="350">
        <v>9935134.1357506048</v>
      </c>
      <c r="F782" s="350">
        <v>9888331.0352952257</v>
      </c>
      <c r="G782" s="350">
        <v>9829437.4953880608</v>
      </c>
      <c r="H782" s="348">
        <v>49637268.342582911</v>
      </c>
      <c r="I782" s="369"/>
      <c r="J782" s="350">
        <v>30266418.942831829</v>
      </c>
      <c r="K782" s="350">
        <v>29583840.522877671</v>
      </c>
      <c r="L782" s="350">
        <v>28884094.229329266</v>
      </c>
      <c r="M782" s="350">
        <v>28123486.721089967</v>
      </c>
      <c r="N782" s="350">
        <v>27265451.926043421</v>
      </c>
      <c r="O782" s="348">
        <v>144123292.34217215</v>
      </c>
      <c r="P782" s="369"/>
      <c r="Q782" s="350">
        <f t="shared" si="309"/>
        <v>20256199.281839475</v>
      </c>
      <c r="R782" s="350">
        <f t="shared" si="310"/>
        <v>19609694.507721003</v>
      </c>
      <c r="S782" s="350">
        <f t="shared" si="311"/>
        <v>18948960.093578659</v>
      </c>
      <c r="T782" s="350">
        <f t="shared" si="312"/>
        <v>18235155.685794741</v>
      </c>
      <c r="U782" s="350">
        <f t="shared" si="313"/>
        <v>17436014.43065536</v>
      </c>
      <c r="V782" s="350">
        <f t="shared" si="314"/>
        <v>94486023.999589235</v>
      </c>
      <c r="W782" s="365"/>
      <c r="X782" s="377">
        <f t="shared" si="292"/>
        <v>0</v>
      </c>
      <c r="Y782" s="377">
        <f t="shared" si="293"/>
        <v>0</v>
      </c>
      <c r="Z782" s="377">
        <f t="shared" si="294"/>
        <v>0</v>
      </c>
      <c r="AA782" s="377">
        <f t="shared" si="295"/>
        <v>0</v>
      </c>
      <c r="AB782" s="377">
        <f t="shared" si="296"/>
        <v>0</v>
      </c>
      <c r="AC782" s="377">
        <f t="shared" si="297"/>
        <v>0</v>
      </c>
      <c r="AD782" s="376"/>
      <c r="AE782" s="332">
        <v>767</v>
      </c>
      <c r="AF782" s="350">
        <v>384643.62887980882</v>
      </c>
      <c r="AG782" s="350">
        <v>383257.49565685546</v>
      </c>
      <c r="AH782" s="350">
        <v>381758.46053351613</v>
      </c>
      <c r="AI782" s="350">
        <v>379960.04701097036</v>
      </c>
      <c r="AJ782" s="350">
        <v>377697.05721907347</v>
      </c>
      <c r="AK782" s="348">
        <v>1907316.689300224</v>
      </c>
      <c r="AL782" s="369"/>
      <c r="AM782" s="350">
        <v>12796875.530954342</v>
      </c>
      <c r="AN782" s="350">
        <v>12686797.749296755</v>
      </c>
      <c r="AO782" s="350">
        <v>12565815.83805065</v>
      </c>
      <c r="AP782" s="350">
        <v>12409690.29228667</v>
      </c>
      <c r="AQ782" s="350">
        <v>12197673.42744091</v>
      </c>
      <c r="AR782" s="348">
        <v>62656852.838029332</v>
      </c>
      <c r="AS782" s="369"/>
      <c r="AT782" s="350">
        <f t="shared" si="315"/>
        <v>12412231.902074534</v>
      </c>
      <c r="AU782" s="350">
        <f t="shared" si="298"/>
        <v>12303540.253639899</v>
      </c>
      <c r="AV782" s="350">
        <f t="shared" si="299"/>
        <v>12184057.377517134</v>
      </c>
      <c r="AW782" s="350">
        <f t="shared" si="300"/>
        <v>12029730.245275699</v>
      </c>
      <c r="AX782" s="350">
        <f t="shared" si="301"/>
        <v>11819976.370221836</v>
      </c>
      <c r="AY782" s="350">
        <f t="shared" si="302"/>
        <v>60749536.148729108</v>
      </c>
      <c r="AZ782" s="365"/>
      <c r="BA782" s="377">
        <f t="shared" si="303"/>
        <v>0</v>
      </c>
      <c r="BB782" s="377">
        <f t="shared" si="304"/>
        <v>0</v>
      </c>
      <c r="BC782" s="377">
        <f t="shared" si="305"/>
        <v>0</v>
      </c>
      <c r="BD782" s="377">
        <f t="shared" si="306"/>
        <v>0</v>
      </c>
      <c r="BE782" s="377">
        <f t="shared" si="307"/>
        <v>0</v>
      </c>
      <c r="BF782" s="377">
        <f t="shared" si="308"/>
        <v>0</v>
      </c>
      <c r="BG782" s="328"/>
    </row>
    <row r="783" spans="2:59">
      <c r="B783" s="332">
        <v>768</v>
      </c>
      <c r="C783" s="350">
        <v>5036528.074235769</v>
      </c>
      <c r="D783" s="350">
        <v>5018378.0299665658</v>
      </c>
      <c r="E783" s="350">
        <v>4998749.6469228854</v>
      </c>
      <c r="F783" s="350">
        <v>4975201.1996971611</v>
      </c>
      <c r="G783" s="350">
        <v>4945569.585488989</v>
      </c>
      <c r="H783" s="348">
        <v>24974426.536311373</v>
      </c>
      <c r="I783" s="369"/>
      <c r="J783" s="350">
        <v>17372647.87402885</v>
      </c>
      <c r="K783" s="350">
        <v>17013760.526644044</v>
      </c>
      <c r="L783" s="350">
        <v>16644347.025947208</v>
      </c>
      <c r="M783" s="350">
        <v>16238265.031223331</v>
      </c>
      <c r="N783" s="350">
        <v>15773551.363134097</v>
      </c>
      <c r="O783" s="348">
        <v>83042571.820977539</v>
      </c>
      <c r="P783" s="369"/>
      <c r="Q783" s="350">
        <f t="shared" si="309"/>
        <v>12336119.799793081</v>
      </c>
      <c r="R783" s="350">
        <f t="shared" si="310"/>
        <v>11995382.496677477</v>
      </c>
      <c r="S783" s="350">
        <f t="shared" si="311"/>
        <v>11645597.379024323</v>
      </c>
      <c r="T783" s="350">
        <f t="shared" si="312"/>
        <v>11263063.83152617</v>
      </c>
      <c r="U783" s="350">
        <f t="shared" si="313"/>
        <v>10827981.777645107</v>
      </c>
      <c r="V783" s="350">
        <f t="shared" si="314"/>
        <v>58068145.284666166</v>
      </c>
      <c r="W783" s="365"/>
      <c r="X783" s="377">
        <f t="shared" si="292"/>
        <v>0</v>
      </c>
      <c r="Y783" s="377">
        <f t="shared" si="293"/>
        <v>0</v>
      </c>
      <c r="Z783" s="377">
        <f t="shared" si="294"/>
        <v>0</v>
      </c>
      <c r="AA783" s="377">
        <f t="shared" si="295"/>
        <v>0</v>
      </c>
      <c r="AB783" s="377">
        <f t="shared" si="296"/>
        <v>0</v>
      </c>
      <c r="AC783" s="377">
        <f t="shared" si="297"/>
        <v>0</v>
      </c>
      <c r="AD783" s="376"/>
      <c r="AE783" s="332">
        <v>768</v>
      </c>
      <c r="AF783" s="350">
        <v>370586.6763558574</v>
      </c>
      <c r="AG783" s="350">
        <v>369251.19991607667</v>
      </c>
      <c r="AH783" s="350">
        <v>367806.94762021297</v>
      </c>
      <c r="AI783" s="350">
        <v>366074.25782635197</v>
      </c>
      <c r="AJ783" s="350">
        <v>363893.96988541138</v>
      </c>
      <c r="AK783" s="348">
        <v>1837613.0516039105</v>
      </c>
      <c r="AL783" s="369"/>
      <c r="AM783" s="350">
        <v>11587166.809581496</v>
      </c>
      <c r="AN783" s="350">
        <v>11486460.029234035</v>
      </c>
      <c r="AO783" s="350">
        <v>11375901.034931378</v>
      </c>
      <c r="AP783" s="350">
        <v>11233575.141364953</v>
      </c>
      <c r="AQ783" s="350">
        <v>11040726.623480761</v>
      </c>
      <c r="AR783" s="348">
        <v>56723829.638592623</v>
      </c>
      <c r="AS783" s="369"/>
      <c r="AT783" s="350">
        <f t="shared" si="315"/>
        <v>11216580.133225638</v>
      </c>
      <c r="AU783" s="350">
        <f t="shared" si="298"/>
        <v>11117208.829317959</v>
      </c>
      <c r="AV783" s="350">
        <f t="shared" si="299"/>
        <v>11008094.087311165</v>
      </c>
      <c r="AW783" s="350">
        <f t="shared" si="300"/>
        <v>10867500.8835386</v>
      </c>
      <c r="AX783" s="350">
        <f t="shared" si="301"/>
        <v>10676832.653595351</v>
      </c>
      <c r="AY783" s="350">
        <f t="shared" si="302"/>
        <v>54886216.58698871</v>
      </c>
      <c r="AZ783" s="365"/>
      <c r="BA783" s="377">
        <f t="shared" si="303"/>
        <v>0</v>
      </c>
      <c r="BB783" s="377">
        <f t="shared" si="304"/>
        <v>0</v>
      </c>
      <c r="BC783" s="377">
        <f t="shared" si="305"/>
        <v>0</v>
      </c>
      <c r="BD783" s="377">
        <f t="shared" si="306"/>
        <v>0</v>
      </c>
      <c r="BE783" s="377">
        <f t="shared" si="307"/>
        <v>0</v>
      </c>
      <c r="BF783" s="377">
        <f t="shared" si="308"/>
        <v>0</v>
      </c>
      <c r="BG783" s="328"/>
    </row>
    <row r="784" spans="2:59">
      <c r="B784" s="332">
        <v>769</v>
      </c>
      <c r="C784" s="350">
        <v>5023825.6278751558</v>
      </c>
      <c r="D784" s="350">
        <v>5005721.3591799922</v>
      </c>
      <c r="E784" s="350">
        <v>4986142.4801754216</v>
      </c>
      <c r="F784" s="350">
        <v>4962653.4236417282</v>
      </c>
      <c r="G784" s="350">
        <v>4933096.5422623046</v>
      </c>
      <c r="H784" s="348">
        <v>24911439.433134604</v>
      </c>
      <c r="I784" s="369"/>
      <c r="J784" s="350">
        <v>16851065.933607154</v>
      </c>
      <c r="K784" s="350">
        <v>16496527.163598675</v>
      </c>
      <c r="L784" s="350">
        <v>16131909.495282464</v>
      </c>
      <c r="M784" s="350">
        <v>15732063.012684248</v>
      </c>
      <c r="N784" s="350">
        <v>15275874.269849971</v>
      </c>
      <c r="O784" s="348">
        <v>80487439.875022501</v>
      </c>
      <c r="P784" s="369"/>
      <c r="Q784" s="350">
        <f t="shared" si="309"/>
        <v>11827240.305731997</v>
      </c>
      <c r="R784" s="350">
        <f t="shared" si="310"/>
        <v>11490805.804418683</v>
      </c>
      <c r="S784" s="350">
        <f t="shared" si="311"/>
        <v>11145767.015107043</v>
      </c>
      <c r="T784" s="350">
        <f t="shared" si="312"/>
        <v>10769409.58904252</v>
      </c>
      <c r="U784" s="350">
        <f t="shared" si="313"/>
        <v>10342777.727587666</v>
      </c>
      <c r="V784" s="350">
        <f t="shared" si="314"/>
        <v>55576000.4418879</v>
      </c>
      <c r="W784" s="365"/>
      <c r="X784" s="377">
        <f t="shared" ref="X784:X847" si="316">IF(Q784&lt;Q$8,1,0)</f>
        <v>0</v>
      </c>
      <c r="Y784" s="377">
        <f t="shared" ref="Y784:Y847" si="317">IF(R784&lt;R$8,1,0)</f>
        <v>0</v>
      </c>
      <c r="Z784" s="377">
        <f t="shared" ref="Z784:Z847" si="318">IF(S784&lt;S$8,1,0)</f>
        <v>0</v>
      </c>
      <c r="AA784" s="377">
        <f t="shared" ref="AA784:AA847" si="319">IF(T784&lt;T$8,1,0)</f>
        <v>0</v>
      </c>
      <c r="AB784" s="377">
        <f t="shared" ref="AB784:AB847" si="320">IF(U784&lt;U$8,1,0)</f>
        <v>0</v>
      </c>
      <c r="AC784" s="377">
        <f t="shared" ref="AC784:AC847" si="321">IF(V784&lt;V$8,1,0)</f>
        <v>0</v>
      </c>
      <c r="AD784" s="376"/>
      <c r="AE784" s="332">
        <v>769</v>
      </c>
      <c r="AF784" s="350">
        <v>389284.23598235974</v>
      </c>
      <c r="AG784" s="350">
        <v>387881.3794883145</v>
      </c>
      <c r="AH784" s="350">
        <v>386364.25896717299</v>
      </c>
      <c r="AI784" s="350">
        <v>384544.148138499</v>
      </c>
      <c r="AJ784" s="350">
        <v>382253.85607064381</v>
      </c>
      <c r="AK784" s="348">
        <v>1930327.8786469898</v>
      </c>
      <c r="AL784" s="369"/>
      <c r="AM784" s="350">
        <v>13950466.58747782</v>
      </c>
      <c r="AN784" s="350">
        <v>13831859.148677647</v>
      </c>
      <c r="AO784" s="350">
        <v>13701336.159010269</v>
      </c>
      <c r="AP784" s="350">
        <v>13532428.008227371</v>
      </c>
      <c r="AQ784" s="350">
        <v>13302475.414954487</v>
      </c>
      <c r="AR784" s="348">
        <v>68318565.318347588</v>
      </c>
      <c r="AS784" s="369"/>
      <c r="AT784" s="350">
        <f t="shared" si="315"/>
        <v>13561182.35149546</v>
      </c>
      <c r="AU784" s="350">
        <f t="shared" ref="AU784:AU847" si="322">AN784-AG784</f>
        <v>13443977.769189332</v>
      </c>
      <c r="AV784" s="350">
        <f t="shared" ref="AV784:AV847" si="323">AO784-AH784</f>
        <v>13314971.900043096</v>
      </c>
      <c r="AW784" s="350">
        <f t="shared" ref="AW784:AW847" si="324">AP784-AI784</f>
        <v>13147883.860088872</v>
      </c>
      <c r="AX784" s="350">
        <f t="shared" ref="AX784:AX847" si="325">AQ784-AJ784</f>
        <v>12920221.558883844</v>
      </c>
      <c r="AY784" s="350">
        <f t="shared" ref="AY784:AY847" si="326">AR784-AK784</f>
        <v>66388237.439700596</v>
      </c>
      <c r="AZ784" s="365"/>
      <c r="BA784" s="377">
        <f t="shared" ref="BA784:BA847" si="327">IF(AT784&lt;AT$8,1,0)</f>
        <v>0</v>
      </c>
      <c r="BB784" s="377">
        <f t="shared" ref="BB784:BB847" si="328">IF(AU784&lt;AU$8,1,0)</f>
        <v>0</v>
      </c>
      <c r="BC784" s="377">
        <f t="shared" ref="BC784:BC847" si="329">IF(AV784&lt;AV$8,1,0)</f>
        <v>0</v>
      </c>
      <c r="BD784" s="377">
        <f t="shared" ref="BD784:BD847" si="330">IF(AW784&lt;AW$8,1,0)</f>
        <v>0</v>
      </c>
      <c r="BE784" s="377">
        <f t="shared" ref="BE784:BE847" si="331">IF(AX784&lt;AX$8,1,0)</f>
        <v>0</v>
      </c>
      <c r="BF784" s="377">
        <f t="shared" ref="BF784:BF847" si="332">IF(AY784&lt;AY$8,1,0)</f>
        <v>0</v>
      </c>
      <c r="BG784" s="328"/>
    </row>
    <row r="785" spans="2:59">
      <c r="B785" s="332">
        <v>770</v>
      </c>
      <c r="C785" s="350">
        <v>5340528.6766522676</v>
      </c>
      <c r="D785" s="350">
        <v>5321283.1109622782</v>
      </c>
      <c r="E785" s="350">
        <v>5300469.9752116157</v>
      </c>
      <c r="F785" s="350">
        <v>5275500.163498871</v>
      </c>
      <c r="G785" s="350">
        <v>5244080.0099562444</v>
      </c>
      <c r="H785" s="348">
        <v>26481861.936281279</v>
      </c>
      <c r="I785" s="369"/>
      <c r="J785" s="350">
        <v>19602552.909141894</v>
      </c>
      <c r="K785" s="350">
        <v>19213489.316929758</v>
      </c>
      <c r="L785" s="350">
        <v>18812223.998290364</v>
      </c>
      <c r="M785" s="350">
        <v>18368745.87744572</v>
      </c>
      <c r="N785" s="350">
        <v>17857802.042268958</v>
      </c>
      <c r="O785" s="348">
        <v>93854814.144076705</v>
      </c>
      <c r="P785" s="369"/>
      <c r="Q785" s="350">
        <f t="shared" ref="Q785:Q848" si="333">J785-C785</f>
        <v>14262024.232489627</v>
      </c>
      <c r="R785" s="350">
        <f t="shared" ref="R785:R848" si="334">K785-D785</f>
        <v>13892206.205967478</v>
      </c>
      <c r="S785" s="350">
        <f t="shared" ref="S785:S848" si="335">L785-E785</f>
        <v>13511754.023078747</v>
      </c>
      <c r="T785" s="350">
        <f t="shared" ref="T785:T848" si="336">M785-F785</f>
        <v>13093245.713946849</v>
      </c>
      <c r="U785" s="350">
        <f t="shared" ref="U785:U848" si="337">N785-G785</f>
        <v>12613722.032312714</v>
      </c>
      <c r="V785" s="350">
        <f t="shared" ref="V785:V848" si="338">O785-H785</f>
        <v>67372952.207795426</v>
      </c>
      <c r="W785" s="365"/>
      <c r="X785" s="377">
        <f t="shared" si="316"/>
        <v>0</v>
      </c>
      <c r="Y785" s="377">
        <f t="shared" si="317"/>
        <v>0</v>
      </c>
      <c r="Z785" s="377">
        <f t="shared" si="318"/>
        <v>0</v>
      </c>
      <c r="AA785" s="377">
        <f t="shared" si="319"/>
        <v>0</v>
      </c>
      <c r="AB785" s="377">
        <f t="shared" si="320"/>
        <v>0</v>
      </c>
      <c r="AC785" s="377">
        <f t="shared" si="321"/>
        <v>0</v>
      </c>
      <c r="AD785" s="376"/>
      <c r="AE785" s="332">
        <v>770</v>
      </c>
      <c r="AF785" s="350">
        <v>405303.98124300502</v>
      </c>
      <c r="AG785" s="350">
        <v>403843.39468543651</v>
      </c>
      <c r="AH785" s="350">
        <v>402263.84193089878</v>
      </c>
      <c r="AI785" s="350">
        <v>400368.830273662</v>
      </c>
      <c r="AJ785" s="350">
        <v>397984.28857505333</v>
      </c>
      <c r="AK785" s="348">
        <v>2009764.3367080558</v>
      </c>
      <c r="AL785" s="369"/>
      <c r="AM785" s="350">
        <v>14959009.481428379</v>
      </c>
      <c r="AN785" s="350">
        <v>14832389.850200776</v>
      </c>
      <c r="AO785" s="350">
        <v>14692981.752676355</v>
      </c>
      <c r="AP785" s="350">
        <v>14512383.803534076</v>
      </c>
      <c r="AQ785" s="350">
        <v>14266281.919579796</v>
      </c>
      <c r="AR785" s="348">
        <v>73263046.807419389</v>
      </c>
      <c r="AS785" s="369"/>
      <c r="AT785" s="350">
        <f t="shared" ref="AT785:AT848" si="339">AM785-AF785</f>
        <v>14553705.500185374</v>
      </c>
      <c r="AU785" s="350">
        <f t="shared" si="322"/>
        <v>14428546.45551534</v>
      </c>
      <c r="AV785" s="350">
        <f t="shared" si="323"/>
        <v>14290717.910745457</v>
      </c>
      <c r="AW785" s="350">
        <f t="shared" si="324"/>
        <v>14112014.973260414</v>
      </c>
      <c r="AX785" s="350">
        <f t="shared" si="325"/>
        <v>13868297.631004743</v>
      </c>
      <c r="AY785" s="350">
        <f t="shared" si="326"/>
        <v>71253282.470711336</v>
      </c>
      <c r="AZ785" s="365"/>
      <c r="BA785" s="377">
        <f t="shared" si="327"/>
        <v>0</v>
      </c>
      <c r="BB785" s="377">
        <f t="shared" si="328"/>
        <v>0</v>
      </c>
      <c r="BC785" s="377">
        <f t="shared" si="329"/>
        <v>0</v>
      </c>
      <c r="BD785" s="377">
        <f t="shared" si="330"/>
        <v>0</v>
      </c>
      <c r="BE785" s="377">
        <f t="shared" si="331"/>
        <v>0</v>
      </c>
      <c r="BF785" s="377">
        <f t="shared" si="332"/>
        <v>0</v>
      </c>
      <c r="BG785" s="328"/>
    </row>
    <row r="786" spans="2:59">
      <c r="B786" s="332">
        <v>771</v>
      </c>
      <c r="C786" s="350">
        <v>6422594.7413870953</v>
      </c>
      <c r="D786" s="350">
        <v>6399449.753974909</v>
      </c>
      <c r="E786" s="350">
        <v>6374419.5848067552</v>
      </c>
      <c r="F786" s="350">
        <v>6344390.5387872476</v>
      </c>
      <c r="G786" s="350">
        <v>6306604.2211519424</v>
      </c>
      <c r="H786" s="348">
        <v>31847458.840107948</v>
      </c>
      <c r="I786" s="369"/>
      <c r="J786" s="350">
        <v>23569801.297837269</v>
      </c>
      <c r="K786" s="350">
        <v>23101940.422934078</v>
      </c>
      <c r="L786" s="350">
        <v>22619409.54662488</v>
      </c>
      <c r="M786" s="350">
        <v>22086125.662098601</v>
      </c>
      <c r="N786" s="350">
        <v>21471726.751129955</v>
      </c>
      <c r="O786" s="348">
        <v>112849003.68062478</v>
      </c>
      <c r="P786" s="369"/>
      <c r="Q786" s="350">
        <f t="shared" si="333"/>
        <v>17147206.556450173</v>
      </c>
      <c r="R786" s="350">
        <f t="shared" si="334"/>
        <v>16702490.668959169</v>
      </c>
      <c r="S786" s="350">
        <f t="shared" si="335"/>
        <v>16244989.961818125</v>
      </c>
      <c r="T786" s="350">
        <f t="shared" si="336"/>
        <v>15741735.123311354</v>
      </c>
      <c r="U786" s="350">
        <f t="shared" si="337"/>
        <v>15165122.529978013</v>
      </c>
      <c r="V786" s="350">
        <f t="shared" si="338"/>
        <v>81001544.840516835</v>
      </c>
      <c r="W786" s="365"/>
      <c r="X786" s="377">
        <f t="shared" si="316"/>
        <v>0</v>
      </c>
      <c r="Y786" s="377">
        <f t="shared" si="317"/>
        <v>0</v>
      </c>
      <c r="Z786" s="377">
        <f t="shared" si="318"/>
        <v>0</v>
      </c>
      <c r="AA786" s="377">
        <f t="shared" si="319"/>
        <v>0</v>
      </c>
      <c r="AB786" s="377">
        <f t="shared" si="320"/>
        <v>0</v>
      </c>
      <c r="AC786" s="377">
        <f t="shared" si="321"/>
        <v>0</v>
      </c>
      <c r="AD786" s="376"/>
      <c r="AE786" s="332">
        <v>771</v>
      </c>
      <c r="AF786" s="350">
        <v>556223.78450233897</v>
      </c>
      <c r="AG786" s="350">
        <v>554219.33100510843</v>
      </c>
      <c r="AH786" s="350">
        <v>552051.61281922809</v>
      </c>
      <c r="AI786" s="350">
        <v>549450.97082101332</v>
      </c>
      <c r="AJ786" s="350">
        <v>546178.51639350899</v>
      </c>
      <c r="AK786" s="348">
        <v>2758124.2155411979</v>
      </c>
      <c r="AL786" s="369"/>
      <c r="AM786" s="350">
        <v>16219251.844097575</v>
      </c>
      <c r="AN786" s="350">
        <v>16076547.064858468</v>
      </c>
      <c r="AO786" s="350">
        <v>15920087.07118311</v>
      </c>
      <c r="AP786" s="350">
        <v>15719252.743176641</v>
      </c>
      <c r="AQ786" s="350">
        <v>15447842.085978014</v>
      </c>
      <c r="AR786" s="348">
        <v>79382980.809293807</v>
      </c>
      <c r="AS786" s="369"/>
      <c r="AT786" s="350">
        <f t="shared" si="339"/>
        <v>15663028.059595237</v>
      </c>
      <c r="AU786" s="350">
        <f t="shared" si="322"/>
        <v>15522327.733853361</v>
      </c>
      <c r="AV786" s="350">
        <f t="shared" si="323"/>
        <v>15368035.458363881</v>
      </c>
      <c r="AW786" s="350">
        <f t="shared" si="324"/>
        <v>15169801.772355627</v>
      </c>
      <c r="AX786" s="350">
        <f t="shared" si="325"/>
        <v>14901663.569584506</v>
      </c>
      <c r="AY786" s="350">
        <f t="shared" si="326"/>
        <v>76624856.593752608</v>
      </c>
      <c r="AZ786" s="365"/>
      <c r="BA786" s="377">
        <f t="shared" si="327"/>
        <v>0</v>
      </c>
      <c r="BB786" s="377">
        <f t="shared" si="328"/>
        <v>0</v>
      </c>
      <c r="BC786" s="377">
        <f t="shared" si="329"/>
        <v>0</v>
      </c>
      <c r="BD786" s="377">
        <f t="shared" si="330"/>
        <v>0</v>
      </c>
      <c r="BE786" s="377">
        <f t="shared" si="331"/>
        <v>0</v>
      </c>
      <c r="BF786" s="377">
        <f t="shared" si="332"/>
        <v>0</v>
      </c>
      <c r="BG786" s="328"/>
    </row>
    <row r="787" spans="2:59">
      <c r="B787" s="332">
        <v>772</v>
      </c>
      <c r="C787" s="350">
        <v>6709646.3436414013</v>
      </c>
      <c r="D787" s="350">
        <v>6685466.91361087</v>
      </c>
      <c r="E787" s="350">
        <v>6659318.0454660989</v>
      </c>
      <c r="F787" s="350">
        <v>6627946.8805489875</v>
      </c>
      <c r="G787" s="350">
        <v>6588471.7403338272</v>
      </c>
      <c r="H787" s="348">
        <v>33270849.923601188</v>
      </c>
      <c r="I787" s="369"/>
      <c r="J787" s="350">
        <v>18866853.196359217</v>
      </c>
      <c r="K787" s="350">
        <v>18419570.040384717</v>
      </c>
      <c r="L787" s="350">
        <v>17962030.115736678</v>
      </c>
      <c r="M787" s="350">
        <v>17467700.563695837</v>
      </c>
      <c r="N787" s="350">
        <v>16914432.983440876</v>
      </c>
      <c r="O787" s="348">
        <v>89630586.899617329</v>
      </c>
      <c r="P787" s="369"/>
      <c r="Q787" s="350">
        <f t="shared" si="333"/>
        <v>12157206.852717817</v>
      </c>
      <c r="R787" s="350">
        <f t="shared" si="334"/>
        <v>11734103.126773847</v>
      </c>
      <c r="S787" s="350">
        <f t="shared" si="335"/>
        <v>11302712.070270579</v>
      </c>
      <c r="T787" s="350">
        <f t="shared" si="336"/>
        <v>10839753.683146849</v>
      </c>
      <c r="U787" s="350">
        <f t="shared" si="337"/>
        <v>10325961.243107049</v>
      </c>
      <c r="V787" s="350">
        <f t="shared" si="338"/>
        <v>56359736.976016141</v>
      </c>
      <c r="W787" s="365"/>
      <c r="X787" s="377">
        <f t="shared" si="316"/>
        <v>0</v>
      </c>
      <c r="Y787" s="377">
        <f t="shared" si="317"/>
        <v>0</v>
      </c>
      <c r="Z787" s="377">
        <f t="shared" si="318"/>
        <v>0</v>
      </c>
      <c r="AA787" s="377">
        <f t="shared" si="319"/>
        <v>0</v>
      </c>
      <c r="AB787" s="377">
        <f t="shared" si="320"/>
        <v>0</v>
      </c>
      <c r="AC787" s="377">
        <f t="shared" si="321"/>
        <v>0</v>
      </c>
      <c r="AD787" s="376"/>
      <c r="AE787" s="332">
        <v>772</v>
      </c>
      <c r="AF787" s="350">
        <v>613982.34751742368</v>
      </c>
      <c r="AG787" s="350">
        <v>611769.75054115418</v>
      </c>
      <c r="AH787" s="350">
        <v>609376.93538724305</v>
      </c>
      <c r="AI787" s="350">
        <v>606506.24139032059</v>
      </c>
      <c r="AJ787" s="350">
        <v>602893.97361694498</v>
      </c>
      <c r="AK787" s="348">
        <v>3044529.2484530867</v>
      </c>
      <c r="AL787" s="369"/>
      <c r="AM787" s="350">
        <v>18416758.770157747</v>
      </c>
      <c r="AN787" s="350">
        <v>18255535.975067839</v>
      </c>
      <c r="AO787" s="350">
        <v>18078677.627845887</v>
      </c>
      <c r="AP787" s="350">
        <v>17851389.721848119</v>
      </c>
      <c r="AQ787" s="350">
        <v>17543896.029376343</v>
      </c>
      <c r="AR787" s="348">
        <v>90146258.124295935</v>
      </c>
      <c r="AS787" s="369"/>
      <c r="AT787" s="350">
        <f t="shared" si="339"/>
        <v>17802776.422640324</v>
      </c>
      <c r="AU787" s="350">
        <f t="shared" si="322"/>
        <v>17643766.224526685</v>
      </c>
      <c r="AV787" s="350">
        <f t="shared" si="323"/>
        <v>17469300.692458645</v>
      </c>
      <c r="AW787" s="350">
        <f t="shared" si="324"/>
        <v>17244883.480457798</v>
      </c>
      <c r="AX787" s="350">
        <f t="shared" si="325"/>
        <v>16941002.055759396</v>
      </c>
      <c r="AY787" s="350">
        <f t="shared" si="326"/>
        <v>87101728.875842854</v>
      </c>
      <c r="AZ787" s="365"/>
      <c r="BA787" s="377">
        <f t="shared" si="327"/>
        <v>0</v>
      </c>
      <c r="BB787" s="377">
        <f t="shared" si="328"/>
        <v>0</v>
      </c>
      <c r="BC787" s="377">
        <f t="shared" si="329"/>
        <v>0</v>
      </c>
      <c r="BD787" s="377">
        <f t="shared" si="330"/>
        <v>0</v>
      </c>
      <c r="BE787" s="377">
        <f t="shared" si="331"/>
        <v>0</v>
      </c>
      <c r="BF787" s="377">
        <f t="shared" si="332"/>
        <v>0</v>
      </c>
      <c r="BG787" s="328"/>
    </row>
    <row r="788" spans="2:59">
      <c r="B788" s="332">
        <v>773</v>
      </c>
      <c r="C788" s="350">
        <v>4361279.5813198928</v>
      </c>
      <c r="D788" s="350">
        <v>4345562.9177165935</v>
      </c>
      <c r="E788" s="350">
        <v>4328566.1165629113</v>
      </c>
      <c r="F788" s="350">
        <v>4308174.8151458278</v>
      </c>
      <c r="G788" s="350">
        <v>4282515.9183616079</v>
      </c>
      <c r="H788" s="348">
        <v>21626099.349106833</v>
      </c>
      <c r="I788" s="369"/>
      <c r="J788" s="350">
        <v>14896125.897359274</v>
      </c>
      <c r="K788" s="350">
        <v>14586416.78802125</v>
      </c>
      <c r="L788" s="350">
        <v>14267722.536205366</v>
      </c>
      <c r="M788" s="350">
        <v>13917691.486990627</v>
      </c>
      <c r="N788" s="350">
        <v>13517550.083699066</v>
      </c>
      <c r="O788" s="348">
        <v>71185506.792275578</v>
      </c>
      <c r="P788" s="369"/>
      <c r="Q788" s="350">
        <f t="shared" si="333"/>
        <v>10534846.316039382</v>
      </c>
      <c r="R788" s="350">
        <f t="shared" si="334"/>
        <v>10240853.870304655</v>
      </c>
      <c r="S788" s="350">
        <f t="shared" si="335"/>
        <v>9939156.4196424559</v>
      </c>
      <c r="T788" s="350">
        <f t="shared" si="336"/>
        <v>9609516.6718447991</v>
      </c>
      <c r="U788" s="350">
        <f t="shared" si="337"/>
        <v>9235034.1653374583</v>
      </c>
      <c r="V788" s="350">
        <f t="shared" si="338"/>
        <v>49559407.443168744</v>
      </c>
      <c r="W788" s="365"/>
      <c r="X788" s="377">
        <f t="shared" si="316"/>
        <v>0</v>
      </c>
      <c r="Y788" s="377">
        <f t="shared" si="317"/>
        <v>0</v>
      </c>
      <c r="Z788" s="377">
        <f t="shared" si="318"/>
        <v>0</v>
      </c>
      <c r="AA788" s="377">
        <f t="shared" si="319"/>
        <v>0</v>
      </c>
      <c r="AB788" s="377">
        <f t="shared" si="320"/>
        <v>0</v>
      </c>
      <c r="AC788" s="377">
        <f t="shared" si="321"/>
        <v>0</v>
      </c>
      <c r="AD788" s="376"/>
      <c r="AE788" s="332">
        <v>773</v>
      </c>
      <c r="AF788" s="350">
        <v>476266.39586690586</v>
      </c>
      <c r="AG788" s="350">
        <v>474550.08335131838</v>
      </c>
      <c r="AH788" s="350">
        <v>472693.97551053629</v>
      </c>
      <c r="AI788" s="350">
        <v>470467.17682637332</v>
      </c>
      <c r="AJ788" s="350">
        <v>467665.13901488227</v>
      </c>
      <c r="AK788" s="348">
        <v>2361642.7705700165</v>
      </c>
      <c r="AL788" s="369"/>
      <c r="AM788" s="350">
        <v>12239180.855867077</v>
      </c>
      <c r="AN788" s="350">
        <v>12128871.623390324</v>
      </c>
      <c r="AO788" s="350">
        <v>12008236.155392254</v>
      </c>
      <c r="AP788" s="350">
        <v>11854253.726880409</v>
      </c>
      <c r="AQ788" s="350">
        <v>11647229.783224858</v>
      </c>
      <c r="AR788" s="348">
        <v>59877772.144754924</v>
      </c>
      <c r="AS788" s="369"/>
      <c r="AT788" s="350">
        <f t="shared" si="339"/>
        <v>11762914.46000017</v>
      </c>
      <c r="AU788" s="350">
        <f t="shared" si="322"/>
        <v>11654321.540039007</v>
      </c>
      <c r="AV788" s="350">
        <f t="shared" si="323"/>
        <v>11535542.179881718</v>
      </c>
      <c r="AW788" s="350">
        <f t="shared" si="324"/>
        <v>11383786.550054036</v>
      </c>
      <c r="AX788" s="350">
        <f t="shared" si="325"/>
        <v>11179564.644209975</v>
      </c>
      <c r="AY788" s="350">
        <f t="shared" si="326"/>
        <v>57516129.374184906</v>
      </c>
      <c r="AZ788" s="365"/>
      <c r="BA788" s="377">
        <f t="shared" si="327"/>
        <v>0</v>
      </c>
      <c r="BB788" s="377">
        <f t="shared" si="328"/>
        <v>0</v>
      </c>
      <c r="BC788" s="377">
        <f t="shared" si="329"/>
        <v>0</v>
      </c>
      <c r="BD788" s="377">
        <f t="shared" si="330"/>
        <v>0</v>
      </c>
      <c r="BE788" s="377">
        <f t="shared" si="331"/>
        <v>0</v>
      </c>
      <c r="BF788" s="377">
        <f t="shared" si="332"/>
        <v>0</v>
      </c>
      <c r="BG788" s="328"/>
    </row>
    <row r="789" spans="2:59">
      <c r="B789" s="332">
        <v>774</v>
      </c>
      <c r="C789" s="350">
        <v>6216012.9622203028</v>
      </c>
      <c r="D789" s="350">
        <v>6193612.4297941327</v>
      </c>
      <c r="E789" s="350">
        <v>6169387.3521953244</v>
      </c>
      <c r="F789" s="350">
        <v>6140324.1858557863</v>
      </c>
      <c r="G789" s="350">
        <v>6103753.2593574859</v>
      </c>
      <c r="H789" s="348">
        <v>30823090.189423032</v>
      </c>
      <c r="I789" s="369"/>
      <c r="J789" s="350">
        <v>19290631.86943163</v>
      </c>
      <c r="K789" s="350">
        <v>18863197.157989394</v>
      </c>
      <c r="L789" s="350">
        <v>18424664.835376762</v>
      </c>
      <c r="M789" s="350">
        <v>17946940.566474326</v>
      </c>
      <c r="N789" s="350">
        <v>17406493.060941506</v>
      </c>
      <c r="O789" s="348">
        <v>91931927.490213618</v>
      </c>
      <c r="P789" s="369"/>
      <c r="Q789" s="350">
        <f t="shared" si="333"/>
        <v>13074618.907211326</v>
      </c>
      <c r="R789" s="350">
        <f t="shared" si="334"/>
        <v>12669584.728195261</v>
      </c>
      <c r="S789" s="350">
        <f t="shared" si="335"/>
        <v>12255277.483181437</v>
      </c>
      <c r="T789" s="350">
        <f t="shared" si="336"/>
        <v>11806616.380618539</v>
      </c>
      <c r="U789" s="350">
        <f t="shared" si="337"/>
        <v>11302739.80158402</v>
      </c>
      <c r="V789" s="350">
        <f t="shared" si="338"/>
        <v>61108837.300790586</v>
      </c>
      <c r="W789" s="365"/>
      <c r="X789" s="377">
        <f t="shared" si="316"/>
        <v>0</v>
      </c>
      <c r="Y789" s="377">
        <f t="shared" si="317"/>
        <v>0</v>
      </c>
      <c r="Z789" s="377">
        <f t="shared" si="318"/>
        <v>0</v>
      </c>
      <c r="AA789" s="377">
        <f t="shared" si="319"/>
        <v>0</v>
      </c>
      <c r="AB789" s="377">
        <f t="shared" si="320"/>
        <v>0</v>
      </c>
      <c r="AC789" s="377">
        <f t="shared" si="321"/>
        <v>0</v>
      </c>
      <c r="AD789" s="376"/>
      <c r="AE789" s="332">
        <v>774</v>
      </c>
      <c r="AF789" s="350">
        <v>433465.85912867857</v>
      </c>
      <c r="AG789" s="350">
        <v>431903.78612592519</v>
      </c>
      <c r="AH789" s="350">
        <v>430214.48075644672</v>
      </c>
      <c r="AI789" s="350">
        <v>428187.79734331119</v>
      </c>
      <c r="AJ789" s="350">
        <v>425637.56970220676</v>
      </c>
      <c r="AK789" s="348">
        <v>2149409.4930565683</v>
      </c>
      <c r="AL789" s="369"/>
      <c r="AM789" s="350">
        <v>9438972.225129094</v>
      </c>
      <c r="AN789" s="350">
        <v>9350830.9014147557</v>
      </c>
      <c r="AO789" s="350">
        <v>9254788.572468007</v>
      </c>
      <c r="AP789" s="350">
        <v>9133190.5808164086</v>
      </c>
      <c r="AQ789" s="350">
        <v>8970939.2174311411</v>
      </c>
      <c r="AR789" s="348">
        <v>46148721.497259408</v>
      </c>
      <c r="AS789" s="369"/>
      <c r="AT789" s="350">
        <f t="shared" si="339"/>
        <v>9005506.3660004158</v>
      </c>
      <c r="AU789" s="350">
        <f t="shared" si="322"/>
        <v>8918927.1152888313</v>
      </c>
      <c r="AV789" s="350">
        <f t="shared" si="323"/>
        <v>8824574.0917115603</v>
      </c>
      <c r="AW789" s="350">
        <f t="shared" si="324"/>
        <v>8705002.7834730968</v>
      </c>
      <c r="AX789" s="350">
        <f t="shared" si="325"/>
        <v>8545301.6477289349</v>
      </c>
      <c r="AY789" s="350">
        <f t="shared" si="326"/>
        <v>43999312.004202843</v>
      </c>
      <c r="AZ789" s="365"/>
      <c r="BA789" s="377">
        <f t="shared" si="327"/>
        <v>0</v>
      </c>
      <c r="BB789" s="377">
        <f t="shared" si="328"/>
        <v>0</v>
      </c>
      <c r="BC789" s="377">
        <f t="shared" si="329"/>
        <v>0</v>
      </c>
      <c r="BD789" s="377">
        <f t="shared" si="330"/>
        <v>0</v>
      </c>
      <c r="BE789" s="377">
        <f t="shared" si="331"/>
        <v>0</v>
      </c>
      <c r="BF789" s="377">
        <f t="shared" si="332"/>
        <v>0</v>
      </c>
      <c r="BG789" s="328"/>
    </row>
    <row r="790" spans="2:59">
      <c r="B790" s="332">
        <v>775</v>
      </c>
      <c r="C790" s="350">
        <v>6760660.1841817982</v>
      </c>
      <c r="D790" s="350">
        <v>6736296.9165054727</v>
      </c>
      <c r="E790" s="350">
        <v>6709949.236959694</v>
      </c>
      <c r="F790" s="350">
        <v>6678339.5552083589</v>
      </c>
      <c r="G790" s="350">
        <v>6638564.2831523968</v>
      </c>
      <c r="H790" s="348">
        <v>33523810.176007722</v>
      </c>
      <c r="I790" s="369"/>
      <c r="J790" s="350">
        <v>19762273.259092957</v>
      </c>
      <c r="K790" s="350">
        <v>19306169.630872469</v>
      </c>
      <c r="L790" s="350">
        <v>18839069.085067082</v>
      </c>
      <c r="M790" s="350">
        <v>18332778.793666262</v>
      </c>
      <c r="N790" s="350">
        <v>17763731.719329722</v>
      </c>
      <c r="O790" s="348">
        <v>94004022.488028497</v>
      </c>
      <c r="P790" s="369"/>
      <c r="Q790" s="350">
        <f t="shared" si="333"/>
        <v>13001613.074911159</v>
      </c>
      <c r="R790" s="350">
        <f t="shared" si="334"/>
        <v>12569872.714366997</v>
      </c>
      <c r="S790" s="350">
        <f t="shared" si="335"/>
        <v>12129119.848107388</v>
      </c>
      <c r="T790" s="350">
        <f t="shared" si="336"/>
        <v>11654439.238457903</v>
      </c>
      <c r="U790" s="350">
        <f t="shared" si="337"/>
        <v>11125167.436177325</v>
      </c>
      <c r="V790" s="350">
        <f t="shared" si="338"/>
        <v>60480212.312020779</v>
      </c>
      <c r="W790" s="365"/>
      <c r="X790" s="377">
        <f t="shared" si="316"/>
        <v>0</v>
      </c>
      <c r="Y790" s="377">
        <f t="shared" si="317"/>
        <v>0</v>
      </c>
      <c r="Z790" s="377">
        <f t="shared" si="318"/>
        <v>0</v>
      </c>
      <c r="AA790" s="377">
        <f t="shared" si="319"/>
        <v>0</v>
      </c>
      <c r="AB790" s="377">
        <f t="shared" si="320"/>
        <v>0</v>
      </c>
      <c r="AC790" s="377">
        <f t="shared" si="321"/>
        <v>0</v>
      </c>
      <c r="AD790" s="376"/>
      <c r="AE790" s="332">
        <v>775</v>
      </c>
      <c r="AF790" s="350">
        <v>458358.93674029881</v>
      </c>
      <c r="AG790" s="350">
        <v>456707.15700822941</v>
      </c>
      <c r="AH790" s="350">
        <v>454920.83820900426</v>
      </c>
      <c r="AI790" s="350">
        <v>452777.76641963352</v>
      </c>
      <c r="AJ790" s="350">
        <v>450081.08430406393</v>
      </c>
      <c r="AK790" s="348">
        <v>2272845.78268123</v>
      </c>
      <c r="AL790" s="369"/>
      <c r="AM790" s="350">
        <v>13998514.1255551</v>
      </c>
      <c r="AN790" s="350">
        <v>13876355.578883529</v>
      </c>
      <c r="AO790" s="350">
        <v>13742304.614520464</v>
      </c>
      <c r="AP790" s="350">
        <v>13569901.951982068</v>
      </c>
      <c r="AQ790" s="350">
        <v>13336503.342272772</v>
      </c>
      <c r="AR790" s="348">
        <v>68523579.613213927</v>
      </c>
      <c r="AS790" s="369"/>
      <c r="AT790" s="350">
        <f t="shared" si="339"/>
        <v>13540155.1888148</v>
      </c>
      <c r="AU790" s="350">
        <f t="shared" si="322"/>
        <v>13419648.4218753</v>
      </c>
      <c r="AV790" s="350">
        <f t="shared" si="323"/>
        <v>13287383.776311459</v>
      </c>
      <c r="AW790" s="350">
        <f t="shared" si="324"/>
        <v>13117124.185562434</v>
      </c>
      <c r="AX790" s="350">
        <f t="shared" si="325"/>
        <v>12886422.257968707</v>
      </c>
      <c r="AY790" s="350">
        <f t="shared" si="326"/>
        <v>66250733.8305327</v>
      </c>
      <c r="AZ790" s="365"/>
      <c r="BA790" s="377">
        <f t="shared" si="327"/>
        <v>0</v>
      </c>
      <c r="BB790" s="377">
        <f t="shared" si="328"/>
        <v>0</v>
      </c>
      <c r="BC790" s="377">
        <f t="shared" si="329"/>
        <v>0</v>
      </c>
      <c r="BD790" s="377">
        <f t="shared" si="330"/>
        <v>0</v>
      </c>
      <c r="BE790" s="377">
        <f t="shared" si="331"/>
        <v>0</v>
      </c>
      <c r="BF790" s="377">
        <f t="shared" si="332"/>
        <v>0</v>
      </c>
      <c r="BG790" s="328"/>
    </row>
    <row r="791" spans="2:59">
      <c r="B791" s="332">
        <v>776</v>
      </c>
      <c r="C791" s="350">
        <v>4549132.85307936</v>
      </c>
      <c r="D791" s="350">
        <v>4532739.2260702625</v>
      </c>
      <c r="E791" s="350">
        <v>4515010.3221823629</v>
      </c>
      <c r="F791" s="350">
        <v>4493740.7068174565</v>
      </c>
      <c r="G791" s="350">
        <v>4466976.6050995048</v>
      </c>
      <c r="H791" s="348">
        <v>22557599.713248946</v>
      </c>
      <c r="I791" s="369"/>
      <c r="J791" s="350">
        <v>16736283.34108226</v>
      </c>
      <c r="K791" s="350">
        <v>16404595.847993707</v>
      </c>
      <c r="L791" s="350">
        <v>16062480.799693242</v>
      </c>
      <c r="M791" s="350">
        <v>15684299.570243953</v>
      </c>
      <c r="N791" s="350">
        <v>15248477.268849853</v>
      </c>
      <c r="O791" s="348">
        <v>80136136.827863023</v>
      </c>
      <c r="P791" s="369"/>
      <c r="Q791" s="350">
        <f t="shared" si="333"/>
        <v>12187150.4880029</v>
      </c>
      <c r="R791" s="350">
        <f t="shared" si="334"/>
        <v>11871856.621923445</v>
      </c>
      <c r="S791" s="350">
        <f t="shared" si="335"/>
        <v>11547470.477510879</v>
      </c>
      <c r="T791" s="350">
        <f t="shared" si="336"/>
        <v>11190558.863426495</v>
      </c>
      <c r="U791" s="350">
        <f t="shared" si="337"/>
        <v>10781500.663750349</v>
      </c>
      <c r="V791" s="350">
        <f t="shared" si="338"/>
        <v>57578537.114614077</v>
      </c>
      <c r="W791" s="365"/>
      <c r="X791" s="377">
        <f t="shared" si="316"/>
        <v>0</v>
      </c>
      <c r="Y791" s="377">
        <f t="shared" si="317"/>
        <v>0</v>
      </c>
      <c r="Z791" s="377">
        <f t="shared" si="318"/>
        <v>0</v>
      </c>
      <c r="AA791" s="377">
        <f t="shared" si="319"/>
        <v>0</v>
      </c>
      <c r="AB791" s="377">
        <f t="shared" si="320"/>
        <v>0</v>
      </c>
      <c r="AC791" s="377">
        <f t="shared" si="321"/>
        <v>0</v>
      </c>
      <c r="AD791" s="376"/>
      <c r="AE791" s="332">
        <v>776</v>
      </c>
      <c r="AF791" s="350">
        <v>465056.20253673522</v>
      </c>
      <c r="AG791" s="350">
        <v>463380.28799018729</v>
      </c>
      <c r="AH791" s="350">
        <v>461567.86857234937</v>
      </c>
      <c r="AI791" s="350">
        <v>459393.48350370378</v>
      </c>
      <c r="AJ791" s="350">
        <v>456657.39908690524</v>
      </c>
      <c r="AK791" s="348">
        <v>2306055.2416898808</v>
      </c>
      <c r="AL791" s="369"/>
      <c r="AM791" s="350">
        <v>15216859.039728669</v>
      </c>
      <c r="AN791" s="350">
        <v>15085608.709934002</v>
      </c>
      <c r="AO791" s="350">
        <v>14941399.46936365</v>
      </c>
      <c r="AP791" s="350">
        <v>14755419.442456894</v>
      </c>
      <c r="AQ791" s="350">
        <v>14503007.949001618</v>
      </c>
      <c r="AR791" s="348">
        <v>74502294.610484838</v>
      </c>
      <c r="AS791" s="369"/>
      <c r="AT791" s="350">
        <f t="shared" si="339"/>
        <v>14751802.837191934</v>
      </c>
      <c r="AU791" s="350">
        <f t="shared" si="322"/>
        <v>14622228.421943814</v>
      </c>
      <c r="AV791" s="350">
        <f t="shared" si="323"/>
        <v>14479831.600791302</v>
      </c>
      <c r="AW791" s="350">
        <f t="shared" si="324"/>
        <v>14296025.958953191</v>
      </c>
      <c r="AX791" s="350">
        <f t="shared" si="325"/>
        <v>14046350.549914712</v>
      </c>
      <c r="AY791" s="350">
        <f t="shared" si="326"/>
        <v>72196239.368794963</v>
      </c>
      <c r="AZ791" s="365"/>
      <c r="BA791" s="377">
        <f t="shared" si="327"/>
        <v>0</v>
      </c>
      <c r="BB791" s="377">
        <f t="shared" si="328"/>
        <v>0</v>
      </c>
      <c r="BC791" s="377">
        <f t="shared" si="329"/>
        <v>0</v>
      </c>
      <c r="BD791" s="377">
        <f t="shared" si="330"/>
        <v>0</v>
      </c>
      <c r="BE791" s="377">
        <f t="shared" si="331"/>
        <v>0</v>
      </c>
      <c r="BF791" s="377">
        <f t="shared" si="332"/>
        <v>0</v>
      </c>
      <c r="BG791" s="328"/>
    </row>
    <row r="792" spans="2:59">
      <c r="B792" s="332">
        <v>777</v>
      </c>
      <c r="C792" s="350">
        <v>4622651.2871982921</v>
      </c>
      <c r="D792" s="350">
        <v>4605992.7231503846</v>
      </c>
      <c r="E792" s="350">
        <v>4587977.3028439553</v>
      </c>
      <c r="F792" s="350">
        <v>4566363.9497016668</v>
      </c>
      <c r="G792" s="350">
        <v>4539167.3139354782</v>
      </c>
      <c r="H792" s="348">
        <v>22922152.576829776</v>
      </c>
      <c r="I792" s="369"/>
      <c r="J792" s="350">
        <v>16392147.496842671</v>
      </c>
      <c r="K792" s="350">
        <v>16059529.331204966</v>
      </c>
      <c r="L792" s="350">
        <v>15716856.298573516</v>
      </c>
      <c r="M792" s="350">
        <v>15339267.28862109</v>
      </c>
      <c r="N792" s="350">
        <v>14905860.597673941</v>
      </c>
      <c r="O792" s="348">
        <v>78413661.012916192</v>
      </c>
      <c r="P792" s="369"/>
      <c r="Q792" s="350">
        <f t="shared" si="333"/>
        <v>11769496.209644379</v>
      </c>
      <c r="R792" s="350">
        <f t="shared" si="334"/>
        <v>11453536.608054582</v>
      </c>
      <c r="S792" s="350">
        <f t="shared" si="335"/>
        <v>11128878.995729562</v>
      </c>
      <c r="T792" s="350">
        <f t="shared" si="336"/>
        <v>10772903.338919424</v>
      </c>
      <c r="U792" s="350">
        <f t="shared" si="337"/>
        <v>10366693.283738464</v>
      </c>
      <c r="V792" s="350">
        <f t="shared" si="338"/>
        <v>55491508.436086416</v>
      </c>
      <c r="W792" s="365"/>
      <c r="X792" s="377">
        <f t="shared" si="316"/>
        <v>0</v>
      </c>
      <c r="Y792" s="377">
        <f t="shared" si="317"/>
        <v>0</v>
      </c>
      <c r="Z792" s="377">
        <f t="shared" si="318"/>
        <v>0</v>
      </c>
      <c r="AA792" s="377">
        <f t="shared" si="319"/>
        <v>0</v>
      </c>
      <c r="AB792" s="377">
        <f t="shared" si="320"/>
        <v>0</v>
      </c>
      <c r="AC792" s="377">
        <f t="shared" si="321"/>
        <v>0</v>
      </c>
      <c r="AD792" s="376"/>
      <c r="AE792" s="332">
        <v>777</v>
      </c>
      <c r="AF792" s="350">
        <v>342015.74204139237</v>
      </c>
      <c r="AG792" s="350">
        <v>340783.22615598107</v>
      </c>
      <c r="AH792" s="350">
        <v>339450.32065187028</v>
      </c>
      <c r="AI792" s="350">
        <v>337851.21517025324</v>
      </c>
      <c r="AJ792" s="350">
        <v>335839.01979043701</v>
      </c>
      <c r="AK792" s="348">
        <v>1695939.523809934</v>
      </c>
      <c r="AL792" s="369"/>
      <c r="AM792" s="350">
        <v>15451821.92273291</v>
      </c>
      <c r="AN792" s="350">
        <v>15324586.75439834</v>
      </c>
      <c r="AO792" s="350">
        <v>15184069.20361373</v>
      </c>
      <c r="AP792" s="350">
        <v>15000817.383148456</v>
      </c>
      <c r="AQ792" s="350">
        <v>14749610.888783164</v>
      </c>
      <c r="AR792" s="348">
        <v>75710906.152676597</v>
      </c>
      <c r="AS792" s="369"/>
      <c r="AT792" s="350">
        <f t="shared" si="339"/>
        <v>15109806.180691518</v>
      </c>
      <c r="AU792" s="350">
        <f t="shared" si="322"/>
        <v>14983803.528242359</v>
      </c>
      <c r="AV792" s="350">
        <f t="shared" si="323"/>
        <v>14844618.88296186</v>
      </c>
      <c r="AW792" s="350">
        <f t="shared" si="324"/>
        <v>14662966.167978203</v>
      </c>
      <c r="AX792" s="350">
        <f t="shared" si="325"/>
        <v>14413771.868992727</v>
      </c>
      <c r="AY792" s="350">
        <f t="shared" si="326"/>
        <v>74014966.628866658</v>
      </c>
      <c r="AZ792" s="365"/>
      <c r="BA792" s="377">
        <f t="shared" si="327"/>
        <v>0</v>
      </c>
      <c r="BB792" s="377">
        <f t="shared" si="328"/>
        <v>0</v>
      </c>
      <c r="BC792" s="377">
        <f t="shared" si="329"/>
        <v>0</v>
      </c>
      <c r="BD792" s="377">
        <f t="shared" si="330"/>
        <v>0</v>
      </c>
      <c r="BE792" s="377">
        <f t="shared" si="331"/>
        <v>0</v>
      </c>
      <c r="BF792" s="377">
        <f t="shared" si="332"/>
        <v>0</v>
      </c>
      <c r="BG792" s="328"/>
    </row>
    <row r="793" spans="2:59">
      <c r="B793" s="332">
        <v>778</v>
      </c>
      <c r="C793" s="350">
        <v>7090397.3262191741</v>
      </c>
      <c r="D793" s="350">
        <v>7064845.7908241032</v>
      </c>
      <c r="E793" s="350">
        <v>7037213.0579971261</v>
      </c>
      <c r="F793" s="350">
        <v>7004061.6797490809</v>
      </c>
      <c r="G793" s="350">
        <v>6962346.451509227</v>
      </c>
      <c r="H793" s="348">
        <v>35158864.30629871</v>
      </c>
      <c r="I793" s="369"/>
      <c r="J793" s="350">
        <v>22298235.705585256</v>
      </c>
      <c r="K793" s="350">
        <v>21808555.884842962</v>
      </c>
      <c r="L793" s="350">
        <v>21305958.451559678</v>
      </c>
      <c r="M793" s="350">
        <v>20757826.896714538</v>
      </c>
      <c r="N793" s="350">
        <v>20136830.960692875</v>
      </c>
      <c r="O793" s="348">
        <v>106307407.89939532</v>
      </c>
      <c r="P793" s="369"/>
      <c r="Q793" s="350">
        <f t="shared" si="333"/>
        <v>15207838.379366081</v>
      </c>
      <c r="R793" s="350">
        <f t="shared" si="334"/>
        <v>14743710.094018858</v>
      </c>
      <c r="S793" s="350">
        <f t="shared" si="335"/>
        <v>14268745.393562552</v>
      </c>
      <c r="T793" s="350">
        <f t="shared" si="336"/>
        <v>13753765.216965457</v>
      </c>
      <c r="U793" s="350">
        <f t="shared" si="337"/>
        <v>13174484.509183649</v>
      </c>
      <c r="V793" s="350">
        <f t="shared" si="338"/>
        <v>71148543.593096614</v>
      </c>
      <c r="W793" s="365"/>
      <c r="X793" s="377">
        <f t="shared" si="316"/>
        <v>0</v>
      </c>
      <c r="Y793" s="377">
        <f t="shared" si="317"/>
        <v>0</v>
      </c>
      <c r="Z793" s="377">
        <f t="shared" si="318"/>
        <v>0</v>
      </c>
      <c r="AA793" s="377">
        <f t="shared" si="319"/>
        <v>0</v>
      </c>
      <c r="AB793" s="377">
        <f t="shared" si="320"/>
        <v>0</v>
      </c>
      <c r="AC793" s="377">
        <f t="shared" si="321"/>
        <v>0</v>
      </c>
      <c r="AD793" s="376"/>
      <c r="AE793" s="332">
        <v>778</v>
      </c>
      <c r="AF793" s="350">
        <v>405527.01979443408</v>
      </c>
      <c r="AG793" s="350">
        <v>404065.62947690993</v>
      </c>
      <c r="AH793" s="350">
        <v>402485.20749538532</v>
      </c>
      <c r="AI793" s="350">
        <v>400589.15301430656</v>
      </c>
      <c r="AJ793" s="350">
        <v>398203.29910375091</v>
      </c>
      <c r="AK793" s="348">
        <v>2010870.3088847869</v>
      </c>
      <c r="AL793" s="369"/>
      <c r="AM793" s="350">
        <v>11217798.533044953</v>
      </c>
      <c r="AN793" s="350">
        <v>11118132.820832504</v>
      </c>
      <c r="AO793" s="350">
        <v>11008973.252350178</v>
      </c>
      <c r="AP793" s="350">
        <v>10869173.782072235</v>
      </c>
      <c r="AQ793" s="350">
        <v>10680640.812962368</v>
      </c>
      <c r="AR793" s="348">
        <v>54894719.201262236</v>
      </c>
      <c r="AS793" s="369"/>
      <c r="AT793" s="350">
        <f t="shared" si="339"/>
        <v>10812271.513250519</v>
      </c>
      <c r="AU793" s="350">
        <f t="shared" si="322"/>
        <v>10714067.191355594</v>
      </c>
      <c r="AV793" s="350">
        <f t="shared" si="323"/>
        <v>10606488.044854792</v>
      </c>
      <c r="AW793" s="350">
        <f t="shared" si="324"/>
        <v>10468584.629057929</v>
      </c>
      <c r="AX793" s="350">
        <f t="shared" si="325"/>
        <v>10282437.513858616</v>
      </c>
      <c r="AY793" s="350">
        <f t="shared" si="326"/>
        <v>52883848.892377451</v>
      </c>
      <c r="AZ793" s="365"/>
      <c r="BA793" s="377">
        <f t="shared" si="327"/>
        <v>0</v>
      </c>
      <c r="BB793" s="377">
        <f t="shared" si="328"/>
        <v>0</v>
      </c>
      <c r="BC793" s="377">
        <f t="shared" si="329"/>
        <v>0</v>
      </c>
      <c r="BD793" s="377">
        <f t="shared" si="330"/>
        <v>0</v>
      </c>
      <c r="BE793" s="377">
        <f t="shared" si="331"/>
        <v>0</v>
      </c>
      <c r="BF793" s="377">
        <f t="shared" si="332"/>
        <v>0</v>
      </c>
      <c r="BG793" s="328"/>
    </row>
    <row r="794" spans="2:59">
      <c r="B794" s="332">
        <v>779</v>
      </c>
      <c r="C794" s="350">
        <v>4158001.2576788818</v>
      </c>
      <c r="D794" s="350">
        <v>4143017.1444592355</v>
      </c>
      <c r="E794" s="350">
        <v>4126812.5606310768</v>
      </c>
      <c r="F794" s="350">
        <v>4107371.6934825694</v>
      </c>
      <c r="G794" s="350">
        <v>4082908.7524786461</v>
      </c>
      <c r="H794" s="348">
        <v>20618111.40873041</v>
      </c>
      <c r="I794" s="369"/>
      <c r="J794" s="350">
        <v>14229779.726830622</v>
      </c>
      <c r="K794" s="350">
        <v>13934304.582349496</v>
      </c>
      <c r="L794" s="350">
        <v>13630238.471021231</v>
      </c>
      <c r="M794" s="350">
        <v>13296217.325157344</v>
      </c>
      <c r="N794" s="350">
        <v>12914296.134451566</v>
      </c>
      <c r="O794" s="348">
        <v>68004836.239810258</v>
      </c>
      <c r="P794" s="369"/>
      <c r="Q794" s="350">
        <f t="shared" si="333"/>
        <v>10071778.469151741</v>
      </c>
      <c r="R794" s="350">
        <f t="shared" si="334"/>
        <v>9791287.4378902614</v>
      </c>
      <c r="S794" s="350">
        <f t="shared" si="335"/>
        <v>9503425.9103901535</v>
      </c>
      <c r="T794" s="350">
        <f t="shared" si="336"/>
        <v>9188845.631674774</v>
      </c>
      <c r="U794" s="350">
        <f t="shared" si="337"/>
        <v>8831387.3819729201</v>
      </c>
      <c r="V794" s="350">
        <f t="shared" si="338"/>
        <v>47386724.831079848</v>
      </c>
      <c r="W794" s="365"/>
      <c r="X794" s="377">
        <f t="shared" si="316"/>
        <v>0</v>
      </c>
      <c r="Y794" s="377">
        <f t="shared" si="317"/>
        <v>0</v>
      </c>
      <c r="Z794" s="377">
        <f t="shared" si="318"/>
        <v>0</v>
      </c>
      <c r="AA794" s="377">
        <f t="shared" si="319"/>
        <v>0</v>
      </c>
      <c r="AB794" s="377">
        <f t="shared" si="320"/>
        <v>0</v>
      </c>
      <c r="AC794" s="377">
        <f t="shared" si="321"/>
        <v>0</v>
      </c>
      <c r="AD794" s="376"/>
      <c r="AE794" s="332">
        <v>779</v>
      </c>
      <c r="AF794" s="350">
        <v>405750.86229379551</v>
      </c>
      <c r="AG794" s="350">
        <v>404288.6653191431</v>
      </c>
      <c r="AH794" s="350">
        <v>402707.37097748206</v>
      </c>
      <c r="AI794" s="350">
        <v>400810.26991367684</v>
      </c>
      <c r="AJ794" s="350">
        <v>398423.09906127426</v>
      </c>
      <c r="AK794" s="348">
        <v>2011980.2675653717</v>
      </c>
      <c r="AL794" s="369"/>
      <c r="AM794" s="350">
        <v>14679818.590468533</v>
      </c>
      <c r="AN794" s="350">
        <v>14555190.455838613</v>
      </c>
      <c r="AO794" s="350">
        <v>14418020.125460671</v>
      </c>
      <c r="AP794" s="350">
        <v>14240448.29429334</v>
      </c>
      <c r="AQ794" s="350">
        <v>13998625.679145526</v>
      </c>
      <c r="AR794" s="348">
        <v>71892103.14520669</v>
      </c>
      <c r="AS794" s="369"/>
      <c r="AT794" s="350">
        <f t="shared" si="339"/>
        <v>14274067.728174739</v>
      </c>
      <c r="AU794" s="350">
        <f t="shared" si="322"/>
        <v>14150901.79051947</v>
      </c>
      <c r="AV794" s="350">
        <f t="shared" si="323"/>
        <v>14015312.754483189</v>
      </c>
      <c r="AW794" s="350">
        <f t="shared" si="324"/>
        <v>13839638.024379663</v>
      </c>
      <c r="AX794" s="350">
        <f t="shared" si="325"/>
        <v>13600202.580084251</v>
      </c>
      <c r="AY794" s="350">
        <f t="shared" si="326"/>
        <v>69880122.87764132</v>
      </c>
      <c r="AZ794" s="365"/>
      <c r="BA794" s="377">
        <f t="shared" si="327"/>
        <v>0</v>
      </c>
      <c r="BB794" s="377">
        <f t="shared" si="328"/>
        <v>0</v>
      </c>
      <c r="BC794" s="377">
        <f t="shared" si="329"/>
        <v>0</v>
      </c>
      <c r="BD794" s="377">
        <f t="shared" si="330"/>
        <v>0</v>
      </c>
      <c r="BE794" s="377">
        <f t="shared" si="331"/>
        <v>0</v>
      </c>
      <c r="BF794" s="377">
        <f t="shared" si="332"/>
        <v>0</v>
      </c>
      <c r="BG794" s="328"/>
    </row>
    <row r="795" spans="2:59">
      <c r="B795" s="332">
        <v>780</v>
      </c>
      <c r="C795" s="350">
        <v>8999538.4316778444</v>
      </c>
      <c r="D795" s="350">
        <v>8967106.9593362287</v>
      </c>
      <c r="E795" s="350">
        <v>8932033.9120009169</v>
      </c>
      <c r="F795" s="350">
        <v>8889956.2837835085</v>
      </c>
      <c r="G795" s="350">
        <v>8837008.9266103711</v>
      </c>
      <c r="H795" s="348">
        <v>44625644.51340887</v>
      </c>
      <c r="I795" s="369"/>
      <c r="J795" s="350">
        <v>27039044.941838175</v>
      </c>
      <c r="K795" s="350">
        <v>26426619.267386079</v>
      </c>
      <c r="L795" s="350">
        <v>25798910.114071772</v>
      </c>
      <c r="M795" s="350">
        <v>25116968.263444725</v>
      </c>
      <c r="N795" s="350">
        <v>24348204.71711003</v>
      </c>
      <c r="O795" s="348">
        <v>128729747.30385077</v>
      </c>
      <c r="P795" s="369"/>
      <c r="Q795" s="350">
        <f t="shared" si="333"/>
        <v>18039506.510160331</v>
      </c>
      <c r="R795" s="350">
        <f t="shared" si="334"/>
        <v>17459512.30804985</v>
      </c>
      <c r="S795" s="350">
        <f t="shared" si="335"/>
        <v>16866876.202070855</v>
      </c>
      <c r="T795" s="350">
        <f t="shared" si="336"/>
        <v>16227011.979661217</v>
      </c>
      <c r="U795" s="350">
        <f t="shared" si="337"/>
        <v>15511195.790499659</v>
      </c>
      <c r="V795" s="350">
        <f t="shared" si="338"/>
        <v>84104102.7904419</v>
      </c>
      <c r="W795" s="365"/>
      <c r="X795" s="377">
        <f t="shared" si="316"/>
        <v>0</v>
      </c>
      <c r="Y795" s="377">
        <f t="shared" si="317"/>
        <v>0</v>
      </c>
      <c r="Z795" s="377">
        <f t="shared" si="318"/>
        <v>0</v>
      </c>
      <c r="AA795" s="377">
        <f t="shared" si="319"/>
        <v>0</v>
      </c>
      <c r="AB795" s="377">
        <f t="shared" si="320"/>
        <v>0</v>
      </c>
      <c r="AC795" s="377">
        <f t="shared" si="321"/>
        <v>0</v>
      </c>
      <c r="AD795" s="376"/>
      <c r="AE795" s="332">
        <v>780</v>
      </c>
      <c r="AF795" s="350">
        <v>578429.00901359762</v>
      </c>
      <c r="AG795" s="350">
        <v>576344.53495419701</v>
      </c>
      <c r="AH795" s="350">
        <v>574090.27845345892</v>
      </c>
      <c r="AI795" s="350">
        <v>571385.81522168161</v>
      </c>
      <c r="AJ795" s="350">
        <v>567982.71987717552</v>
      </c>
      <c r="AK795" s="348">
        <v>2868232.3575201109</v>
      </c>
      <c r="AL795" s="369"/>
      <c r="AM795" s="350">
        <v>13136965.822019426</v>
      </c>
      <c r="AN795" s="350">
        <v>13015445.957845841</v>
      </c>
      <c r="AO795" s="350">
        <v>12882906.085887855</v>
      </c>
      <c r="AP795" s="350">
        <v>12714737.569094555</v>
      </c>
      <c r="AQ795" s="350">
        <v>12489893.568828665</v>
      </c>
      <c r="AR795" s="348">
        <v>64239949.00367634</v>
      </c>
      <c r="AS795" s="369"/>
      <c r="AT795" s="350">
        <f t="shared" si="339"/>
        <v>12558536.813005829</v>
      </c>
      <c r="AU795" s="350">
        <f t="shared" si="322"/>
        <v>12439101.422891643</v>
      </c>
      <c r="AV795" s="350">
        <f t="shared" si="323"/>
        <v>12308815.807434397</v>
      </c>
      <c r="AW795" s="350">
        <f t="shared" si="324"/>
        <v>12143351.753872873</v>
      </c>
      <c r="AX795" s="350">
        <f t="shared" si="325"/>
        <v>11921910.848951489</v>
      </c>
      <c r="AY795" s="350">
        <f t="shared" si="326"/>
        <v>61371716.646156229</v>
      </c>
      <c r="AZ795" s="365"/>
      <c r="BA795" s="377">
        <f t="shared" si="327"/>
        <v>0</v>
      </c>
      <c r="BB795" s="377">
        <f t="shared" si="328"/>
        <v>0</v>
      </c>
      <c r="BC795" s="377">
        <f t="shared" si="329"/>
        <v>0</v>
      </c>
      <c r="BD795" s="377">
        <f t="shared" si="330"/>
        <v>0</v>
      </c>
      <c r="BE795" s="377">
        <f t="shared" si="331"/>
        <v>0</v>
      </c>
      <c r="BF795" s="377">
        <f t="shared" si="332"/>
        <v>0</v>
      </c>
      <c r="BG795" s="328"/>
    </row>
    <row r="796" spans="2:59">
      <c r="B796" s="332">
        <v>781</v>
      </c>
      <c r="C796" s="350">
        <v>5808449.3731064424</v>
      </c>
      <c r="D796" s="350">
        <v>5787517.5701454701</v>
      </c>
      <c r="E796" s="350">
        <v>5764880.8514565835</v>
      </c>
      <c r="F796" s="350">
        <v>5737723.2616427625</v>
      </c>
      <c r="G796" s="350">
        <v>5703550.1708876388</v>
      </c>
      <c r="H796" s="348">
        <v>28802121.227238894</v>
      </c>
      <c r="I796" s="369"/>
      <c r="J796" s="350">
        <v>17519767.928020548</v>
      </c>
      <c r="K796" s="350">
        <v>17124005.926678773</v>
      </c>
      <c r="L796" s="350">
        <v>16718319.552271813</v>
      </c>
      <c r="M796" s="350">
        <v>16277437.843448032</v>
      </c>
      <c r="N796" s="350">
        <v>15780213.728017163</v>
      </c>
      <c r="O796" s="348">
        <v>83419744.978436336</v>
      </c>
      <c r="P796" s="369"/>
      <c r="Q796" s="350">
        <f t="shared" si="333"/>
        <v>11711318.554914106</v>
      </c>
      <c r="R796" s="350">
        <f t="shared" si="334"/>
        <v>11336488.356533304</v>
      </c>
      <c r="S796" s="350">
        <f t="shared" si="335"/>
        <v>10953438.700815231</v>
      </c>
      <c r="T796" s="350">
        <f t="shared" si="336"/>
        <v>10539714.58180527</v>
      </c>
      <c r="U796" s="350">
        <f t="shared" si="337"/>
        <v>10076663.557129525</v>
      </c>
      <c r="V796" s="350">
        <f t="shared" si="338"/>
        <v>54617623.751197442</v>
      </c>
      <c r="W796" s="365"/>
      <c r="X796" s="377">
        <f t="shared" si="316"/>
        <v>0</v>
      </c>
      <c r="Y796" s="377">
        <f t="shared" si="317"/>
        <v>0</v>
      </c>
      <c r="Z796" s="377">
        <f t="shared" si="318"/>
        <v>0</v>
      </c>
      <c r="AA796" s="377">
        <f t="shared" si="319"/>
        <v>0</v>
      </c>
      <c r="AB796" s="377">
        <f t="shared" si="320"/>
        <v>0</v>
      </c>
      <c r="AC796" s="377">
        <f t="shared" si="321"/>
        <v>0</v>
      </c>
      <c r="AD796" s="376"/>
      <c r="AE796" s="332">
        <v>781</v>
      </c>
      <c r="AF796" s="350">
        <v>456776.73633203813</v>
      </c>
      <c r="AG796" s="350">
        <v>455130.65834669379</v>
      </c>
      <c r="AH796" s="350">
        <v>453350.50570701482</v>
      </c>
      <c r="AI796" s="350">
        <v>451214.83154598373</v>
      </c>
      <c r="AJ796" s="350">
        <v>448527.45805560314</v>
      </c>
      <c r="AK796" s="348">
        <v>2265000.1899873335</v>
      </c>
      <c r="AL796" s="369"/>
      <c r="AM796" s="350">
        <v>19030744.130233198</v>
      </c>
      <c r="AN796" s="350">
        <v>18872389.881046496</v>
      </c>
      <c r="AO796" s="350">
        <v>18697710.483596336</v>
      </c>
      <c r="AP796" s="350">
        <v>18470485.719811976</v>
      </c>
      <c r="AQ796" s="350">
        <v>18159702.523992989</v>
      </c>
      <c r="AR796" s="348">
        <v>93231032.738680989</v>
      </c>
      <c r="AS796" s="369"/>
      <c r="AT796" s="350">
        <f t="shared" si="339"/>
        <v>18573967.393901162</v>
      </c>
      <c r="AU796" s="350">
        <f t="shared" si="322"/>
        <v>18417259.222699802</v>
      </c>
      <c r="AV796" s="350">
        <f t="shared" si="323"/>
        <v>18244359.977889322</v>
      </c>
      <c r="AW796" s="350">
        <f t="shared" si="324"/>
        <v>18019270.888265993</v>
      </c>
      <c r="AX796" s="350">
        <f t="shared" si="325"/>
        <v>17711175.065937385</v>
      </c>
      <c r="AY796" s="350">
        <f t="shared" si="326"/>
        <v>90966032.548693657</v>
      </c>
      <c r="AZ796" s="365"/>
      <c r="BA796" s="377">
        <f t="shared" si="327"/>
        <v>0</v>
      </c>
      <c r="BB796" s="377">
        <f t="shared" si="328"/>
        <v>0</v>
      </c>
      <c r="BC796" s="377">
        <f t="shared" si="329"/>
        <v>0</v>
      </c>
      <c r="BD796" s="377">
        <f t="shared" si="330"/>
        <v>0</v>
      </c>
      <c r="BE796" s="377">
        <f t="shared" si="331"/>
        <v>0</v>
      </c>
      <c r="BF796" s="377">
        <f t="shared" si="332"/>
        <v>0</v>
      </c>
      <c r="BG796" s="328"/>
    </row>
    <row r="797" spans="2:59">
      <c r="B797" s="332">
        <v>782</v>
      </c>
      <c r="C797" s="350">
        <v>6470942.2432044558</v>
      </c>
      <c r="D797" s="350">
        <v>6447623.0267826468</v>
      </c>
      <c r="E797" s="350">
        <v>6422404.4374824325</v>
      </c>
      <c r="F797" s="350">
        <v>6392149.3411802184</v>
      </c>
      <c r="G797" s="350">
        <v>6354078.5786851458</v>
      </c>
      <c r="H797" s="348">
        <v>32087197.627334896</v>
      </c>
      <c r="I797" s="369"/>
      <c r="J797" s="350">
        <v>19980704.836756818</v>
      </c>
      <c r="K797" s="350">
        <v>19536468.73855364</v>
      </c>
      <c r="L797" s="350">
        <v>19080768.895329103</v>
      </c>
      <c r="M797" s="350">
        <v>18584554.769191839</v>
      </c>
      <c r="N797" s="350">
        <v>18023498.049476169</v>
      </c>
      <c r="O797" s="348">
        <v>95205995.289307564</v>
      </c>
      <c r="P797" s="369"/>
      <c r="Q797" s="350">
        <f t="shared" si="333"/>
        <v>13509762.593552362</v>
      </c>
      <c r="R797" s="350">
        <f t="shared" si="334"/>
        <v>13088845.711770993</v>
      </c>
      <c r="S797" s="350">
        <f t="shared" si="335"/>
        <v>12658364.457846671</v>
      </c>
      <c r="T797" s="350">
        <f t="shared" si="336"/>
        <v>12192405.42801162</v>
      </c>
      <c r="U797" s="350">
        <f t="shared" si="337"/>
        <v>11669419.470791023</v>
      </c>
      <c r="V797" s="350">
        <f t="shared" si="338"/>
        <v>63118797.661972672</v>
      </c>
      <c r="W797" s="365"/>
      <c r="X797" s="377">
        <f t="shared" si="316"/>
        <v>0</v>
      </c>
      <c r="Y797" s="377">
        <f t="shared" si="317"/>
        <v>0</v>
      </c>
      <c r="Z797" s="377">
        <f t="shared" si="318"/>
        <v>0</v>
      </c>
      <c r="AA797" s="377">
        <f t="shared" si="319"/>
        <v>0</v>
      </c>
      <c r="AB797" s="377">
        <f t="shared" si="320"/>
        <v>0</v>
      </c>
      <c r="AC797" s="377">
        <f t="shared" si="321"/>
        <v>0</v>
      </c>
      <c r="AD797" s="376"/>
      <c r="AE797" s="332">
        <v>782</v>
      </c>
      <c r="AF797" s="350">
        <v>472501.03955567861</v>
      </c>
      <c r="AG797" s="350">
        <v>470798.29618588585</v>
      </c>
      <c r="AH797" s="350">
        <v>468956.86271103245</v>
      </c>
      <c r="AI797" s="350">
        <v>466747.6690700808</v>
      </c>
      <c r="AJ797" s="350">
        <v>463967.78413531877</v>
      </c>
      <c r="AK797" s="348">
        <v>2342971.6516579962</v>
      </c>
      <c r="AL797" s="369"/>
      <c r="AM797" s="350">
        <v>10772129.094247641</v>
      </c>
      <c r="AN797" s="350">
        <v>10672568.135739407</v>
      </c>
      <c r="AO797" s="350">
        <v>10563969.216356896</v>
      </c>
      <c r="AP797" s="350">
        <v>10426150.895067262</v>
      </c>
      <c r="AQ797" s="350">
        <v>10241852.580065485</v>
      </c>
      <c r="AR797" s="348">
        <v>52676669.921476692</v>
      </c>
      <c r="AS797" s="369"/>
      <c r="AT797" s="350">
        <f t="shared" si="339"/>
        <v>10299628.054691963</v>
      </c>
      <c r="AU797" s="350">
        <f t="shared" si="322"/>
        <v>10201769.83955352</v>
      </c>
      <c r="AV797" s="350">
        <f t="shared" si="323"/>
        <v>10095012.353645863</v>
      </c>
      <c r="AW797" s="350">
        <f t="shared" si="324"/>
        <v>9959403.2259971816</v>
      </c>
      <c r="AX797" s="350">
        <f t="shared" si="325"/>
        <v>9777884.7959301658</v>
      </c>
      <c r="AY797" s="350">
        <f t="shared" si="326"/>
        <v>50333698.269818693</v>
      </c>
      <c r="AZ797" s="365"/>
      <c r="BA797" s="377">
        <f t="shared" si="327"/>
        <v>0</v>
      </c>
      <c r="BB797" s="377">
        <f t="shared" si="328"/>
        <v>0</v>
      </c>
      <c r="BC797" s="377">
        <f t="shared" si="329"/>
        <v>0</v>
      </c>
      <c r="BD797" s="377">
        <f t="shared" si="330"/>
        <v>0</v>
      </c>
      <c r="BE797" s="377">
        <f t="shared" si="331"/>
        <v>0</v>
      </c>
      <c r="BF797" s="377">
        <f t="shared" si="332"/>
        <v>0</v>
      </c>
      <c r="BG797" s="328"/>
    </row>
    <row r="798" spans="2:59">
      <c r="B798" s="332">
        <v>783</v>
      </c>
      <c r="C798" s="350">
        <v>5147828.5778111462</v>
      </c>
      <c r="D798" s="350">
        <v>5129277.4419492204</v>
      </c>
      <c r="E798" s="350">
        <v>5109215.2980121365</v>
      </c>
      <c r="F798" s="350">
        <v>5085146.4617414176</v>
      </c>
      <c r="G798" s="350">
        <v>5054860.0286710244</v>
      </c>
      <c r="H798" s="348">
        <v>25526327.808184944</v>
      </c>
      <c r="I798" s="369"/>
      <c r="J798" s="350">
        <v>18801657.760718621</v>
      </c>
      <c r="K798" s="350">
        <v>18427307.086069312</v>
      </c>
      <c r="L798" s="350">
        <v>18041277.362406541</v>
      </c>
      <c r="M798" s="350">
        <v>17614821.871154431</v>
      </c>
      <c r="N798" s="350">
        <v>17123754.484936222</v>
      </c>
      <c r="O798" s="348">
        <v>90008818.565285116</v>
      </c>
      <c r="P798" s="369"/>
      <c r="Q798" s="350">
        <f t="shared" si="333"/>
        <v>13653829.182907475</v>
      </c>
      <c r="R798" s="350">
        <f t="shared" si="334"/>
        <v>13298029.644120092</v>
      </c>
      <c r="S798" s="350">
        <f t="shared" si="335"/>
        <v>12932062.064394403</v>
      </c>
      <c r="T798" s="350">
        <f t="shared" si="336"/>
        <v>12529675.409413014</v>
      </c>
      <c r="U798" s="350">
        <f t="shared" si="337"/>
        <v>12068894.456265198</v>
      </c>
      <c r="V798" s="350">
        <f t="shared" si="338"/>
        <v>64482490.757100172</v>
      </c>
      <c r="W798" s="365"/>
      <c r="X798" s="377">
        <f t="shared" si="316"/>
        <v>0</v>
      </c>
      <c r="Y798" s="377">
        <f t="shared" si="317"/>
        <v>0</v>
      </c>
      <c r="Z798" s="377">
        <f t="shared" si="318"/>
        <v>0</v>
      </c>
      <c r="AA798" s="377">
        <f t="shared" si="319"/>
        <v>0</v>
      </c>
      <c r="AB798" s="377">
        <f t="shared" si="320"/>
        <v>0</v>
      </c>
      <c r="AC798" s="377">
        <f t="shared" si="321"/>
        <v>0</v>
      </c>
      <c r="AD798" s="376"/>
      <c r="AE798" s="332">
        <v>783</v>
      </c>
      <c r="AF798" s="350">
        <v>336042.55276364181</v>
      </c>
      <c r="AG798" s="350">
        <v>334831.56235137815</v>
      </c>
      <c r="AH798" s="350">
        <v>333521.93559115764</v>
      </c>
      <c r="AI798" s="350">
        <v>331950.75794601906</v>
      </c>
      <c r="AJ798" s="350">
        <v>329973.70487806166</v>
      </c>
      <c r="AK798" s="348">
        <v>1666320.5135302581</v>
      </c>
      <c r="AL798" s="369"/>
      <c r="AM798" s="350">
        <v>10414036.626951499</v>
      </c>
      <c r="AN798" s="350">
        <v>10323387.742398737</v>
      </c>
      <c r="AO798" s="350">
        <v>10223886.939702347</v>
      </c>
      <c r="AP798" s="350">
        <v>10095842.720826412</v>
      </c>
      <c r="AQ798" s="350">
        <v>9922402.352552468</v>
      </c>
      <c r="AR798" s="348">
        <v>50979556.382431462</v>
      </c>
      <c r="AS798" s="369"/>
      <c r="AT798" s="350">
        <f t="shared" si="339"/>
        <v>10077994.074187856</v>
      </c>
      <c r="AU798" s="350">
        <f t="shared" si="322"/>
        <v>9988556.1800473593</v>
      </c>
      <c r="AV798" s="350">
        <f t="shared" si="323"/>
        <v>9890365.0041111894</v>
      </c>
      <c r="AW798" s="350">
        <f t="shared" si="324"/>
        <v>9763891.9628803916</v>
      </c>
      <c r="AX798" s="350">
        <f t="shared" si="325"/>
        <v>9592428.6476744059</v>
      </c>
      <c r="AY798" s="350">
        <f t="shared" si="326"/>
        <v>49313235.868901208</v>
      </c>
      <c r="AZ798" s="365"/>
      <c r="BA798" s="377">
        <f t="shared" si="327"/>
        <v>0</v>
      </c>
      <c r="BB798" s="377">
        <f t="shared" si="328"/>
        <v>0</v>
      </c>
      <c r="BC798" s="377">
        <f t="shared" si="329"/>
        <v>0</v>
      </c>
      <c r="BD798" s="377">
        <f t="shared" si="330"/>
        <v>0</v>
      </c>
      <c r="BE798" s="377">
        <f t="shared" si="331"/>
        <v>0</v>
      </c>
      <c r="BF798" s="377">
        <f t="shared" si="332"/>
        <v>0</v>
      </c>
      <c r="BG798" s="328"/>
    </row>
    <row r="799" spans="2:59">
      <c r="B799" s="332">
        <v>784</v>
      </c>
      <c r="C799" s="350">
        <v>3304809.652912586</v>
      </c>
      <c r="D799" s="350">
        <v>3292900.1707023121</v>
      </c>
      <c r="E799" s="350">
        <v>3280020.6495723398</v>
      </c>
      <c r="F799" s="350">
        <v>3264568.9069123957</v>
      </c>
      <c r="G799" s="350">
        <v>3245125.5834119297</v>
      </c>
      <c r="H799" s="348">
        <v>16387424.963511564</v>
      </c>
      <c r="I799" s="369"/>
      <c r="J799" s="350">
        <v>10502025.94698051</v>
      </c>
      <c r="K799" s="350">
        <v>10273003.028205976</v>
      </c>
      <c r="L799" s="350">
        <v>10037863.36484164</v>
      </c>
      <c r="M799" s="350">
        <v>9781193.3434080388</v>
      </c>
      <c r="N799" s="350">
        <v>9490073.3736648578</v>
      </c>
      <c r="O799" s="348">
        <v>50084159.057101019</v>
      </c>
      <c r="P799" s="369"/>
      <c r="Q799" s="350">
        <f t="shared" si="333"/>
        <v>7197216.2940679239</v>
      </c>
      <c r="R799" s="350">
        <f t="shared" si="334"/>
        <v>6980102.8575036637</v>
      </c>
      <c r="S799" s="350">
        <f t="shared" si="335"/>
        <v>6757842.7152693002</v>
      </c>
      <c r="T799" s="350">
        <f t="shared" si="336"/>
        <v>6516624.4364956431</v>
      </c>
      <c r="U799" s="350">
        <f t="shared" si="337"/>
        <v>6244947.7902529277</v>
      </c>
      <c r="V799" s="350">
        <f t="shared" si="338"/>
        <v>33696734.093589455</v>
      </c>
      <c r="W799" s="365"/>
      <c r="X799" s="377">
        <f t="shared" si="316"/>
        <v>0</v>
      </c>
      <c r="Y799" s="377">
        <f t="shared" si="317"/>
        <v>0</v>
      </c>
      <c r="Z799" s="377">
        <f t="shared" si="318"/>
        <v>0</v>
      </c>
      <c r="AA799" s="377">
        <f t="shared" si="319"/>
        <v>0</v>
      </c>
      <c r="AB799" s="377">
        <f t="shared" si="320"/>
        <v>0</v>
      </c>
      <c r="AC799" s="377">
        <f t="shared" si="321"/>
        <v>0</v>
      </c>
      <c r="AD799" s="376"/>
      <c r="AE799" s="332">
        <v>784</v>
      </c>
      <c r="AF799" s="350">
        <v>564786.81103652762</v>
      </c>
      <c r="AG799" s="350">
        <v>562751.4991169112</v>
      </c>
      <c r="AH799" s="350">
        <v>560550.40906010149</v>
      </c>
      <c r="AI799" s="350">
        <v>557909.73035893135</v>
      </c>
      <c r="AJ799" s="350">
        <v>554586.89672277868</v>
      </c>
      <c r="AK799" s="348">
        <v>2800585.3462952501</v>
      </c>
      <c r="AL799" s="369"/>
      <c r="AM799" s="350">
        <v>20284203.994200427</v>
      </c>
      <c r="AN799" s="350">
        <v>20111804.334358066</v>
      </c>
      <c r="AO799" s="350">
        <v>19922078.097260613</v>
      </c>
      <c r="AP799" s="350">
        <v>19676536.185389485</v>
      </c>
      <c r="AQ799" s="350">
        <v>19342229.935025126</v>
      </c>
      <c r="AR799" s="348">
        <v>99336852.546233714</v>
      </c>
      <c r="AS799" s="369"/>
      <c r="AT799" s="350">
        <f t="shared" si="339"/>
        <v>19719417.1831639</v>
      </c>
      <c r="AU799" s="350">
        <f t="shared" si="322"/>
        <v>19549052.835241154</v>
      </c>
      <c r="AV799" s="350">
        <f t="shared" si="323"/>
        <v>19361527.688200511</v>
      </c>
      <c r="AW799" s="350">
        <f t="shared" si="324"/>
        <v>19118626.455030553</v>
      </c>
      <c r="AX799" s="350">
        <f t="shared" si="325"/>
        <v>18787643.038302347</v>
      </c>
      <c r="AY799" s="350">
        <f t="shared" si="326"/>
        <v>96536267.199938461</v>
      </c>
      <c r="AZ799" s="365"/>
      <c r="BA799" s="377">
        <f t="shared" si="327"/>
        <v>0</v>
      </c>
      <c r="BB799" s="377">
        <f t="shared" si="328"/>
        <v>0</v>
      </c>
      <c r="BC799" s="377">
        <f t="shared" si="329"/>
        <v>0</v>
      </c>
      <c r="BD799" s="377">
        <f t="shared" si="330"/>
        <v>0</v>
      </c>
      <c r="BE799" s="377">
        <f t="shared" si="331"/>
        <v>0</v>
      </c>
      <c r="BF799" s="377">
        <f t="shared" si="332"/>
        <v>0</v>
      </c>
      <c r="BG799" s="328"/>
    </row>
    <row r="800" spans="2:59">
      <c r="B800" s="332">
        <v>785</v>
      </c>
      <c r="C800" s="350">
        <v>5848514.9289365672</v>
      </c>
      <c r="D800" s="350">
        <v>5827438.7424635254</v>
      </c>
      <c r="E800" s="350">
        <v>5804645.880084957</v>
      </c>
      <c r="F800" s="350">
        <v>5777300.9624903454</v>
      </c>
      <c r="G800" s="350">
        <v>5742892.1523912847</v>
      </c>
      <c r="H800" s="348">
        <v>29000792.666366681</v>
      </c>
      <c r="I800" s="369"/>
      <c r="J800" s="350">
        <v>20802101.644911736</v>
      </c>
      <c r="K800" s="350">
        <v>20380823.777110569</v>
      </c>
      <c r="L800" s="350">
        <v>19946769.169830073</v>
      </c>
      <c r="M800" s="350">
        <v>19468361.752676122</v>
      </c>
      <c r="N800" s="350">
        <v>18919052.263045568</v>
      </c>
      <c r="O800" s="348">
        <v>99517108.607574061</v>
      </c>
      <c r="P800" s="369"/>
      <c r="Q800" s="350">
        <f t="shared" si="333"/>
        <v>14953586.715975169</v>
      </c>
      <c r="R800" s="350">
        <f t="shared" si="334"/>
        <v>14553385.034647044</v>
      </c>
      <c r="S800" s="350">
        <f t="shared" si="335"/>
        <v>14142123.289745115</v>
      </c>
      <c r="T800" s="350">
        <f t="shared" si="336"/>
        <v>13691060.790185776</v>
      </c>
      <c r="U800" s="350">
        <f t="shared" si="337"/>
        <v>13176160.110654283</v>
      </c>
      <c r="V800" s="350">
        <f t="shared" si="338"/>
        <v>70516315.941207379</v>
      </c>
      <c r="W800" s="365"/>
      <c r="X800" s="377">
        <f t="shared" si="316"/>
        <v>0</v>
      </c>
      <c r="Y800" s="377">
        <f t="shared" si="317"/>
        <v>0</v>
      </c>
      <c r="Z800" s="377">
        <f t="shared" si="318"/>
        <v>0</v>
      </c>
      <c r="AA800" s="377">
        <f t="shared" si="319"/>
        <v>0</v>
      </c>
      <c r="AB800" s="377">
        <f t="shared" si="320"/>
        <v>0</v>
      </c>
      <c r="AC800" s="377">
        <f t="shared" si="321"/>
        <v>0</v>
      </c>
      <c r="AD800" s="376"/>
      <c r="AE800" s="332">
        <v>785</v>
      </c>
      <c r="AF800" s="350">
        <v>444463.48061327188</v>
      </c>
      <c r="AG800" s="350">
        <v>442861.77568275813</v>
      </c>
      <c r="AH800" s="350">
        <v>441129.61032642209</v>
      </c>
      <c r="AI800" s="350">
        <v>439051.50718419527</v>
      </c>
      <c r="AJ800" s="350">
        <v>436436.57678114128</v>
      </c>
      <c r="AK800" s="348">
        <v>2203942.9505877886</v>
      </c>
      <c r="AL800" s="369"/>
      <c r="AM800" s="350">
        <v>15684032.862584397</v>
      </c>
      <c r="AN800" s="350">
        <v>15550370.867717408</v>
      </c>
      <c r="AO800" s="350">
        <v>15403319.07289508</v>
      </c>
      <c r="AP800" s="350">
        <v>15213128.795996204</v>
      </c>
      <c r="AQ800" s="350">
        <v>14954334.33150097</v>
      </c>
      <c r="AR800" s="348">
        <v>76805185.930694059</v>
      </c>
      <c r="AS800" s="369"/>
      <c r="AT800" s="350">
        <f t="shared" si="339"/>
        <v>15239569.381971125</v>
      </c>
      <c r="AU800" s="350">
        <f t="shared" si="322"/>
        <v>15107509.092034649</v>
      </c>
      <c r="AV800" s="350">
        <f t="shared" si="323"/>
        <v>14962189.462568657</v>
      </c>
      <c r="AW800" s="350">
        <f t="shared" si="324"/>
        <v>14774077.28881201</v>
      </c>
      <c r="AX800" s="350">
        <f t="shared" si="325"/>
        <v>14517897.754719829</v>
      </c>
      <c r="AY800" s="350">
        <f t="shared" si="326"/>
        <v>74601242.980106264</v>
      </c>
      <c r="AZ800" s="365"/>
      <c r="BA800" s="377">
        <f t="shared" si="327"/>
        <v>0</v>
      </c>
      <c r="BB800" s="377">
        <f t="shared" si="328"/>
        <v>0</v>
      </c>
      <c r="BC800" s="377">
        <f t="shared" si="329"/>
        <v>0</v>
      </c>
      <c r="BD800" s="377">
        <f t="shared" si="330"/>
        <v>0</v>
      </c>
      <c r="BE800" s="377">
        <f t="shared" si="331"/>
        <v>0</v>
      </c>
      <c r="BF800" s="377">
        <f t="shared" si="332"/>
        <v>0</v>
      </c>
      <c r="BG800" s="328"/>
    </row>
    <row r="801" spans="2:59">
      <c r="B801" s="332">
        <v>786</v>
      </c>
      <c r="C801" s="350">
        <v>7959254.8654413838</v>
      </c>
      <c r="D801" s="350">
        <v>7930572.2439949522</v>
      </c>
      <c r="E801" s="350">
        <v>7899553.3951096758</v>
      </c>
      <c r="F801" s="350">
        <v>7862339.6457981803</v>
      </c>
      <c r="G801" s="350">
        <v>7815512.6320138741</v>
      </c>
      <c r="H801" s="348">
        <v>39467232.782358065</v>
      </c>
      <c r="I801" s="369"/>
      <c r="J801" s="350">
        <v>24972526.976416945</v>
      </c>
      <c r="K801" s="350">
        <v>24423260.775508605</v>
      </c>
      <c r="L801" s="350">
        <v>23859545.229590692</v>
      </c>
      <c r="M801" s="350">
        <v>23244879.738254644</v>
      </c>
      <c r="N801" s="350">
        <v>22548681.647349127</v>
      </c>
      <c r="O801" s="348">
        <v>119048894.36712</v>
      </c>
      <c r="P801" s="369"/>
      <c r="Q801" s="350">
        <f t="shared" si="333"/>
        <v>17013272.110975564</v>
      </c>
      <c r="R801" s="350">
        <f t="shared" si="334"/>
        <v>16492688.531513654</v>
      </c>
      <c r="S801" s="350">
        <f t="shared" si="335"/>
        <v>15959991.834481016</v>
      </c>
      <c r="T801" s="350">
        <f t="shared" si="336"/>
        <v>15382540.092456464</v>
      </c>
      <c r="U801" s="350">
        <f t="shared" si="337"/>
        <v>14733169.015335253</v>
      </c>
      <c r="V801" s="350">
        <f t="shared" si="338"/>
        <v>79581661.584761932</v>
      </c>
      <c r="W801" s="365"/>
      <c r="X801" s="377">
        <f t="shared" si="316"/>
        <v>0</v>
      </c>
      <c r="Y801" s="377">
        <f t="shared" si="317"/>
        <v>0</v>
      </c>
      <c r="Z801" s="377">
        <f t="shared" si="318"/>
        <v>0</v>
      </c>
      <c r="AA801" s="377">
        <f t="shared" si="319"/>
        <v>0</v>
      </c>
      <c r="AB801" s="377">
        <f t="shared" si="320"/>
        <v>0</v>
      </c>
      <c r="AC801" s="377">
        <f t="shared" si="321"/>
        <v>0</v>
      </c>
      <c r="AD801" s="376"/>
      <c r="AE801" s="332">
        <v>786</v>
      </c>
      <c r="AF801" s="350">
        <v>415615.97514559625</v>
      </c>
      <c r="AG801" s="350">
        <v>414118.22744386725</v>
      </c>
      <c r="AH801" s="350">
        <v>412498.48673380114</v>
      </c>
      <c r="AI801" s="350">
        <v>410555.26102104282</v>
      </c>
      <c r="AJ801" s="350">
        <v>408110.05034163332</v>
      </c>
      <c r="AK801" s="348">
        <v>2060898.0006859407</v>
      </c>
      <c r="AL801" s="369"/>
      <c r="AM801" s="350">
        <v>9252922.790001059</v>
      </c>
      <c r="AN801" s="350">
        <v>9166950.5610901807</v>
      </c>
      <c r="AO801" s="350">
        <v>9073224.2452805433</v>
      </c>
      <c r="AP801" s="350">
        <v>8954423.2276652344</v>
      </c>
      <c r="AQ801" s="350">
        <v>8795734.5992734227</v>
      </c>
      <c r="AR801" s="348">
        <v>45243255.423310436</v>
      </c>
      <c r="AS801" s="369"/>
      <c r="AT801" s="350">
        <f t="shared" si="339"/>
        <v>8837306.8148554619</v>
      </c>
      <c r="AU801" s="350">
        <f t="shared" si="322"/>
        <v>8752832.3336463142</v>
      </c>
      <c r="AV801" s="350">
        <f t="shared" si="323"/>
        <v>8660725.7585467417</v>
      </c>
      <c r="AW801" s="350">
        <f t="shared" si="324"/>
        <v>8543867.9666441921</v>
      </c>
      <c r="AX801" s="350">
        <f t="shared" si="325"/>
        <v>8387624.5489317896</v>
      </c>
      <c r="AY801" s="350">
        <f t="shared" si="326"/>
        <v>43182357.422624499</v>
      </c>
      <c r="AZ801" s="365"/>
      <c r="BA801" s="377">
        <f t="shared" si="327"/>
        <v>0</v>
      </c>
      <c r="BB801" s="377">
        <f t="shared" si="328"/>
        <v>0</v>
      </c>
      <c r="BC801" s="377">
        <f t="shared" si="329"/>
        <v>0</v>
      </c>
      <c r="BD801" s="377">
        <f t="shared" si="330"/>
        <v>0</v>
      </c>
      <c r="BE801" s="377">
        <f t="shared" si="331"/>
        <v>0</v>
      </c>
      <c r="BF801" s="377">
        <f t="shared" si="332"/>
        <v>0</v>
      </c>
      <c r="BG801" s="328"/>
    </row>
    <row r="802" spans="2:59">
      <c r="B802" s="332">
        <v>787</v>
      </c>
      <c r="C802" s="350">
        <v>6656615.3460824182</v>
      </c>
      <c r="D802" s="350">
        <v>6632627.0228896029</v>
      </c>
      <c r="E802" s="350">
        <v>6606684.8274205197</v>
      </c>
      <c r="F802" s="350">
        <v>6575561.6106194388</v>
      </c>
      <c r="G802" s="350">
        <v>6536398.4698685082</v>
      </c>
      <c r="H802" s="348">
        <v>33007887.276880492</v>
      </c>
      <c r="I802" s="369"/>
      <c r="J802" s="350">
        <v>23415332.952625584</v>
      </c>
      <c r="K802" s="350">
        <v>22937727.692779243</v>
      </c>
      <c r="L802" s="350">
        <v>22445810.166360814</v>
      </c>
      <c r="M802" s="350">
        <v>21904147.579069313</v>
      </c>
      <c r="N802" s="350">
        <v>21282956.305322465</v>
      </c>
      <c r="O802" s="348">
        <v>111985974.69615743</v>
      </c>
      <c r="P802" s="369"/>
      <c r="Q802" s="350">
        <f t="shared" si="333"/>
        <v>16758717.606543165</v>
      </c>
      <c r="R802" s="350">
        <f t="shared" si="334"/>
        <v>16305100.66988964</v>
      </c>
      <c r="S802" s="350">
        <f t="shared" si="335"/>
        <v>15839125.338940294</v>
      </c>
      <c r="T802" s="350">
        <f t="shared" si="336"/>
        <v>15328585.968449874</v>
      </c>
      <c r="U802" s="350">
        <f t="shared" si="337"/>
        <v>14746557.835453957</v>
      </c>
      <c r="V802" s="350">
        <f t="shared" si="338"/>
        <v>78978087.419276938</v>
      </c>
      <c r="W802" s="365"/>
      <c r="X802" s="377">
        <f t="shared" si="316"/>
        <v>0</v>
      </c>
      <c r="Y802" s="377">
        <f t="shared" si="317"/>
        <v>0</v>
      </c>
      <c r="Z802" s="377">
        <f t="shared" si="318"/>
        <v>0</v>
      </c>
      <c r="AA802" s="377">
        <f t="shared" si="319"/>
        <v>0</v>
      </c>
      <c r="AB802" s="377">
        <f t="shared" si="320"/>
        <v>0</v>
      </c>
      <c r="AC802" s="377">
        <f t="shared" si="321"/>
        <v>0</v>
      </c>
      <c r="AD802" s="376"/>
      <c r="AE802" s="332">
        <v>787</v>
      </c>
      <c r="AF802" s="350">
        <v>544732.10949325759</v>
      </c>
      <c r="AG802" s="350">
        <v>542769.06833545375</v>
      </c>
      <c r="AH802" s="350">
        <v>540646.13556436065</v>
      </c>
      <c r="AI802" s="350">
        <v>538099.22325820709</v>
      </c>
      <c r="AJ802" s="350">
        <v>534894.37827821414</v>
      </c>
      <c r="AK802" s="348">
        <v>2701140.9149294933</v>
      </c>
      <c r="AL802" s="369"/>
      <c r="AM802" s="350">
        <v>17176638.644879412</v>
      </c>
      <c r="AN802" s="350">
        <v>17027566.802381415</v>
      </c>
      <c r="AO802" s="350">
        <v>16863885.811815813</v>
      </c>
      <c r="AP802" s="350">
        <v>16653102.756616889</v>
      </c>
      <c r="AQ802" s="350">
        <v>16367408.08887762</v>
      </c>
      <c r="AR802" s="348">
        <v>84088602.104571149</v>
      </c>
      <c r="AS802" s="369"/>
      <c r="AT802" s="350">
        <f t="shared" si="339"/>
        <v>16631906.535386154</v>
      </c>
      <c r="AU802" s="350">
        <f t="shared" si="322"/>
        <v>16484797.734045962</v>
      </c>
      <c r="AV802" s="350">
        <f t="shared" si="323"/>
        <v>16323239.676251452</v>
      </c>
      <c r="AW802" s="350">
        <f t="shared" si="324"/>
        <v>16115003.533358682</v>
      </c>
      <c r="AX802" s="350">
        <f t="shared" si="325"/>
        <v>15832513.710599406</v>
      </c>
      <c r="AY802" s="350">
        <f t="shared" si="326"/>
        <v>81387461.189641654</v>
      </c>
      <c r="AZ802" s="365"/>
      <c r="BA802" s="377">
        <f t="shared" si="327"/>
        <v>0</v>
      </c>
      <c r="BB802" s="377">
        <f t="shared" si="328"/>
        <v>0</v>
      </c>
      <c r="BC802" s="377">
        <f t="shared" si="329"/>
        <v>0</v>
      </c>
      <c r="BD802" s="377">
        <f t="shared" si="330"/>
        <v>0</v>
      </c>
      <c r="BE802" s="377">
        <f t="shared" si="331"/>
        <v>0</v>
      </c>
      <c r="BF802" s="377">
        <f t="shared" si="332"/>
        <v>0</v>
      </c>
      <c r="BG802" s="328"/>
    </row>
    <row r="803" spans="2:59">
      <c r="B803" s="332">
        <v>788</v>
      </c>
      <c r="C803" s="350">
        <v>4218242.6450597513</v>
      </c>
      <c r="D803" s="350">
        <v>4203041.4410522282</v>
      </c>
      <c r="E803" s="350">
        <v>4186602.0841801856</v>
      </c>
      <c r="F803" s="350">
        <v>4166879.5565086678</v>
      </c>
      <c r="G803" s="350">
        <v>4142062.1948554558</v>
      </c>
      <c r="H803" s="348">
        <v>20916827.921656288</v>
      </c>
      <c r="I803" s="369"/>
      <c r="J803" s="350">
        <v>16214568.469320282</v>
      </c>
      <c r="K803" s="350">
        <v>15901993.252347965</v>
      </c>
      <c r="L803" s="350">
        <v>15579136.396382216</v>
      </c>
      <c r="M803" s="350">
        <v>15220875.173250491</v>
      </c>
      <c r="N803" s="350">
        <v>14806047.419162126</v>
      </c>
      <c r="O803" s="348">
        <v>77722620.710463077</v>
      </c>
      <c r="P803" s="369"/>
      <c r="Q803" s="350">
        <f t="shared" si="333"/>
        <v>11996325.824260531</v>
      </c>
      <c r="R803" s="350">
        <f t="shared" si="334"/>
        <v>11698951.811295737</v>
      </c>
      <c r="S803" s="350">
        <f t="shared" si="335"/>
        <v>11392534.312202031</v>
      </c>
      <c r="T803" s="350">
        <f t="shared" si="336"/>
        <v>11053995.616741823</v>
      </c>
      <c r="U803" s="350">
        <f t="shared" si="337"/>
        <v>10663985.224306671</v>
      </c>
      <c r="V803" s="350">
        <f t="shared" si="338"/>
        <v>56805792.788806789</v>
      </c>
      <c r="W803" s="365"/>
      <c r="X803" s="377">
        <f t="shared" si="316"/>
        <v>0</v>
      </c>
      <c r="Y803" s="377">
        <f t="shared" si="317"/>
        <v>0</v>
      </c>
      <c r="Z803" s="377">
        <f t="shared" si="318"/>
        <v>0</v>
      </c>
      <c r="AA803" s="377">
        <f t="shared" si="319"/>
        <v>0</v>
      </c>
      <c r="AB803" s="377">
        <f t="shared" si="320"/>
        <v>0</v>
      </c>
      <c r="AC803" s="377">
        <f t="shared" si="321"/>
        <v>0</v>
      </c>
      <c r="AD803" s="376"/>
      <c r="AE803" s="332">
        <v>788</v>
      </c>
      <c r="AF803" s="350">
        <v>469923.9507872861</v>
      </c>
      <c r="AG803" s="350">
        <v>468230.49442523805</v>
      </c>
      <c r="AH803" s="350">
        <v>466399.10439395113</v>
      </c>
      <c r="AI803" s="350">
        <v>464201.96001351444</v>
      </c>
      <c r="AJ803" s="350">
        <v>461437.23697183433</v>
      </c>
      <c r="AK803" s="348">
        <v>2330192.7465918241</v>
      </c>
      <c r="AL803" s="369"/>
      <c r="AM803" s="350">
        <v>13295092.024446057</v>
      </c>
      <c r="AN803" s="350">
        <v>13177466.722468883</v>
      </c>
      <c r="AO803" s="350">
        <v>13048579.372178292</v>
      </c>
      <c r="AP803" s="350">
        <v>12883352.107962074</v>
      </c>
      <c r="AQ803" s="350">
        <v>12660326.090062344</v>
      </c>
      <c r="AR803" s="348">
        <v>65064816.317117646</v>
      </c>
      <c r="AS803" s="369"/>
      <c r="AT803" s="350">
        <f t="shared" si="339"/>
        <v>12825168.073658772</v>
      </c>
      <c r="AU803" s="350">
        <f t="shared" si="322"/>
        <v>12709236.228043646</v>
      </c>
      <c r="AV803" s="350">
        <f t="shared" si="323"/>
        <v>12582180.26778434</v>
      </c>
      <c r="AW803" s="350">
        <f t="shared" si="324"/>
        <v>12419150.147948559</v>
      </c>
      <c r="AX803" s="350">
        <f t="shared" si="325"/>
        <v>12198888.85309051</v>
      </c>
      <c r="AY803" s="350">
        <f t="shared" si="326"/>
        <v>62734623.570525825</v>
      </c>
      <c r="AZ803" s="365"/>
      <c r="BA803" s="377">
        <f t="shared" si="327"/>
        <v>0</v>
      </c>
      <c r="BB803" s="377">
        <f t="shared" si="328"/>
        <v>0</v>
      </c>
      <c r="BC803" s="377">
        <f t="shared" si="329"/>
        <v>0</v>
      </c>
      <c r="BD803" s="377">
        <f t="shared" si="330"/>
        <v>0</v>
      </c>
      <c r="BE803" s="377">
        <f t="shared" si="331"/>
        <v>0</v>
      </c>
      <c r="BF803" s="377">
        <f t="shared" si="332"/>
        <v>0</v>
      </c>
      <c r="BG803" s="328"/>
    </row>
    <row r="804" spans="2:59">
      <c r="B804" s="332">
        <v>789</v>
      </c>
      <c r="C804" s="350">
        <v>5111479.2896898082</v>
      </c>
      <c r="D804" s="350">
        <v>5093059.1450938564</v>
      </c>
      <c r="E804" s="350">
        <v>5073138.661788878</v>
      </c>
      <c r="F804" s="350">
        <v>5049239.7777710613</v>
      </c>
      <c r="G804" s="350">
        <v>5019167.1999728847</v>
      </c>
      <c r="H804" s="348">
        <v>25346084.074316487</v>
      </c>
      <c r="I804" s="369"/>
      <c r="J804" s="350">
        <v>18341326.310445253</v>
      </c>
      <c r="K804" s="350">
        <v>17971979.885022193</v>
      </c>
      <c r="L804" s="350">
        <v>17591325.326864824</v>
      </c>
      <c r="M804" s="350">
        <v>17171454.131044582</v>
      </c>
      <c r="N804" s="350">
        <v>16688895.574270001</v>
      </c>
      <c r="O804" s="348">
        <v>87764981.227646843</v>
      </c>
      <c r="P804" s="369"/>
      <c r="Q804" s="350">
        <f t="shared" si="333"/>
        <v>13229847.020755444</v>
      </c>
      <c r="R804" s="350">
        <f t="shared" si="334"/>
        <v>12878920.739928337</v>
      </c>
      <c r="S804" s="350">
        <f t="shared" si="335"/>
        <v>12518186.665075947</v>
      </c>
      <c r="T804" s="350">
        <f t="shared" si="336"/>
        <v>12122214.35327352</v>
      </c>
      <c r="U804" s="350">
        <f t="shared" si="337"/>
        <v>11669728.374297116</v>
      </c>
      <c r="V804" s="350">
        <f t="shared" si="338"/>
        <v>62418897.153330356</v>
      </c>
      <c r="W804" s="365"/>
      <c r="X804" s="377">
        <f t="shared" si="316"/>
        <v>0</v>
      </c>
      <c r="Y804" s="377">
        <f t="shared" si="317"/>
        <v>0</v>
      </c>
      <c r="Z804" s="377">
        <f t="shared" si="318"/>
        <v>0</v>
      </c>
      <c r="AA804" s="377">
        <f t="shared" si="319"/>
        <v>0</v>
      </c>
      <c r="AB804" s="377">
        <f t="shared" si="320"/>
        <v>0</v>
      </c>
      <c r="AC804" s="377">
        <f t="shared" si="321"/>
        <v>0</v>
      </c>
      <c r="AD804" s="376"/>
      <c r="AE804" s="332">
        <v>789</v>
      </c>
      <c r="AF804" s="350">
        <v>572585.13472443481</v>
      </c>
      <c r="AG804" s="350">
        <v>570521.72012811829</v>
      </c>
      <c r="AH804" s="350">
        <v>568290.23840423371</v>
      </c>
      <c r="AI804" s="350">
        <v>565613.09839259216</v>
      </c>
      <c r="AJ804" s="350">
        <v>562244.384555717</v>
      </c>
      <c r="AK804" s="348">
        <v>2839254.5762050957</v>
      </c>
      <c r="AL804" s="369"/>
      <c r="AM804" s="350">
        <v>18030358.134785362</v>
      </c>
      <c r="AN804" s="350">
        <v>17873840.947785497</v>
      </c>
      <c r="AO804" s="350">
        <v>17701989.241184086</v>
      </c>
      <c r="AP804" s="350">
        <v>17480696.290369738</v>
      </c>
      <c r="AQ804" s="350">
        <v>17180771.417077839</v>
      </c>
      <c r="AR804" s="348">
        <v>88267656.031202525</v>
      </c>
      <c r="AS804" s="369"/>
      <c r="AT804" s="350">
        <f t="shared" si="339"/>
        <v>17457773.000060927</v>
      </c>
      <c r="AU804" s="350">
        <f t="shared" si="322"/>
        <v>17303319.227657378</v>
      </c>
      <c r="AV804" s="350">
        <f t="shared" si="323"/>
        <v>17133699.002779853</v>
      </c>
      <c r="AW804" s="350">
        <f t="shared" si="324"/>
        <v>16915083.191977147</v>
      </c>
      <c r="AX804" s="350">
        <f t="shared" si="325"/>
        <v>16618527.032522123</v>
      </c>
      <c r="AY804" s="350">
        <f t="shared" si="326"/>
        <v>85428401.454997435</v>
      </c>
      <c r="AZ804" s="365"/>
      <c r="BA804" s="377">
        <f t="shared" si="327"/>
        <v>0</v>
      </c>
      <c r="BB804" s="377">
        <f t="shared" si="328"/>
        <v>0</v>
      </c>
      <c r="BC804" s="377">
        <f t="shared" si="329"/>
        <v>0</v>
      </c>
      <c r="BD804" s="377">
        <f t="shared" si="330"/>
        <v>0</v>
      </c>
      <c r="BE804" s="377">
        <f t="shared" si="331"/>
        <v>0</v>
      </c>
      <c r="BF804" s="377">
        <f t="shared" si="332"/>
        <v>0</v>
      </c>
      <c r="BG804" s="328"/>
    </row>
    <row r="805" spans="2:59">
      <c r="B805" s="332">
        <v>790</v>
      </c>
      <c r="C805" s="350">
        <v>6777737.7378425784</v>
      </c>
      <c r="D805" s="350">
        <v>6753312.9280979102</v>
      </c>
      <c r="E805" s="350">
        <v>6726898.6938224118</v>
      </c>
      <c r="F805" s="350">
        <v>6695209.1654256899</v>
      </c>
      <c r="G805" s="350">
        <v>6655333.4202910047</v>
      </c>
      <c r="H805" s="348">
        <v>33608491.945479594</v>
      </c>
      <c r="I805" s="369"/>
      <c r="J805" s="350">
        <v>25280264.573229555</v>
      </c>
      <c r="K805" s="350">
        <v>24783598.440280862</v>
      </c>
      <c r="L805" s="350">
        <v>24271092.59079206</v>
      </c>
      <c r="M805" s="350">
        <v>23703879.224923246</v>
      </c>
      <c r="N805" s="350">
        <v>23049240.497072853</v>
      </c>
      <c r="O805" s="348">
        <v>121088075.32629856</v>
      </c>
      <c r="P805" s="369"/>
      <c r="Q805" s="350">
        <f t="shared" si="333"/>
        <v>18502526.835386977</v>
      </c>
      <c r="R805" s="350">
        <f t="shared" si="334"/>
        <v>18030285.512182951</v>
      </c>
      <c r="S805" s="350">
        <f t="shared" si="335"/>
        <v>17544193.896969646</v>
      </c>
      <c r="T805" s="350">
        <f t="shared" si="336"/>
        <v>17008670.059497558</v>
      </c>
      <c r="U805" s="350">
        <f t="shared" si="337"/>
        <v>16393907.076781848</v>
      </c>
      <c r="V805" s="350">
        <f t="shared" si="338"/>
        <v>87479583.380818963</v>
      </c>
      <c r="W805" s="365"/>
      <c r="X805" s="377">
        <f t="shared" si="316"/>
        <v>0</v>
      </c>
      <c r="Y805" s="377">
        <f t="shared" si="317"/>
        <v>0</v>
      </c>
      <c r="Z805" s="377">
        <f t="shared" si="318"/>
        <v>0</v>
      </c>
      <c r="AA805" s="377">
        <f t="shared" si="319"/>
        <v>0</v>
      </c>
      <c r="AB805" s="377">
        <f t="shared" si="320"/>
        <v>0</v>
      </c>
      <c r="AC805" s="377">
        <f t="shared" si="321"/>
        <v>0</v>
      </c>
      <c r="AD805" s="376"/>
      <c r="AE805" s="332">
        <v>790</v>
      </c>
      <c r="AF805" s="350">
        <v>565081.58994213329</v>
      </c>
      <c r="AG805" s="350">
        <v>563045.21573315642</v>
      </c>
      <c r="AH805" s="350">
        <v>560842.97686248366</v>
      </c>
      <c r="AI805" s="350">
        <v>558200.91991316353</v>
      </c>
      <c r="AJ805" s="350">
        <v>554876.35199206718</v>
      </c>
      <c r="AK805" s="348">
        <v>2802047.0544430036</v>
      </c>
      <c r="AL805" s="369"/>
      <c r="AM805" s="350">
        <v>17791636.52988277</v>
      </c>
      <c r="AN805" s="350">
        <v>17637188.033113174</v>
      </c>
      <c r="AO805" s="350">
        <v>17467608.118892945</v>
      </c>
      <c r="AP805" s="350">
        <v>17249241.751094088</v>
      </c>
      <c r="AQ805" s="350">
        <v>16953284.841942061</v>
      </c>
      <c r="AR805" s="348">
        <v>87098959.274925038</v>
      </c>
      <c r="AS805" s="369"/>
      <c r="AT805" s="350">
        <f t="shared" si="339"/>
        <v>17226554.939940635</v>
      </c>
      <c r="AU805" s="350">
        <f t="shared" si="322"/>
        <v>17074142.817380019</v>
      </c>
      <c r="AV805" s="350">
        <f t="shared" si="323"/>
        <v>16906765.142030463</v>
      </c>
      <c r="AW805" s="350">
        <f t="shared" si="324"/>
        <v>16691040.831180925</v>
      </c>
      <c r="AX805" s="350">
        <f t="shared" si="325"/>
        <v>16398408.489949994</v>
      </c>
      <c r="AY805" s="350">
        <f t="shared" si="326"/>
        <v>84296912.220482036</v>
      </c>
      <c r="AZ805" s="365"/>
      <c r="BA805" s="377">
        <f t="shared" si="327"/>
        <v>0</v>
      </c>
      <c r="BB805" s="377">
        <f t="shared" si="328"/>
        <v>0</v>
      </c>
      <c r="BC805" s="377">
        <f t="shared" si="329"/>
        <v>0</v>
      </c>
      <c r="BD805" s="377">
        <f t="shared" si="330"/>
        <v>0</v>
      </c>
      <c r="BE805" s="377">
        <f t="shared" si="331"/>
        <v>0</v>
      </c>
      <c r="BF805" s="377">
        <f t="shared" si="332"/>
        <v>0</v>
      </c>
      <c r="BG805" s="328"/>
    </row>
    <row r="806" spans="2:59">
      <c r="B806" s="332">
        <v>791</v>
      </c>
      <c r="C806" s="350">
        <v>6223882.5019072033</v>
      </c>
      <c r="D806" s="350">
        <v>6201453.6101645371</v>
      </c>
      <c r="E806" s="350">
        <v>6177197.8633552957</v>
      </c>
      <c r="F806" s="350">
        <v>6148097.9027326191</v>
      </c>
      <c r="G806" s="350">
        <v>6111480.6770455586</v>
      </c>
      <c r="H806" s="348">
        <v>30862112.555205215</v>
      </c>
      <c r="I806" s="369"/>
      <c r="J806" s="350">
        <v>18705738.177014478</v>
      </c>
      <c r="K806" s="350">
        <v>18282153.889346298</v>
      </c>
      <c r="L806" s="350">
        <v>17847994.48615855</v>
      </c>
      <c r="M806" s="350">
        <v>17376311.657910313</v>
      </c>
      <c r="N806" s="350">
        <v>16844557.378808253</v>
      </c>
      <c r="O806" s="348">
        <v>89056755.589237899</v>
      </c>
      <c r="P806" s="369"/>
      <c r="Q806" s="350">
        <f t="shared" si="333"/>
        <v>12481855.675107274</v>
      </c>
      <c r="R806" s="350">
        <f t="shared" si="334"/>
        <v>12080700.27918176</v>
      </c>
      <c r="S806" s="350">
        <f t="shared" si="335"/>
        <v>11670796.622803254</v>
      </c>
      <c r="T806" s="350">
        <f t="shared" si="336"/>
        <v>11228213.755177695</v>
      </c>
      <c r="U806" s="350">
        <f t="shared" si="337"/>
        <v>10733076.701762695</v>
      </c>
      <c r="V806" s="350">
        <f t="shared" si="338"/>
        <v>58194643.034032688</v>
      </c>
      <c r="W806" s="365"/>
      <c r="X806" s="377">
        <f t="shared" si="316"/>
        <v>0</v>
      </c>
      <c r="Y806" s="377">
        <f t="shared" si="317"/>
        <v>0</v>
      </c>
      <c r="Z806" s="377">
        <f t="shared" si="318"/>
        <v>0</v>
      </c>
      <c r="AA806" s="377">
        <f t="shared" si="319"/>
        <v>0</v>
      </c>
      <c r="AB806" s="377">
        <f t="shared" si="320"/>
        <v>0</v>
      </c>
      <c r="AC806" s="377">
        <f t="shared" si="321"/>
        <v>0</v>
      </c>
      <c r="AD806" s="376"/>
      <c r="AE806" s="332">
        <v>791</v>
      </c>
      <c r="AF806" s="350">
        <v>558734.10723196249</v>
      </c>
      <c r="AG806" s="350">
        <v>556720.60733054229</v>
      </c>
      <c r="AH806" s="350">
        <v>554543.10590204445</v>
      </c>
      <c r="AI806" s="350">
        <v>551930.72681005253</v>
      </c>
      <c r="AJ806" s="350">
        <v>548643.50329686736</v>
      </c>
      <c r="AK806" s="348">
        <v>2770572.0505714691</v>
      </c>
      <c r="AL806" s="369"/>
      <c r="AM806" s="350">
        <v>14185013.20399911</v>
      </c>
      <c r="AN806" s="350">
        <v>14056853.452324156</v>
      </c>
      <c r="AO806" s="350">
        <v>13916732.15437147</v>
      </c>
      <c r="AP806" s="350">
        <v>13737978.774195231</v>
      </c>
      <c r="AQ806" s="350">
        <v>13497776.914605521</v>
      </c>
      <c r="AR806" s="348">
        <v>69394354.499495491</v>
      </c>
      <c r="AS806" s="369"/>
      <c r="AT806" s="350">
        <f t="shared" si="339"/>
        <v>13626279.096767146</v>
      </c>
      <c r="AU806" s="350">
        <f t="shared" si="322"/>
        <v>13500132.844993614</v>
      </c>
      <c r="AV806" s="350">
        <f t="shared" si="323"/>
        <v>13362189.048469426</v>
      </c>
      <c r="AW806" s="350">
        <f t="shared" si="324"/>
        <v>13186048.047385179</v>
      </c>
      <c r="AX806" s="350">
        <f t="shared" si="325"/>
        <v>12949133.411308654</v>
      </c>
      <c r="AY806" s="350">
        <f t="shared" si="326"/>
        <v>66623782.44892402</v>
      </c>
      <c r="AZ806" s="365"/>
      <c r="BA806" s="377">
        <f t="shared" si="327"/>
        <v>0</v>
      </c>
      <c r="BB806" s="377">
        <f t="shared" si="328"/>
        <v>0</v>
      </c>
      <c r="BC806" s="377">
        <f t="shared" si="329"/>
        <v>0</v>
      </c>
      <c r="BD806" s="377">
        <f t="shared" si="330"/>
        <v>0</v>
      </c>
      <c r="BE806" s="377">
        <f t="shared" si="331"/>
        <v>0</v>
      </c>
      <c r="BF806" s="377">
        <f t="shared" si="332"/>
        <v>0</v>
      </c>
      <c r="BG806" s="328"/>
    </row>
    <row r="807" spans="2:59">
      <c r="B807" s="332">
        <v>792</v>
      </c>
      <c r="C807" s="350">
        <v>5514796.741762124</v>
      </c>
      <c r="D807" s="350">
        <v>5494923.1694275085</v>
      </c>
      <c r="E807" s="350">
        <v>5473430.875279665</v>
      </c>
      <c r="F807" s="350">
        <v>5447646.2676849421</v>
      </c>
      <c r="G807" s="350">
        <v>5415200.8356175013</v>
      </c>
      <c r="H807" s="348">
        <v>27345997.889771741</v>
      </c>
      <c r="I807" s="369"/>
      <c r="J807" s="350">
        <v>16406482.316794867</v>
      </c>
      <c r="K807" s="350">
        <v>16032368.570457777</v>
      </c>
      <c r="L807" s="350">
        <v>15649032.566250347</v>
      </c>
      <c r="M807" s="350">
        <v>15232922.220575701</v>
      </c>
      <c r="N807" s="350">
        <v>14764337.9092655</v>
      </c>
      <c r="O807" s="348">
        <v>78085143.583344191</v>
      </c>
      <c r="P807" s="369"/>
      <c r="Q807" s="350">
        <f t="shared" si="333"/>
        <v>10891685.575032743</v>
      </c>
      <c r="R807" s="350">
        <f t="shared" si="334"/>
        <v>10537445.401030269</v>
      </c>
      <c r="S807" s="350">
        <f t="shared" si="335"/>
        <v>10175601.690970682</v>
      </c>
      <c r="T807" s="350">
        <f t="shared" si="336"/>
        <v>9785275.9528907593</v>
      </c>
      <c r="U807" s="350">
        <f t="shared" si="337"/>
        <v>9349137.0736479983</v>
      </c>
      <c r="V807" s="350">
        <f t="shared" si="338"/>
        <v>50739145.693572447</v>
      </c>
      <c r="W807" s="365"/>
      <c r="X807" s="377">
        <f t="shared" si="316"/>
        <v>0</v>
      </c>
      <c r="Y807" s="377">
        <f t="shared" si="317"/>
        <v>0</v>
      </c>
      <c r="Z807" s="377">
        <f t="shared" si="318"/>
        <v>0</v>
      </c>
      <c r="AA807" s="377">
        <f t="shared" si="319"/>
        <v>0</v>
      </c>
      <c r="AB807" s="377">
        <f t="shared" si="320"/>
        <v>0</v>
      </c>
      <c r="AC807" s="377">
        <f t="shared" si="321"/>
        <v>0</v>
      </c>
      <c r="AD807" s="376"/>
      <c r="AE807" s="332">
        <v>792</v>
      </c>
      <c r="AF807" s="350">
        <v>591144.68247926456</v>
      </c>
      <c r="AG807" s="350">
        <v>589014.38517954573</v>
      </c>
      <c r="AH807" s="350">
        <v>586710.57309095759</v>
      </c>
      <c r="AI807" s="350">
        <v>583946.65732339933</v>
      </c>
      <c r="AJ807" s="350">
        <v>580468.75133057008</v>
      </c>
      <c r="AK807" s="348">
        <v>2931285.0494037373</v>
      </c>
      <c r="AL807" s="369"/>
      <c r="AM807" s="350">
        <v>15234606.345085073</v>
      </c>
      <c r="AN807" s="350">
        <v>15097378.062765842</v>
      </c>
      <c r="AO807" s="350">
        <v>14947294.700033933</v>
      </c>
      <c r="AP807" s="350">
        <v>14755698.901339522</v>
      </c>
      <c r="AQ807" s="350">
        <v>14498073.739994623</v>
      </c>
      <c r="AR807" s="348">
        <v>74533051.749219</v>
      </c>
      <c r="AS807" s="369"/>
      <c r="AT807" s="350">
        <f t="shared" si="339"/>
        <v>14643461.662605809</v>
      </c>
      <c r="AU807" s="350">
        <f t="shared" si="322"/>
        <v>14508363.677586297</v>
      </c>
      <c r="AV807" s="350">
        <f t="shared" si="323"/>
        <v>14360584.126942975</v>
      </c>
      <c r="AW807" s="350">
        <f t="shared" si="324"/>
        <v>14171752.244016122</v>
      </c>
      <c r="AX807" s="350">
        <f t="shared" si="325"/>
        <v>13917604.988664053</v>
      </c>
      <c r="AY807" s="350">
        <f t="shared" si="326"/>
        <v>71601766.699815258</v>
      </c>
      <c r="AZ807" s="365"/>
      <c r="BA807" s="377">
        <f t="shared" si="327"/>
        <v>0</v>
      </c>
      <c r="BB807" s="377">
        <f t="shared" si="328"/>
        <v>0</v>
      </c>
      <c r="BC807" s="377">
        <f t="shared" si="329"/>
        <v>0</v>
      </c>
      <c r="BD807" s="377">
        <f t="shared" si="330"/>
        <v>0</v>
      </c>
      <c r="BE807" s="377">
        <f t="shared" si="331"/>
        <v>0</v>
      </c>
      <c r="BF807" s="377">
        <f t="shared" si="332"/>
        <v>0</v>
      </c>
      <c r="BG807" s="328"/>
    </row>
    <row r="808" spans="2:59">
      <c r="B808" s="332">
        <v>793</v>
      </c>
      <c r="C808" s="350">
        <v>6415847.9371799659</v>
      </c>
      <c r="D808" s="350">
        <v>6392727.2631029207</v>
      </c>
      <c r="E808" s="350">
        <v>6367723.3876147298</v>
      </c>
      <c r="F808" s="350">
        <v>6337725.8864929117</v>
      </c>
      <c r="G808" s="350">
        <v>6299979.2626102176</v>
      </c>
      <c r="H808" s="348">
        <v>31814003.737000749</v>
      </c>
      <c r="I808" s="369"/>
      <c r="J808" s="350">
        <v>18639915.043418415</v>
      </c>
      <c r="K808" s="350">
        <v>18207898.677570585</v>
      </c>
      <c r="L808" s="350">
        <v>17765547.029012948</v>
      </c>
      <c r="M808" s="350">
        <v>17286327.081671417</v>
      </c>
      <c r="N808" s="350">
        <v>16748064.031116178</v>
      </c>
      <c r="O808" s="348">
        <v>88647751.862789541</v>
      </c>
      <c r="P808" s="369"/>
      <c r="Q808" s="350">
        <f t="shared" si="333"/>
        <v>12224067.106238449</v>
      </c>
      <c r="R808" s="350">
        <f t="shared" si="334"/>
        <v>11815171.414467664</v>
      </c>
      <c r="S808" s="350">
        <f t="shared" si="335"/>
        <v>11397823.641398218</v>
      </c>
      <c r="T808" s="350">
        <f t="shared" si="336"/>
        <v>10948601.195178505</v>
      </c>
      <c r="U808" s="350">
        <f t="shared" si="337"/>
        <v>10448084.768505961</v>
      </c>
      <c r="V808" s="350">
        <f t="shared" si="338"/>
        <v>56833748.125788793</v>
      </c>
      <c r="W808" s="365"/>
      <c r="X808" s="377">
        <f t="shared" si="316"/>
        <v>0</v>
      </c>
      <c r="Y808" s="377">
        <f t="shared" si="317"/>
        <v>0</v>
      </c>
      <c r="Z808" s="377">
        <f t="shared" si="318"/>
        <v>0</v>
      </c>
      <c r="AA808" s="377">
        <f t="shared" si="319"/>
        <v>0</v>
      </c>
      <c r="AB808" s="377">
        <f t="shared" si="320"/>
        <v>0</v>
      </c>
      <c r="AC808" s="377">
        <f t="shared" si="321"/>
        <v>0</v>
      </c>
      <c r="AD808" s="376"/>
      <c r="AE808" s="332">
        <v>793</v>
      </c>
      <c r="AF808" s="350">
        <v>727341.09715210542</v>
      </c>
      <c r="AG808" s="350">
        <v>724719.99131936871</v>
      </c>
      <c r="AH808" s="350">
        <v>721885.39386495505</v>
      </c>
      <c r="AI808" s="350">
        <v>718484.68742811354</v>
      </c>
      <c r="AJ808" s="350">
        <v>714205.49142823217</v>
      </c>
      <c r="AK808" s="348">
        <v>3606636.6611927748</v>
      </c>
      <c r="AL808" s="369"/>
      <c r="AM808" s="350">
        <v>20888345.795043796</v>
      </c>
      <c r="AN808" s="350">
        <v>20704049.945253018</v>
      </c>
      <c r="AO808" s="350">
        <v>20502049.535326242</v>
      </c>
      <c r="AP808" s="350">
        <v>20242927.485584714</v>
      </c>
      <c r="AQ808" s="350">
        <v>19892954.048010923</v>
      </c>
      <c r="AR808" s="348">
        <v>102230326.80921867</v>
      </c>
      <c r="AS808" s="369"/>
      <c r="AT808" s="350">
        <f t="shared" si="339"/>
        <v>20161004.69789169</v>
      </c>
      <c r="AU808" s="350">
        <f t="shared" si="322"/>
        <v>19979329.953933649</v>
      </c>
      <c r="AV808" s="350">
        <f t="shared" si="323"/>
        <v>19780164.141461287</v>
      </c>
      <c r="AW808" s="350">
        <f t="shared" si="324"/>
        <v>19524442.7981566</v>
      </c>
      <c r="AX808" s="350">
        <f t="shared" si="325"/>
        <v>19178748.556582689</v>
      </c>
      <c r="AY808" s="350">
        <f t="shared" si="326"/>
        <v>98623690.1480259</v>
      </c>
      <c r="AZ808" s="365"/>
      <c r="BA808" s="377">
        <f t="shared" si="327"/>
        <v>0</v>
      </c>
      <c r="BB808" s="377">
        <f t="shared" si="328"/>
        <v>0</v>
      </c>
      <c r="BC808" s="377">
        <f t="shared" si="329"/>
        <v>0</v>
      </c>
      <c r="BD808" s="377">
        <f t="shared" si="330"/>
        <v>0</v>
      </c>
      <c r="BE808" s="377">
        <f t="shared" si="331"/>
        <v>0</v>
      </c>
      <c r="BF808" s="377">
        <f t="shared" si="332"/>
        <v>0</v>
      </c>
      <c r="BG808" s="328"/>
    </row>
    <row r="809" spans="2:59">
      <c r="B809" s="332">
        <v>794</v>
      </c>
      <c r="C809" s="350">
        <v>4618659.5239216629</v>
      </c>
      <c r="D809" s="350">
        <v>4602015.3449181989</v>
      </c>
      <c r="E809" s="350">
        <v>4584015.4813320832</v>
      </c>
      <c r="F809" s="350">
        <v>4562420.7918059742</v>
      </c>
      <c r="G809" s="350">
        <v>4535247.6409459924</v>
      </c>
      <c r="H809" s="348">
        <v>22902358.782923914</v>
      </c>
      <c r="I809" s="369"/>
      <c r="J809" s="350">
        <v>16812724.119680714</v>
      </c>
      <c r="K809" s="350">
        <v>16477259.908567904</v>
      </c>
      <c r="L809" s="350">
        <v>16131366.701381788</v>
      </c>
      <c r="M809" s="350">
        <v>15749361.818653047</v>
      </c>
      <c r="N809" s="350">
        <v>15309638.816101383</v>
      </c>
      <c r="O809" s="348">
        <v>80480351.36438483</v>
      </c>
      <c r="P809" s="369"/>
      <c r="Q809" s="350">
        <f t="shared" si="333"/>
        <v>12194064.595759051</v>
      </c>
      <c r="R809" s="350">
        <f t="shared" si="334"/>
        <v>11875244.563649705</v>
      </c>
      <c r="S809" s="350">
        <f t="shared" si="335"/>
        <v>11547351.220049705</v>
      </c>
      <c r="T809" s="350">
        <f t="shared" si="336"/>
        <v>11186941.026847072</v>
      </c>
      <c r="U809" s="350">
        <f t="shared" si="337"/>
        <v>10774391.17515539</v>
      </c>
      <c r="V809" s="350">
        <f t="shared" si="338"/>
        <v>57577992.581460916</v>
      </c>
      <c r="W809" s="365"/>
      <c r="X809" s="377">
        <f t="shared" si="316"/>
        <v>0</v>
      </c>
      <c r="Y809" s="377">
        <f t="shared" si="317"/>
        <v>0</v>
      </c>
      <c r="Z809" s="377">
        <f t="shared" si="318"/>
        <v>0</v>
      </c>
      <c r="AA809" s="377">
        <f t="shared" si="319"/>
        <v>0</v>
      </c>
      <c r="AB809" s="377">
        <f t="shared" si="320"/>
        <v>0</v>
      </c>
      <c r="AC809" s="377">
        <f t="shared" si="321"/>
        <v>0</v>
      </c>
      <c r="AD809" s="376"/>
      <c r="AE809" s="332">
        <v>794</v>
      </c>
      <c r="AF809" s="350">
        <v>409021.89191057562</v>
      </c>
      <c r="AG809" s="350">
        <v>407547.90718621243</v>
      </c>
      <c r="AH809" s="350">
        <v>405953.86497115134</v>
      </c>
      <c r="AI809" s="350">
        <v>404041.47010431968</v>
      </c>
      <c r="AJ809" s="350">
        <v>401635.05466790224</v>
      </c>
      <c r="AK809" s="348">
        <v>2028200.1888401613</v>
      </c>
      <c r="AL809" s="369"/>
      <c r="AM809" s="350">
        <v>11311805.672250491</v>
      </c>
      <c r="AN809" s="350">
        <v>11211300.267216545</v>
      </c>
      <c r="AO809" s="350">
        <v>11101221.537125345</v>
      </c>
      <c r="AP809" s="350">
        <v>10960246.373418216</v>
      </c>
      <c r="AQ809" s="350">
        <v>10770129.684090156</v>
      </c>
      <c r="AR809" s="348">
        <v>55354703.534100741</v>
      </c>
      <c r="AS809" s="369"/>
      <c r="AT809" s="350">
        <f t="shared" si="339"/>
        <v>10902783.780339915</v>
      </c>
      <c r="AU809" s="350">
        <f t="shared" si="322"/>
        <v>10803752.360030333</v>
      </c>
      <c r="AV809" s="350">
        <f t="shared" si="323"/>
        <v>10695267.672154194</v>
      </c>
      <c r="AW809" s="350">
        <f t="shared" si="324"/>
        <v>10556204.903313896</v>
      </c>
      <c r="AX809" s="350">
        <f t="shared" si="325"/>
        <v>10368494.629422253</v>
      </c>
      <c r="AY809" s="350">
        <f t="shared" si="326"/>
        <v>53326503.345260583</v>
      </c>
      <c r="AZ809" s="365"/>
      <c r="BA809" s="377">
        <f t="shared" si="327"/>
        <v>0</v>
      </c>
      <c r="BB809" s="377">
        <f t="shared" si="328"/>
        <v>0</v>
      </c>
      <c r="BC809" s="377">
        <f t="shared" si="329"/>
        <v>0</v>
      </c>
      <c r="BD809" s="377">
        <f t="shared" si="330"/>
        <v>0</v>
      </c>
      <c r="BE809" s="377">
        <f t="shared" si="331"/>
        <v>0</v>
      </c>
      <c r="BF809" s="377">
        <f t="shared" si="332"/>
        <v>0</v>
      </c>
      <c r="BG809" s="328"/>
    </row>
    <row r="810" spans="2:59">
      <c r="B810" s="332">
        <v>795</v>
      </c>
      <c r="C810" s="350">
        <v>2500284.8613168192</v>
      </c>
      <c r="D810" s="350">
        <v>2491274.630409807</v>
      </c>
      <c r="E810" s="350">
        <v>2481530.5074241147</v>
      </c>
      <c r="F810" s="350">
        <v>2469840.3460196378</v>
      </c>
      <c r="G810" s="350">
        <v>2455130.316545154</v>
      </c>
      <c r="H810" s="348">
        <v>12398060.661715534</v>
      </c>
      <c r="I810" s="369"/>
      <c r="J810" s="350">
        <v>7738521.9114552392</v>
      </c>
      <c r="K810" s="350">
        <v>7566743.5590362642</v>
      </c>
      <c r="L810" s="350">
        <v>7390519.7024010411</v>
      </c>
      <c r="M810" s="350">
        <v>7198590.2206861209</v>
      </c>
      <c r="N810" s="350">
        <v>6981524.6450987784</v>
      </c>
      <c r="O810" s="348">
        <v>36875900.038677439</v>
      </c>
      <c r="P810" s="369"/>
      <c r="Q810" s="350">
        <f t="shared" si="333"/>
        <v>5238237.0501384195</v>
      </c>
      <c r="R810" s="350">
        <f t="shared" si="334"/>
        <v>5075468.9286264572</v>
      </c>
      <c r="S810" s="350">
        <f t="shared" si="335"/>
        <v>4908989.1949769258</v>
      </c>
      <c r="T810" s="350">
        <f t="shared" si="336"/>
        <v>4728749.8746664831</v>
      </c>
      <c r="U810" s="350">
        <f t="shared" si="337"/>
        <v>4526394.3285536245</v>
      </c>
      <c r="V810" s="350">
        <f t="shared" si="338"/>
        <v>24477839.376961906</v>
      </c>
      <c r="W810" s="365"/>
      <c r="X810" s="377">
        <f t="shared" si="316"/>
        <v>0</v>
      </c>
      <c r="Y810" s="377">
        <f t="shared" si="317"/>
        <v>0</v>
      </c>
      <c r="Z810" s="377">
        <f t="shared" si="318"/>
        <v>0</v>
      </c>
      <c r="AA810" s="377">
        <f t="shared" si="319"/>
        <v>0</v>
      </c>
      <c r="AB810" s="377">
        <f t="shared" si="320"/>
        <v>0</v>
      </c>
      <c r="AC810" s="377">
        <f t="shared" si="321"/>
        <v>0</v>
      </c>
      <c r="AD810" s="376"/>
      <c r="AE810" s="332">
        <v>795</v>
      </c>
      <c r="AF810" s="350">
        <v>375405.80496208998</v>
      </c>
      <c r="AG810" s="350">
        <v>374052.96191653406</v>
      </c>
      <c r="AH810" s="350">
        <v>372589.92848794837</v>
      </c>
      <c r="AI810" s="350">
        <v>370834.70670498983</v>
      </c>
      <c r="AJ810" s="350">
        <v>368626.06618513499</v>
      </c>
      <c r="AK810" s="348">
        <v>1861509.4682566971</v>
      </c>
      <c r="AL810" s="369"/>
      <c r="AM810" s="350">
        <v>12069604.408229575</v>
      </c>
      <c r="AN810" s="350">
        <v>11965196.934924826</v>
      </c>
      <c r="AO810" s="350">
        <v>11850516.993226735</v>
      </c>
      <c r="AP810" s="350">
        <v>11702721.569643561</v>
      </c>
      <c r="AQ810" s="350">
        <v>11502259.45495744</v>
      </c>
      <c r="AR810" s="348">
        <v>59090299.360982135</v>
      </c>
      <c r="AS810" s="369"/>
      <c r="AT810" s="350">
        <f t="shared" si="339"/>
        <v>11694198.603267485</v>
      </c>
      <c r="AU810" s="350">
        <f t="shared" si="322"/>
        <v>11591143.973008292</v>
      </c>
      <c r="AV810" s="350">
        <f t="shared" si="323"/>
        <v>11477927.064738786</v>
      </c>
      <c r="AW810" s="350">
        <f t="shared" si="324"/>
        <v>11331886.862938572</v>
      </c>
      <c r="AX810" s="350">
        <f t="shared" si="325"/>
        <v>11133633.388772305</v>
      </c>
      <c r="AY810" s="350">
        <f t="shared" si="326"/>
        <v>57228789.892725438</v>
      </c>
      <c r="AZ810" s="365"/>
      <c r="BA810" s="377">
        <f t="shared" si="327"/>
        <v>0</v>
      </c>
      <c r="BB810" s="377">
        <f t="shared" si="328"/>
        <v>0</v>
      </c>
      <c r="BC810" s="377">
        <f t="shared" si="329"/>
        <v>0</v>
      </c>
      <c r="BD810" s="377">
        <f t="shared" si="330"/>
        <v>0</v>
      </c>
      <c r="BE810" s="377">
        <f t="shared" si="331"/>
        <v>0</v>
      </c>
      <c r="BF810" s="377">
        <f t="shared" si="332"/>
        <v>0</v>
      </c>
      <c r="BG810" s="328"/>
    </row>
    <row r="811" spans="2:59">
      <c r="B811" s="332">
        <v>796</v>
      </c>
      <c r="C811" s="350">
        <v>5633191.7857869938</v>
      </c>
      <c r="D811" s="350">
        <v>5612891.5553937666</v>
      </c>
      <c r="E811" s="350">
        <v>5590937.8514730902</v>
      </c>
      <c r="F811" s="350">
        <v>5564599.6840838185</v>
      </c>
      <c r="G811" s="350">
        <v>5531457.6935505066</v>
      </c>
      <c r="H811" s="348">
        <v>27933078.570288174</v>
      </c>
      <c r="I811" s="369"/>
      <c r="J811" s="350">
        <v>20076104.35055574</v>
      </c>
      <c r="K811" s="350">
        <v>19670049.21022252</v>
      </c>
      <c r="L811" s="350">
        <v>19251652.621598203</v>
      </c>
      <c r="M811" s="350">
        <v>18790423.729346771</v>
      </c>
      <c r="N811" s="350">
        <v>18260724.442872569</v>
      </c>
      <c r="O811" s="348">
        <v>96048954.354595795</v>
      </c>
      <c r="P811" s="369"/>
      <c r="Q811" s="350">
        <f t="shared" si="333"/>
        <v>14442912.564768746</v>
      </c>
      <c r="R811" s="350">
        <f t="shared" si="334"/>
        <v>14057157.654828753</v>
      </c>
      <c r="S811" s="350">
        <f t="shared" si="335"/>
        <v>13660714.770125113</v>
      </c>
      <c r="T811" s="350">
        <f t="shared" si="336"/>
        <v>13225824.045262951</v>
      </c>
      <c r="U811" s="350">
        <f t="shared" si="337"/>
        <v>12729266.749322062</v>
      </c>
      <c r="V811" s="350">
        <f t="shared" si="338"/>
        <v>68115875.784307629</v>
      </c>
      <c r="W811" s="365"/>
      <c r="X811" s="377">
        <f t="shared" si="316"/>
        <v>0</v>
      </c>
      <c r="Y811" s="377">
        <f t="shared" si="317"/>
        <v>0</v>
      </c>
      <c r="Z811" s="377">
        <f t="shared" si="318"/>
        <v>0</v>
      </c>
      <c r="AA811" s="377">
        <f t="shared" si="319"/>
        <v>0</v>
      </c>
      <c r="AB811" s="377">
        <f t="shared" si="320"/>
        <v>0</v>
      </c>
      <c r="AC811" s="377">
        <f t="shared" si="321"/>
        <v>0</v>
      </c>
      <c r="AD811" s="376"/>
      <c r="AE811" s="332">
        <v>796</v>
      </c>
      <c r="AF811" s="350">
        <v>572597.29782673751</v>
      </c>
      <c r="AG811" s="350">
        <v>570533.83939847117</v>
      </c>
      <c r="AH811" s="350">
        <v>568302.31027248187</v>
      </c>
      <c r="AI811" s="350">
        <v>565625.11339186865</v>
      </c>
      <c r="AJ811" s="350">
        <v>562256.32799530996</v>
      </c>
      <c r="AK811" s="348">
        <v>2839314.8888848694</v>
      </c>
      <c r="AL811" s="369"/>
      <c r="AM811" s="350">
        <v>16346239.890624873</v>
      </c>
      <c r="AN811" s="350">
        <v>16201860.191640887</v>
      </c>
      <c r="AO811" s="350">
        <v>16043628.968847672</v>
      </c>
      <c r="AP811" s="350">
        <v>15840705.38015765</v>
      </c>
      <c r="AQ811" s="350">
        <v>15566698.798078295</v>
      </c>
      <c r="AR811" s="348">
        <v>79999133.229349375</v>
      </c>
      <c r="AS811" s="369"/>
      <c r="AT811" s="350">
        <f t="shared" si="339"/>
        <v>15773642.592798136</v>
      </c>
      <c r="AU811" s="350">
        <f t="shared" si="322"/>
        <v>15631326.352242416</v>
      </c>
      <c r="AV811" s="350">
        <f t="shared" si="323"/>
        <v>15475326.65857519</v>
      </c>
      <c r="AW811" s="350">
        <f t="shared" si="324"/>
        <v>15275080.266765781</v>
      </c>
      <c r="AX811" s="350">
        <f t="shared" si="325"/>
        <v>15004442.470082985</v>
      </c>
      <c r="AY811" s="350">
        <f t="shared" si="326"/>
        <v>77159818.340464503</v>
      </c>
      <c r="AZ811" s="365"/>
      <c r="BA811" s="377">
        <f t="shared" si="327"/>
        <v>0</v>
      </c>
      <c r="BB811" s="377">
        <f t="shared" si="328"/>
        <v>0</v>
      </c>
      <c r="BC811" s="377">
        <f t="shared" si="329"/>
        <v>0</v>
      </c>
      <c r="BD811" s="377">
        <f t="shared" si="330"/>
        <v>0</v>
      </c>
      <c r="BE811" s="377">
        <f t="shared" si="331"/>
        <v>0</v>
      </c>
      <c r="BF811" s="377">
        <f t="shared" si="332"/>
        <v>0</v>
      </c>
      <c r="BG811" s="328"/>
    </row>
    <row r="812" spans="2:59">
      <c r="B812" s="332">
        <v>797</v>
      </c>
      <c r="C812" s="350">
        <v>5825753.2186917663</v>
      </c>
      <c r="D812" s="350">
        <v>5804759.0581783755</v>
      </c>
      <c r="E812" s="350">
        <v>5782054.9028537199</v>
      </c>
      <c r="F812" s="350">
        <v>5754816.4083594205</v>
      </c>
      <c r="G812" s="350">
        <v>5720541.5131729217</v>
      </c>
      <c r="H812" s="348">
        <v>28887925.101256203</v>
      </c>
      <c r="I812" s="369"/>
      <c r="J812" s="350">
        <v>18730533.063507345</v>
      </c>
      <c r="K812" s="350">
        <v>18325241.803011112</v>
      </c>
      <c r="L812" s="350">
        <v>17908976.399724633</v>
      </c>
      <c r="M812" s="350">
        <v>17454143.889332566</v>
      </c>
      <c r="N812" s="350">
        <v>16937607.945341434</v>
      </c>
      <c r="O812" s="348">
        <v>89356503.100917086</v>
      </c>
      <c r="P812" s="369"/>
      <c r="Q812" s="350">
        <f t="shared" si="333"/>
        <v>12904779.844815578</v>
      </c>
      <c r="R812" s="350">
        <f t="shared" si="334"/>
        <v>12520482.744832736</v>
      </c>
      <c r="S812" s="350">
        <f t="shared" si="335"/>
        <v>12126921.496870913</v>
      </c>
      <c r="T812" s="350">
        <f t="shared" si="336"/>
        <v>11699327.480973147</v>
      </c>
      <c r="U812" s="350">
        <f t="shared" si="337"/>
        <v>11217066.432168514</v>
      </c>
      <c r="V812" s="350">
        <f t="shared" si="338"/>
        <v>60468577.999660879</v>
      </c>
      <c r="W812" s="365"/>
      <c r="X812" s="377">
        <f t="shared" si="316"/>
        <v>0</v>
      </c>
      <c r="Y812" s="377">
        <f t="shared" si="317"/>
        <v>0</v>
      </c>
      <c r="Z812" s="377">
        <f t="shared" si="318"/>
        <v>0</v>
      </c>
      <c r="AA812" s="377">
        <f t="shared" si="319"/>
        <v>0</v>
      </c>
      <c r="AB812" s="377">
        <f t="shared" si="320"/>
        <v>0</v>
      </c>
      <c r="AC812" s="377">
        <f t="shared" si="321"/>
        <v>0</v>
      </c>
      <c r="AD812" s="376"/>
      <c r="AE812" s="332">
        <v>797</v>
      </c>
      <c r="AF812" s="350">
        <v>434503.42618412653</v>
      </c>
      <c r="AG812" s="350">
        <v>432937.6141199182</v>
      </c>
      <c r="AH812" s="350">
        <v>431244.26513878943</v>
      </c>
      <c r="AI812" s="350">
        <v>429212.73054788058</v>
      </c>
      <c r="AJ812" s="350">
        <v>426656.3985455478</v>
      </c>
      <c r="AK812" s="348">
        <v>2154554.4345362624</v>
      </c>
      <c r="AL812" s="369"/>
      <c r="AM812" s="350">
        <v>12864886.40443692</v>
      </c>
      <c r="AN812" s="350">
        <v>12752005.132669182</v>
      </c>
      <c r="AO812" s="350">
        <v>12628207.080884499</v>
      </c>
      <c r="AP812" s="350">
        <v>12469195.568405747</v>
      </c>
      <c r="AQ812" s="350">
        <v>12254178.348244134</v>
      </c>
      <c r="AR812" s="348">
        <v>62968472.534640491</v>
      </c>
      <c r="AS812" s="369"/>
      <c r="AT812" s="350">
        <f t="shared" si="339"/>
        <v>12430382.978252793</v>
      </c>
      <c r="AU812" s="350">
        <f t="shared" si="322"/>
        <v>12319067.518549263</v>
      </c>
      <c r="AV812" s="350">
        <f t="shared" si="323"/>
        <v>12196962.815745709</v>
      </c>
      <c r="AW812" s="350">
        <f t="shared" si="324"/>
        <v>12039982.837857867</v>
      </c>
      <c r="AX812" s="350">
        <f t="shared" si="325"/>
        <v>11827521.949698586</v>
      </c>
      <c r="AY812" s="350">
        <f t="shared" si="326"/>
        <v>60813918.100104228</v>
      </c>
      <c r="AZ812" s="365"/>
      <c r="BA812" s="377">
        <f t="shared" si="327"/>
        <v>0</v>
      </c>
      <c r="BB812" s="377">
        <f t="shared" si="328"/>
        <v>0</v>
      </c>
      <c r="BC812" s="377">
        <f t="shared" si="329"/>
        <v>0</v>
      </c>
      <c r="BD812" s="377">
        <f t="shared" si="330"/>
        <v>0</v>
      </c>
      <c r="BE812" s="377">
        <f t="shared" si="331"/>
        <v>0</v>
      </c>
      <c r="BF812" s="377">
        <f t="shared" si="332"/>
        <v>0</v>
      </c>
      <c r="BG812" s="328"/>
    </row>
    <row r="813" spans="2:59">
      <c r="B813" s="332">
        <v>798</v>
      </c>
      <c r="C813" s="350">
        <v>7418876.1040410399</v>
      </c>
      <c r="D813" s="350">
        <v>7392140.8356713662</v>
      </c>
      <c r="E813" s="350">
        <v>7363227.9536666684</v>
      </c>
      <c r="F813" s="350">
        <v>7328540.7624438331</v>
      </c>
      <c r="G813" s="350">
        <v>7284892.9814063925</v>
      </c>
      <c r="H813" s="348">
        <v>36787678.637229301</v>
      </c>
      <c r="I813" s="369"/>
      <c r="J813" s="350">
        <v>25094665.480216861</v>
      </c>
      <c r="K813" s="350">
        <v>24569590.567709241</v>
      </c>
      <c r="L813" s="350">
        <v>24029446.79575514</v>
      </c>
      <c r="M813" s="350">
        <v>23436686.987066031</v>
      </c>
      <c r="N813" s="350">
        <v>22759782.874683924</v>
      </c>
      <c r="O813" s="348">
        <v>119890172.70543119</v>
      </c>
      <c r="P813" s="369"/>
      <c r="Q813" s="350">
        <f t="shared" si="333"/>
        <v>17675789.376175821</v>
      </c>
      <c r="R813" s="350">
        <f t="shared" si="334"/>
        <v>17177449.732037876</v>
      </c>
      <c r="S813" s="350">
        <f t="shared" si="335"/>
        <v>16666218.842088472</v>
      </c>
      <c r="T813" s="350">
        <f t="shared" si="336"/>
        <v>16108146.224622197</v>
      </c>
      <c r="U813" s="350">
        <f t="shared" si="337"/>
        <v>15474889.893277531</v>
      </c>
      <c r="V813" s="350">
        <f t="shared" si="338"/>
        <v>83102494.0682019</v>
      </c>
      <c r="W813" s="365"/>
      <c r="X813" s="377">
        <f t="shared" si="316"/>
        <v>0</v>
      </c>
      <c r="Y813" s="377">
        <f t="shared" si="317"/>
        <v>0</v>
      </c>
      <c r="Z813" s="377">
        <f t="shared" si="318"/>
        <v>0</v>
      </c>
      <c r="AA813" s="377">
        <f t="shared" si="319"/>
        <v>0</v>
      </c>
      <c r="AB813" s="377">
        <f t="shared" si="320"/>
        <v>0</v>
      </c>
      <c r="AC813" s="377">
        <f t="shared" si="321"/>
        <v>0</v>
      </c>
      <c r="AD813" s="376"/>
      <c r="AE813" s="332">
        <v>798</v>
      </c>
      <c r="AF813" s="350">
        <v>557677.42454735318</v>
      </c>
      <c r="AG813" s="350">
        <v>555667.73259403137</v>
      </c>
      <c r="AH813" s="350">
        <v>553494.34927471192</v>
      </c>
      <c r="AI813" s="350">
        <v>550886.91073622555</v>
      </c>
      <c r="AJ813" s="350">
        <v>547605.90404804156</v>
      </c>
      <c r="AK813" s="348">
        <v>2765332.3212003633</v>
      </c>
      <c r="AL813" s="369"/>
      <c r="AM813" s="350">
        <v>16796881.877393916</v>
      </c>
      <c r="AN813" s="350">
        <v>16649946.464998258</v>
      </c>
      <c r="AO813" s="350">
        <v>16488748.571596822</v>
      </c>
      <c r="AP813" s="350">
        <v>16281551.10771022</v>
      </c>
      <c r="AQ813" s="350">
        <v>16001193.701717069</v>
      </c>
      <c r="AR813" s="348">
        <v>82218321.723416284</v>
      </c>
      <c r="AS813" s="369"/>
      <c r="AT813" s="350">
        <f t="shared" si="339"/>
        <v>16239204.452846562</v>
      </c>
      <c r="AU813" s="350">
        <f t="shared" si="322"/>
        <v>16094278.732404226</v>
      </c>
      <c r="AV813" s="350">
        <f t="shared" si="323"/>
        <v>15935254.22232211</v>
      </c>
      <c r="AW813" s="350">
        <f t="shared" si="324"/>
        <v>15730664.196973994</v>
      </c>
      <c r="AX813" s="350">
        <f t="shared" si="325"/>
        <v>15453587.797669027</v>
      </c>
      <c r="AY813" s="350">
        <f t="shared" si="326"/>
        <v>79452989.402215928</v>
      </c>
      <c r="AZ813" s="365"/>
      <c r="BA813" s="377">
        <f t="shared" si="327"/>
        <v>0</v>
      </c>
      <c r="BB813" s="377">
        <f t="shared" si="328"/>
        <v>0</v>
      </c>
      <c r="BC813" s="377">
        <f t="shared" si="329"/>
        <v>0</v>
      </c>
      <c r="BD813" s="377">
        <f t="shared" si="330"/>
        <v>0</v>
      </c>
      <c r="BE813" s="377">
        <f t="shared" si="331"/>
        <v>0</v>
      </c>
      <c r="BF813" s="377">
        <f t="shared" si="332"/>
        <v>0</v>
      </c>
      <c r="BG813" s="328"/>
    </row>
    <row r="814" spans="2:59">
      <c r="B814" s="332">
        <v>799</v>
      </c>
      <c r="C814" s="350">
        <v>8113205.4989620112</v>
      </c>
      <c r="D814" s="350">
        <v>8083968.0884282384</v>
      </c>
      <c r="E814" s="350">
        <v>8052349.2623443818</v>
      </c>
      <c r="F814" s="350">
        <v>8014415.7119486071</v>
      </c>
      <c r="G814" s="350">
        <v>7966682.9540262092</v>
      </c>
      <c r="H814" s="348">
        <v>40230621.515709445</v>
      </c>
      <c r="I814" s="369"/>
      <c r="J814" s="350">
        <v>23310913.774798606</v>
      </c>
      <c r="K814" s="350">
        <v>22766480.68161875</v>
      </c>
      <c r="L814" s="350">
        <v>22209207.265560485</v>
      </c>
      <c r="M814" s="350">
        <v>21606045.833978251</v>
      </c>
      <c r="N814" s="350">
        <v>20929387.895910516</v>
      </c>
      <c r="O814" s="348">
        <v>110822035.4518666</v>
      </c>
      <c r="P814" s="369"/>
      <c r="Q814" s="350">
        <f t="shared" si="333"/>
        <v>15197708.275836594</v>
      </c>
      <c r="R814" s="350">
        <f t="shared" si="334"/>
        <v>14682512.593190512</v>
      </c>
      <c r="S814" s="350">
        <f t="shared" si="335"/>
        <v>14156858.003216103</v>
      </c>
      <c r="T814" s="350">
        <f t="shared" si="336"/>
        <v>13591630.122029644</v>
      </c>
      <c r="U814" s="350">
        <f t="shared" si="337"/>
        <v>12962704.941884307</v>
      </c>
      <c r="V814" s="350">
        <f t="shared" si="338"/>
        <v>70591413.936157152</v>
      </c>
      <c r="W814" s="365"/>
      <c r="X814" s="377">
        <f t="shared" si="316"/>
        <v>0</v>
      </c>
      <c r="Y814" s="377">
        <f t="shared" si="317"/>
        <v>0</v>
      </c>
      <c r="Z814" s="377">
        <f t="shared" si="318"/>
        <v>0</v>
      </c>
      <c r="AA814" s="377">
        <f t="shared" si="319"/>
        <v>0</v>
      </c>
      <c r="AB814" s="377">
        <f t="shared" si="320"/>
        <v>0</v>
      </c>
      <c r="AC814" s="377">
        <f t="shared" si="321"/>
        <v>0</v>
      </c>
      <c r="AD814" s="376"/>
      <c r="AE814" s="332">
        <v>799</v>
      </c>
      <c r="AF814" s="350">
        <v>467989.13009620178</v>
      </c>
      <c r="AG814" s="350">
        <v>466302.64621215424</v>
      </c>
      <c r="AH814" s="350">
        <v>464478.79657398839</v>
      </c>
      <c r="AI814" s="350">
        <v>462290.69850924064</v>
      </c>
      <c r="AJ814" s="350">
        <v>459537.35867826338</v>
      </c>
      <c r="AK814" s="348">
        <v>2320598.6300698482</v>
      </c>
      <c r="AL814" s="369"/>
      <c r="AM814" s="350">
        <v>15841490.332487136</v>
      </c>
      <c r="AN814" s="350">
        <v>15705601.980880361</v>
      </c>
      <c r="AO814" s="350">
        <v>15556207.465520995</v>
      </c>
      <c r="AP814" s="350">
        <v>15363288.012423107</v>
      </c>
      <c r="AQ814" s="350">
        <v>15101148.452503096</v>
      </c>
      <c r="AR814" s="348">
        <v>77567736.243814692</v>
      </c>
      <c r="AS814" s="369"/>
      <c r="AT814" s="350">
        <f t="shared" si="339"/>
        <v>15373501.202390935</v>
      </c>
      <c r="AU814" s="350">
        <f t="shared" si="322"/>
        <v>15239299.334668206</v>
      </c>
      <c r="AV814" s="350">
        <f t="shared" si="323"/>
        <v>15091728.668947006</v>
      </c>
      <c r="AW814" s="350">
        <f t="shared" si="324"/>
        <v>14900997.313913867</v>
      </c>
      <c r="AX814" s="350">
        <f t="shared" si="325"/>
        <v>14641611.093824834</v>
      </c>
      <c r="AY814" s="350">
        <f t="shared" si="326"/>
        <v>75247137.61374484</v>
      </c>
      <c r="AZ814" s="365"/>
      <c r="BA814" s="377">
        <f t="shared" si="327"/>
        <v>0</v>
      </c>
      <c r="BB814" s="377">
        <f t="shared" si="328"/>
        <v>0</v>
      </c>
      <c r="BC814" s="377">
        <f t="shared" si="329"/>
        <v>0</v>
      </c>
      <c r="BD814" s="377">
        <f t="shared" si="330"/>
        <v>0</v>
      </c>
      <c r="BE814" s="377">
        <f t="shared" si="331"/>
        <v>0</v>
      </c>
      <c r="BF814" s="377">
        <f t="shared" si="332"/>
        <v>0</v>
      </c>
      <c r="BG814" s="328"/>
    </row>
    <row r="815" spans="2:59">
      <c r="B815" s="332">
        <v>800</v>
      </c>
      <c r="C815" s="350">
        <v>5807282.2111087646</v>
      </c>
      <c r="D815" s="350">
        <v>5786354.6142281741</v>
      </c>
      <c r="E815" s="350">
        <v>5763722.4442090094</v>
      </c>
      <c r="F815" s="350">
        <v>5736570.3114982368</v>
      </c>
      <c r="G815" s="350">
        <v>5702404.087555632</v>
      </c>
      <c r="H815" s="348">
        <v>28796333.668599818</v>
      </c>
      <c r="I815" s="369"/>
      <c r="J815" s="350">
        <v>20253350.478611529</v>
      </c>
      <c r="K815" s="350">
        <v>19837940.706228189</v>
      </c>
      <c r="L815" s="350">
        <v>19410198.343773726</v>
      </c>
      <c r="M815" s="350">
        <v>18939549.681661535</v>
      </c>
      <c r="N815" s="350">
        <v>18400301.158588137</v>
      </c>
      <c r="O815" s="348">
        <v>96841340.368863121</v>
      </c>
      <c r="P815" s="369"/>
      <c r="Q815" s="350">
        <f t="shared" si="333"/>
        <v>14446068.267502764</v>
      </c>
      <c r="R815" s="350">
        <f t="shared" si="334"/>
        <v>14051586.092000015</v>
      </c>
      <c r="S815" s="350">
        <f t="shared" si="335"/>
        <v>13646475.899564717</v>
      </c>
      <c r="T815" s="350">
        <f t="shared" si="336"/>
        <v>13202979.370163299</v>
      </c>
      <c r="U815" s="350">
        <f t="shared" si="337"/>
        <v>12697897.071032505</v>
      </c>
      <c r="V815" s="350">
        <f t="shared" si="338"/>
        <v>68045006.700263306</v>
      </c>
      <c r="W815" s="365"/>
      <c r="X815" s="377">
        <f t="shared" si="316"/>
        <v>0</v>
      </c>
      <c r="Y815" s="377">
        <f t="shared" si="317"/>
        <v>0</v>
      </c>
      <c r="Z815" s="377">
        <f t="shared" si="318"/>
        <v>0</v>
      </c>
      <c r="AA815" s="377">
        <f t="shared" si="319"/>
        <v>0</v>
      </c>
      <c r="AB815" s="377">
        <f t="shared" si="320"/>
        <v>0</v>
      </c>
      <c r="AC815" s="377">
        <f t="shared" si="321"/>
        <v>0</v>
      </c>
      <c r="AD815" s="376"/>
      <c r="AE815" s="332">
        <v>800</v>
      </c>
      <c r="AF815" s="350">
        <v>600839.7007309472</v>
      </c>
      <c r="AG815" s="350">
        <v>598674.46567095665</v>
      </c>
      <c r="AH815" s="350">
        <v>596332.87010751152</v>
      </c>
      <c r="AI815" s="350">
        <v>593523.62497371365</v>
      </c>
      <c r="AJ815" s="350">
        <v>589988.67987848294</v>
      </c>
      <c r="AK815" s="348">
        <v>2979359.3413616121</v>
      </c>
      <c r="AL815" s="369"/>
      <c r="AM815" s="350">
        <v>15237590.682588363</v>
      </c>
      <c r="AN815" s="350">
        <v>15099891.07791166</v>
      </c>
      <c r="AO815" s="350">
        <v>14949342.950108947</v>
      </c>
      <c r="AP815" s="350">
        <v>14757297.683751302</v>
      </c>
      <c r="AQ815" s="350">
        <v>14499246.712452402</v>
      </c>
      <c r="AR815" s="348">
        <v>74543369.106812671</v>
      </c>
      <c r="AS815" s="369"/>
      <c r="AT815" s="350">
        <f t="shared" si="339"/>
        <v>14636750.981857415</v>
      </c>
      <c r="AU815" s="350">
        <f t="shared" si="322"/>
        <v>14501216.612240704</v>
      </c>
      <c r="AV815" s="350">
        <f t="shared" si="323"/>
        <v>14353010.080001436</v>
      </c>
      <c r="AW815" s="350">
        <f t="shared" si="324"/>
        <v>14163774.058777587</v>
      </c>
      <c r="AX815" s="350">
        <f t="shared" si="325"/>
        <v>13909258.03257392</v>
      </c>
      <c r="AY815" s="350">
        <f t="shared" si="326"/>
        <v>71564009.765451059</v>
      </c>
      <c r="AZ815" s="365"/>
      <c r="BA815" s="377">
        <f t="shared" si="327"/>
        <v>0</v>
      </c>
      <c r="BB815" s="377">
        <f t="shared" si="328"/>
        <v>0</v>
      </c>
      <c r="BC815" s="377">
        <f t="shared" si="329"/>
        <v>0</v>
      </c>
      <c r="BD815" s="377">
        <f t="shared" si="330"/>
        <v>0</v>
      </c>
      <c r="BE815" s="377">
        <f t="shared" si="331"/>
        <v>0</v>
      </c>
      <c r="BF815" s="377">
        <f t="shared" si="332"/>
        <v>0</v>
      </c>
      <c r="BG815" s="328"/>
    </row>
    <row r="816" spans="2:59">
      <c r="B816" s="332">
        <v>801</v>
      </c>
      <c r="C816" s="350">
        <v>6055853.1121218186</v>
      </c>
      <c r="D816" s="350">
        <v>6034029.7448234083</v>
      </c>
      <c r="E816" s="350">
        <v>6010428.843013877</v>
      </c>
      <c r="F816" s="350">
        <v>5982114.5091482438</v>
      </c>
      <c r="G816" s="350">
        <v>5946485.8577290867</v>
      </c>
      <c r="H816" s="348">
        <v>30028912.066836439</v>
      </c>
      <c r="I816" s="369"/>
      <c r="J816" s="350">
        <v>20902181.313297085</v>
      </c>
      <c r="K816" s="350">
        <v>20470562.40661443</v>
      </c>
      <c r="L816" s="350">
        <v>20026275.068576731</v>
      </c>
      <c r="M816" s="350">
        <v>19537859.836471945</v>
      </c>
      <c r="N816" s="350">
        <v>18978885.96114666</v>
      </c>
      <c r="O816" s="348">
        <v>99915764.586106837</v>
      </c>
      <c r="P816" s="369"/>
      <c r="Q816" s="350">
        <f t="shared" si="333"/>
        <v>14846328.201175267</v>
      </c>
      <c r="R816" s="350">
        <f t="shared" si="334"/>
        <v>14436532.661791023</v>
      </c>
      <c r="S816" s="350">
        <f t="shared" si="335"/>
        <v>14015846.225562854</v>
      </c>
      <c r="T816" s="350">
        <f t="shared" si="336"/>
        <v>13555745.327323701</v>
      </c>
      <c r="U816" s="350">
        <f t="shared" si="337"/>
        <v>13032400.103417573</v>
      </c>
      <c r="V816" s="350">
        <f t="shared" si="338"/>
        <v>69886852.51927039</v>
      </c>
      <c r="W816" s="365"/>
      <c r="X816" s="377">
        <f t="shared" si="316"/>
        <v>0</v>
      </c>
      <c r="Y816" s="377">
        <f t="shared" si="317"/>
        <v>0</v>
      </c>
      <c r="Z816" s="377">
        <f t="shared" si="318"/>
        <v>0</v>
      </c>
      <c r="AA816" s="377">
        <f t="shared" si="319"/>
        <v>0</v>
      </c>
      <c r="AB816" s="377">
        <f t="shared" si="320"/>
        <v>0</v>
      </c>
      <c r="AC816" s="377">
        <f t="shared" si="321"/>
        <v>0</v>
      </c>
      <c r="AD816" s="376"/>
      <c r="AE816" s="332">
        <v>801</v>
      </c>
      <c r="AF816" s="350">
        <v>542084.1844370052</v>
      </c>
      <c r="AG816" s="350">
        <v>540130.68555838347</v>
      </c>
      <c r="AH816" s="350">
        <v>538018.07229440077</v>
      </c>
      <c r="AI816" s="350">
        <v>535483.54044607957</v>
      </c>
      <c r="AJ816" s="350">
        <v>532294.27411323471</v>
      </c>
      <c r="AK816" s="348">
        <v>2688010.7568491036</v>
      </c>
      <c r="AL816" s="369"/>
      <c r="AM816" s="350">
        <v>16657005.849305185</v>
      </c>
      <c r="AN816" s="350">
        <v>16511802.043217765</v>
      </c>
      <c r="AO816" s="350">
        <v>16352444.153511975</v>
      </c>
      <c r="AP816" s="350">
        <v>16147442.974636275</v>
      </c>
      <c r="AQ816" s="350">
        <v>15869849.26749198</v>
      </c>
      <c r="AR816" s="348">
        <v>81538544.288163185</v>
      </c>
      <c r="AS816" s="369"/>
      <c r="AT816" s="350">
        <f t="shared" si="339"/>
        <v>16114921.66486818</v>
      </c>
      <c r="AU816" s="350">
        <f t="shared" si="322"/>
        <v>15971671.357659381</v>
      </c>
      <c r="AV816" s="350">
        <f t="shared" si="323"/>
        <v>15814426.081217574</v>
      </c>
      <c r="AW816" s="350">
        <f t="shared" si="324"/>
        <v>15611959.434190195</v>
      </c>
      <c r="AX816" s="350">
        <f t="shared" si="325"/>
        <v>15337554.993378745</v>
      </c>
      <c r="AY816" s="350">
        <f t="shared" si="326"/>
        <v>78850533.531314075</v>
      </c>
      <c r="AZ816" s="365"/>
      <c r="BA816" s="377">
        <f t="shared" si="327"/>
        <v>0</v>
      </c>
      <c r="BB816" s="377">
        <f t="shared" si="328"/>
        <v>0</v>
      </c>
      <c r="BC816" s="377">
        <f t="shared" si="329"/>
        <v>0</v>
      </c>
      <c r="BD816" s="377">
        <f t="shared" si="330"/>
        <v>0</v>
      </c>
      <c r="BE816" s="377">
        <f t="shared" si="331"/>
        <v>0</v>
      </c>
      <c r="BF816" s="377">
        <f t="shared" si="332"/>
        <v>0</v>
      </c>
      <c r="BG816" s="328"/>
    </row>
    <row r="817" spans="2:59">
      <c r="B817" s="332">
        <v>802</v>
      </c>
      <c r="C817" s="350">
        <v>4198078.9202897875</v>
      </c>
      <c r="D817" s="350">
        <v>4182950.379929089</v>
      </c>
      <c r="E817" s="350">
        <v>4166589.6052286415</v>
      </c>
      <c r="F817" s="350">
        <v>4146961.3536937032</v>
      </c>
      <c r="G817" s="350">
        <v>4122262.6221175166</v>
      </c>
      <c r="H817" s="348">
        <v>20816842.881258737</v>
      </c>
      <c r="I817" s="369"/>
      <c r="J817" s="350">
        <v>13943027.909203079</v>
      </c>
      <c r="K817" s="350">
        <v>13647760.033312373</v>
      </c>
      <c r="L817" s="350">
        <v>13344191.665844537</v>
      </c>
      <c r="M817" s="350">
        <v>13011574.865924006</v>
      </c>
      <c r="N817" s="350">
        <v>12632496.451483015</v>
      </c>
      <c r="O817" s="348">
        <v>66579050.925767019</v>
      </c>
      <c r="P817" s="369"/>
      <c r="Q817" s="350">
        <f t="shared" si="333"/>
        <v>9744948.9889132902</v>
      </c>
      <c r="R817" s="350">
        <f t="shared" si="334"/>
        <v>9464809.6533832848</v>
      </c>
      <c r="S817" s="350">
        <f t="shared" si="335"/>
        <v>9177602.0606158953</v>
      </c>
      <c r="T817" s="350">
        <f t="shared" si="336"/>
        <v>8864613.5122303031</v>
      </c>
      <c r="U817" s="350">
        <f t="shared" si="337"/>
        <v>8510233.8293654993</v>
      </c>
      <c r="V817" s="350">
        <f t="shared" si="338"/>
        <v>45762208.044508278</v>
      </c>
      <c r="W817" s="365"/>
      <c r="X817" s="377">
        <f t="shared" si="316"/>
        <v>0</v>
      </c>
      <c r="Y817" s="377">
        <f t="shared" si="317"/>
        <v>0</v>
      </c>
      <c r="Z817" s="377">
        <f t="shared" si="318"/>
        <v>0</v>
      </c>
      <c r="AA817" s="377">
        <f t="shared" si="319"/>
        <v>0</v>
      </c>
      <c r="AB817" s="377">
        <f t="shared" si="320"/>
        <v>0</v>
      </c>
      <c r="AC817" s="377">
        <f t="shared" si="321"/>
        <v>0</v>
      </c>
      <c r="AD817" s="376"/>
      <c r="AE817" s="332">
        <v>802</v>
      </c>
      <c r="AF817" s="350">
        <v>468175.20830239536</v>
      </c>
      <c r="AG817" s="350">
        <v>466488.05385171331</v>
      </c>
      <c r="AH817" s="350">
        <v>464663.47902860789</v>
      </c>
      <c r="AI817" s="350">
        <v>462474.51094928785</v>
      </c>
      <c r="AJ817" s="350">
        <v>459720.07635669369</v>
      </c>
      <c r="AK817" s="348">
        <v>2321521.3284886982</v>
      </c>
      <c r="AL817" s="369"/>
      <c r="AM817" s="350">
        <v>13805398.315054325</v>
      </c>
      <c r="AN817" s="350">
        <v>13684176.185364427</v>
      </c>
      <c r="AO817" s="350">
        <v>13551240.990085263</v>
      </c>
      <c r="AP817" s="350">
        <v>13380522.650536427</v>
      </c>
      <c r="AQ817" s="350">
        <v>13149711.482966339</v>
      </c>
      <c r="AR817" s="348">
        <v>67571049.624006778</v>
      </c>
      <c r="AS817" s="369"/>
      <c r="AT817" s="350">
        <f t="shared" si="339"/>
        <v>13337223.10675193</v>
      </c>
      <c r="AU817" s="350">
        <f t="shared" si="322"/>
        <v>13217688.131512715</v>
      </c>
      <c r="AV817" s="350">
        <f t="shared" si="323"/>
        <v>13086577.511056654</v>
      </c>
      <c r="AW817" s="350">
        <f t="shared" si="324"/>
        <v>12918048.13958714</v>
      </c>
      <c r="AX817" s="350">
        <f t="shared" si="325"/>
        <v>12689991.406609645</v>
      </c>
      <c r="AY817" s="350">
        <f t="shared" si="326"/>
        <v>65249528.295518078</v>
      </c>
      <c r="AZ817" s="365"/>
      <c r="BA817" s="377">
        <f t="shared" si="327"/>
        <v>0</v>
      </c>
      <c r="BB817" s="377">
        <f t="shared" si="328"/>
        <v>0</v>
      </c>
      <c r="BC817" s="377">
        <f t="shared" si="329"/>
        <v>0</v>
      </c>
      <c r="BD817" s="377">
        <f t="shared" si="330"/>
        <v>0</v>
      </c>
      <c r="BE817" s="377">
        <f t="shared" si="331"/>
        <v>0</v>
      </c>
      <c r="BF817" s="377">
        <f t="shared" si="332"/>
        <v>0</v>
      </c>
      <c r="BG817" s="328"/>
    </row>
    <row r="818" spans="2:59">
      <c r="B818" s="332">
        <v>803</v>
      </c>
      <c r="C818" s="350">
        <v>7415132.5383706223</v>
      </c>
      <c r="D818" s="350">
        <v>7388410.7606202122</v>
      </c>
      <c r="E818" s="350">
        <v>7359512.4680588469</v>
      </c>
      <c r="F818" s="350">
        <v>7324842.7799963877</v>
      </c>
      <c r="G818" s="350">
        <v>7281217.0236338973</v>
      </c>
      <c r="H818" s="348">
        <v>36769115.570679963</v>
      </c>
      <c r="I818" s="369"/>
      <c r="J818" s="350">
        <v>22594796.295633484</v>
      </c>
      <c r="K818" s="350">
        <v>22087912.536670864</v>
      </c>
      <c r="L818" s="350">
        <v>21568157.681755174</v>
      </c>
      <c r="M818" s="350">
        <v>21002826.723370008</v>
      </c>
      <c r="N818" s="350">
        <v>20364542.561265204</v>
      </c>
      <c r="O818" s="348">
        <v>107618235.79869473</v>
      </c>
      <c r="P818" s="369"/>
      <c r="Q818" s="350">
        <f t="shared" si="333"/>
        <v>15179663.757262861</v>
      </c>
      <c r="R818" s="350">
        <f t="shared" si="334"/>
        <v>14699501.776050651</v>
      </c>
      <c r="S818" s="350">
        <f t="shared" si="335"/>
        <v>14208645.213696327</v>
      </c>
      <c r="T818" s="350">
        <f t="shared" si="336"/>
        <v>13677983.943373621</v>
      </c>
      <c r="U818" s="350">
        <f t="shared" si="337"/>
        <v>13083325.537631307</v>
      </c>
      <c r="V818" s="350">
        <f t="shared" si="338"/>
        <v>70849120.228014767</v>
      </c>
      <c r="W818" s="365"/>
      <c r="X818" s="377">
        <f t="shared" si="316"/>
        <v>0</v>
      </c>
      <c r="Y818" s="377">
        <f t="shared" si="317"/>
        <v>0</v>
      </c>
      <c r="Z818" s="377">
        <f t="shared" si="318"/>
        <v>0</v>
      </c>
      <c r="AA818" s="377">
        <f t="shared" si="319"/>
        <v>0</v>
      </c>
      <c r="AB818" s="377">
        <f t="shared" si="320"/>
        <v>0</v>
      </c>
      <c r="AC818" s="377">
        <f t="shared" si="321"/>
        <v>0</v>
      </c>
      <c r="AD818" s="376"/>
      <c r="AE818" s="332">
        <v>803</v>
      </c>
      <c r="AF818" s="350">
        <v>666094.78603047109</v>
      </c>
      <c r="AG818" s="350">
        <v>663694.39241094911</v>
      </c>
      <c r="AH818" s="350">
        <v>661098.48439437605</v>
      </c>
      <c r="AI818" s="350">
        <v>657984.13703346136</v>
      </c>
      <c r="AJ818" s="350">
        <v>654065.27399233275</v>
      </c>
      <c r="AK818" s="348">
        <v>3302937.0738615906</v>
      </c>
      <c r="AL818" s="369"/>
      <c r="AM818" s="350">
        <v>20821901.391441792</v>
      </c>
      <c r="AN818" s="350">
        <v>20640926.033962242</v>
      </c>
      <c r="AO818" s="350">
        <v>20442246.599635132</v>
      </c>
      <c r="AP818" s="350">
        <v>20186483.0848209</v>
      </c>
      <c r="AQ818" s="350">
        <v>19839932.053087831</v>
      </c>
      <c r="AR818" s="348">
        <v>101931489.16294789</v>
      </c>
      <c r="AS818" s="369"/>
      <c r="AT818" s="350">
        <f t="shared" si="339"/>
        <v>20155806.605411321</v>
      </c>
      <c r="AU818" s="350">
        <f t="shared" si="322"/>
        <v>19977231.641551293</v>
      </c>
      <c r="AV818" s="350">
        <f t="shared" si="323"/>
        <v>19781148.115240756</v>
      </c>
      <c r="AW818" s="350">
        <f t="shared" si="324"/>
        <v>19528498.947787438</v>
      </c>
      <c r="AX818" s="350">
        <f t="shared" si="325"/>
        <v>19185866.779095497</v>
      </c>
      <c r="AY818" s="350">
        <f t="shared" si="326"/>
        <v>98628552.089086309</v>
      </c>
      <c r="AZ818" s="365"/>
      <c r="BA818" s="377">
        <f t="shared" si="327"/>
        <v>0</v>
      </c>
      <c r="BB818" s="377">
        <f t="shared" si="328"/>
        <v>0</v>
      </c>
      <c r="BC818" s="377">
        <f t="shared" si="329"/>
        <v>0</v>
      </c>
      <c r="BD818" s="377">
        <f t="shared" si="330"/>
        <v>0</v>
      </c>
      <c r="BE818" s="377">
        <f t="shared" si="331"/>
        <v>0</v>
      </c>
      <c r="BF818" s="377">
        <f t="shared" si="332"/>
        <v>0</v>
      </c>
      <c r="BG818" s="328"/>
    </row>
    <row r="819" spans="2:59">
      <c r="B819" s="332">
        <v>804</v>
      </c>
      <c r="C819" s="350">
        <v>5851272.7513479032</v>
      </c>
      <c r="D819" s="350">
        <v>5830186.6265605902</v>
      </c>
      <c r="E819" s="350">
        <v>5807383.0163823757</v>
      </c>
      <c r="F819" s="350">
        <v>5780025.2045013532</v>
      </c>
      <c r="G819" s="350">
        <v>5745600.1691914815</v>
      </c>
      <c r="H819" s="348">
        <v>29014467.767983705</v>
      </c>
      <c r="I819" s="369"/>
      <c r="J819" s="350">
        <v>21904896.979570851</v>
      </c>
      <c r="K819" s="350">
        <v>21475542.912135869</v>
      </c>
      <c r="L819" s="350">
        <v>21032443.629361328</v>
      </c>
      <c r="M819" s="350">
        <v>20541888.638030712</v>
      </c>
      <c r="N819" s="350">
        <v>19975498.945105009</v>
      </c>
      <c r="O819" s="348">
        <v>104930271.10420376</v>
      </c>
      <c r="P819" s="369"/>
      <c r="Q819" s="350">
        <f t="shared" si="333"/>
        <v>16053624.228222948</v>
      </c>
      <c r="R819" s="350">
        <f t="shared" si="334"/>
        <v>15645356.285575278</v>
      </c>
      <c r="S819" s="350">
        <f t="shared" si="335"/>
        <v>15225060.612978952</v>
      </c>
      <c r="T819" s="350">
        <f t="shared" si="336"/>
        <v>14761863.433529358</v>
      </c>
      <c r="U819" s="350">
        <f t="shared" si="337"/>
        <v>14229898.775913527</v>
      </c>
      <c r="V819" s="350">
        <f t="shared" si="338"/>
        <v>75915803.336220056</v>
      </c>
      <c r="W819" s="365"/>
      <c r="X819" s="377">
        <f t="shared" si="316"/>
        <v>0</v>
      </c>
      <c r="Y819" s="377">
        <f t="shared" si="317"/>
        <v>0</v>
      </c>
      <c r="Z819" s="377">
        <f t="shared" si="318"/>
        <v>0</v>
      </c>
      <c r="AA819" s="377">
        <f t="shared" si="319"/>
        <v>0</v>
      </c>
      <c r="AB819" s="377">
        <f t="shared" si="320"/>
        <v>0</v>
      </c>
      <c r="AC819" s="377">
        <f t="shared" si="321"/>
        <v>0</v>
      </c>
      <c r="AD819" s="376"/>
      <c r="AE819" s="332">
        <v>804</v>
      </c>
      <c r="AF819" s="350">
        <v>388858.12454960862</v>
      </c>
      <c r="AG819" s="350">
        <v>387456.80362555414</v>
      </c>
      <c r="AH819" s="350">
        <v>385941.34374807379</v>
      </c>
      <c r="AI819" s="350">
        <v>384123.22521695856</v>
      </c>
      <c r="AJ819" s="350">
        <v>381835.44010814326</v>
      </c>
      <c r="AK819" s="348">
        <v>1928214.9372483385</v>
      </c>
      <c r="AL819" s="369"/>
      <c r="AM819" s="350">
        <v>10486126.00186299</v>
      </c>
      <c r="AN819" s="350">
        <v>10392507.094904259</v>
      </c>
      <c r="AO819" s="350">
        <v>10290022.828311728</v>
      </c>
      <c r="AP819" s="350">
        <v>10158921.04826401</v>
      </c>
      <c r="AQ819" s="350">
        <v>9982301.7397366501</v>
      </c>
      <c r="AR819" s="348">
        <v>51309878.713079631</v>
      </c>
      <c r="AS819" s="369"/>
      <c r="AT819" s="350">
        <f t="shared" si="339"/>
        <v>10097267.877313381</v>
      </c>
      <c r="AU819" s="350">
        <f t="shared" si="322"/>
        <v>10005050.291278705</v>
      </c>
      <c r="AV819" s="350">
        <f t="shared" si="323"/>
        <v>9904081.4845636543</v>
      </c>
      <c r="AW819" s="350">
        <f t="shared" si="324"/>
        <v>9774797.8230470512</v>
      </c>
      <c r="AX819" s="350">
        <f t="shared" si="325"/>
        <v>9600466.2996285073</v>
      </c>
      <c r="AY819" s="350">
        <f t="shared" si="326"/>
        <v>49381663.77583129</v>
      </c>
      <c r="AZ819" s="365"/>
      <c r="BA819" s="377">
        <f t="shared" si="327"/>
        <v>0</v>
      </c>
      <c r="BB819" s="377">
        <f t="shared" si="328"/>
        <v>0</v>
      </c>
      <c r="BC819" s="377">
        <f t="shared" si="329"/>
        <v>0</v>
      </c>
      <c r="BD819" s="377">
        <f t="shared" si="330"/>
        <v>0</v>
      </c>
      <c r="BE819" s="377">
        <f t="shared" si="331"/>
        <v>0</v>
      </c>
      <c r="BF819" s="377">
        <f t="shared" si="332"/>
        <v>0</v>
      </c>
      <c r="BG819" s="328"/>
    </row>
    <row r="820" spans="2:59">
      <c r="B820" s="332">
        <v>805</v>
      </c>
      <c r="C820" s="350">
        <v>6236914.6589937815</v>
      </c>
      <c r="D820" s="350">
        <v>6214438.8035045499</v>
      </c>
      <c r="E820" s="350">
        <v>6190132.267705868</v>
      </c>
      <c r="F820" s="350">
        <v>6160971.3748181732</v>
      </c>
      <c r="G820" s="350">
        <v>6124277.4765015952</v>
      </c>
      <c r="H820" s="348">
        <v>30926734.581523966</v>
      </c>
      <c r="I820" s="369"/>
      <c r="J820" s="350">
        <v>19445684.172121301</v>
      </c>
      <c r="K820" s="350">
        <v>19016162.18059862</v>
      </c>
      <c r="L820" s="350">
        <v>18575425.846054759</v>
      </c>
      <c r="M820" s="350">
        <v>18095111.473806087</v>
      </c>
      <c r="N820" s="350">
        <v>17551458.703186825</v>
      </c>
      <c r="O820" s="348">
        <v>92683842.375767589</v>
      </c>
      <c r="P820" s="369"/>
      <c r="Q820" s="350">
        <f t="shared" si="333"/>
        <v>13208769.513127521</v>
      </c>
      <c r="R820" s="350">
        <f t="shared" si="334"/>
        <v>12801723.377094071</v>
      </c>
      <c r="S820" s="350">
        <f t="shared" si="335"/>
        <v>12385293.57834889</v>
      </c>
      <c r="T820" s="350">
        <f t="shared" si="336"/>
        <v>11934140.098987915</v>
      </c>
      <c r="U820" s="350">
        <f t="shared" si="337"/>
        <v>11427181.22668523</v>
      </c>
      <c r="V820" s="350">
        <f t="shared" si="338"/>
        <v>61757107.794243619</v>
      </c>
      <c r="W820" s="365"/>
      <c r="X820" s="377">
        <f t="shared" si="316"/>
        <v>0</v>
      </c>
      <c r="Y820" s="377">
        <f t="shared" si="317"/>
        <v>0</v>
      </c>
      <c r="Z820" s="377">
        <f t="shared" si="318"/>
        <v>0</v>
      </c>
      <c r="AA820" s="377">
        <f t="shared" si="319"/>
        <v>0</v>
      </c>
      <c r="AB820" s="377">
        <f t="shared" si="320"/>
        <v>0</v>
      </c>
      <c r="AC820" s="377">
        <f t="shared" si="321"/>
        <v>0</v>
      </c>
      <c r="AD820" s="376"/>
      <c r="AE820" s="332">
        <v>805</v>
      </c>
      <c r="AF820" s="350">
        <v>363547.29421268805</v>
      </c>
      <c r="AG820" s="350">
        <v>362237.18546581868</v>
      </c>
      <c r="AH820" s="350">
        <v>360820.36708614882</v>
      </c>
      <c r="AI820" s="350">
        <v>359120.59014742478</v>
      </c>
      <c r="AJ820" s="350">
        <v>356981.71729498467</v>
      </c>
      <c r="AK820" s="348">
        <v>1802707.154207065</v>
      </c>
      <c r="AL820" s="369"/>
      <c r="AM820" s="350">
        <v>12460114.748180594</v>
      </c>
      <c r="AN820" s="350">
        <v>12353442.91614956</v>
      </c>
      <c r="AO820" s="350">
        <v>12236143.509043004</v>
      </c>
      <c r="AP820" s="350">
        <v>12084598.461322684</v>
      </c>
      <c r="AQ820" s="350">
        <v>11878591.001870584</v>
      </c>
      <c r="AR820" s="348">
        <v>61012890.63656643</v>
      </c>
      <c r="AS820" s="369"/>
      <c r="AT820" s="350">
        <f t="shared" si="339"/>
        <v>12096567.453967907</v>
      </c>
      <c r="AU820" s="350">
        <f t="shared" si="322"/>
        <v>11991205.730683742</v>
      </c>
      <c r="AV820" s="350">
        <f t="shared" si="323"/>
        <v>11875323.141956855</v>
      </c>
      <c r="AW820" s="350">
        <f t="shared" si="324"/>
        <v>11725477.871175259</v>
      </c>
      <c r="AX820" s="350">
        <f t="shared" si="325"/>
        <v>11521609.284575598</v>
      </c>
      <c r="AY820" s="350">
        <f t="shared" si="326"/>
        <v>59210183.482359365</v>
      </c>
      <c r="AZ820" s="365"/>
      <c r="BA820" s="377">
        <f t="shared" si="327"/>
        <v>0</v>
      </c>
      <c r="BB820" s="377">
        <f t="shared" si="328"/>
        <v>0</v>
      </c>
      <c r="BC820" s="377">
        <f t="shared" si="329"/>
        <v>0</v>
      </c>
      <c r="BD820" s="377">
        <f t="shared" si="330"/>
        <v>0</v>
      </c>
      <c r="BE820" s="377">
        <f t="shared" si="331"/>
        <v>0</v>
      </c>
      <c r="BF820" s="377">
        <f t="shared" si="332"/>
        <v>0</v>
      </c>
      <c r="BG820" s="328"/>
    </row>
    <row r="821" spans="2:59">
      <c r="B821" s="332">
        <v>806</v>
      </c>
      <c r="C821" s="350">
        <v>4210544.0212982455</v>
      </c>
      <c r="D821" s="350">
        <v>4195370.5606806185</v>
      </c>
      <c r="E821" s="350">
        <v>4178961.206924587</v>
      </c>
      <c r="F821" s="350">
        <v>4159274.6744133634</v>
      </c>
      <c r="G821" s="350">
        <v>4134502.6063921666</v>
      </c>
      <c r="H821" s="348">
        <v>20878653.069708984</v>
      </c>
      <c r="I821" s="369"/>
      <c r="J821" s="350">
        <v>15591573.669078354</v>
      </c>
      <c r="K821" s="350">
        <v>15283845.789879445</v>
      </c>
      <c r="L821" s="350">
        <v>14966377.568525737</v>
      </c>
      <c r="M821" s="350">
        <v>14615242.860659838</v>
      </c>
      <c r="N821" s="350">
        <v>14210304.721884729</v>
      </c>
      <c r="O821" s="348">
        <v>74667344.610028103</v>
      </c>
      <c r="P821" s="369"/>
      <c r="Q821" s="350">
        <f t="shared" si="333"/>
        <v>11381029.647780109</v>
      </c>
      <c r="R821" s="350">
        <f t="shared" si="334"/>
        <v>11088475.229198826</v>
      </c>
      <c r="S821" s="350">
        <f t="shared" si="335"/>
        <v>10787416.36160115</v>
      </c>
      <c r="T821" s="350">
        <f t="shared" si="336"/>
        <v>10455968.186246473</v>
      </c>
      <c r="U821" s="350">
        <f t="shared" si="337"/>
        <v>10075802.115492564</v>
      </c>
      <c r="V821" s="350">
        <f t="shared" si="338"/>
        <v>53788691.540319115</v>
      </c>
      <c r="W821" s="365"/>
      <c r="X821" s="377">
        <f t="shared" si="316"/>
        <v>0</v>
      </c>
      <c r="Y821" s="377">
        <f t="shared" si="317"/>
        <v>0</v>
      </c>
      <c r="Z821" s="377">
        <f t="shared" si="318"/>
        <v>0</v>
      </c>
      <c r="AA821" s="377">
        <f t="shared" si="319"/>
        <v>0</v>
      </c>
      <c r="AB821" s="377">
        <f t="shared" si="320"/>
        <v>0</v>
      </c>
      <c r="AC821" s="377">
        <f t="shared" si="321"/>
        <v>0</v>
      </c>
      <c r="AD821" s="376"/>
      <c r="AE821" s="332">
        <v>806</v>
      </c>
      <c r="AF821" s="350">
        <v>299276.5722239553</v>
      </c>
      <c r="AG821" s="350">
        <v>298198.07470452588</v>
      </c>
      <c r="AH821" s="350">
        <v>297031.73251224047</v>
      </c>
      <c r="AI821" s="350">
        <v>295632.45537866052</v>
      </c>
      <c r="AJ821" s="350">
        <v>293871.70912668417</v>
      </c>
      <c r="AK821" s="348">
        <v>1484010.5439460662</v>
      </c>
      <c r="AL821" s="369"/>
      <c r="AM821" s="350">
        <v>11268570.558526056</v>
      </c>
      <c r="AN821" s="350">
        <v>11173468.543451479</v>
      </c>
      <c r="AO821" s="350">
        <v>11068727.300514426</v>
      </c>
      <c r="AP821" s="350">
        <v>10932943.116658015</v>
      </c>
      <c r="AQ821" s="350">
        <v>10747791.980095426</v>
      </c>
      <c r="AR821" s="348">
        <v>55191501.499245398</v>
      </c>
      <c r="AS821" s="369"/>
      <c r="AT821" s="350">
        <f t="shared" si="339"/>
        <v>10969293.9863021</v>
      </c>
      <c r="AU821" s="350">
        <f t="shared" si="322"/>
        <v>10875270.468746953</v>
      </c>
      <c r="AV821" s="350">
        <f t="shared" si="323"/>
        <v>10771695.568002185</v>
      </c>
      <c r="AW821" s="350">
        <f t="shared" si="324"/>
        <v>10637310.661279354</v>
      </c>
      <c r="AX821" s="350">
        <f t="shared" si="325"/>
        <v>10453920.270968741</v>
      </c>
      <c r="AY821" s="350">
        <f t="shared" si="326"/>
        <v>53707490.955299333</v>
      </c>
      <c r="AZ821" s="365"/>
      <c r="BA821" s="377">
        <f t="shared" si="327"/>
        <v>0</v>
      </c>
      <c r="BB821" s="377">
        <f t="shared" si="328"/>
        <v>0</v>
      </c>
      <c r="BC821" s="377">
        <f t="shared" si="329"/>
        <v>0</v>
      </c>
      <c r="BD821" s="377">
        <f t="shared" si="330"/>
        <v>0</v>
      </c>
      <c r="BE821" s="377">
        <f t="shared" si="331"/>
        <v>0</v>
      </c>
      <c r="BF821" s="377">
        <f t="shared" si="332"/>
        <v>0</v>
      </c>
      <c r="BG821" s="328"/>
    </row>
    <row r="822" spans="2:59">
      <c r="B822" s="332">
        <v>807</v>
      </c>
      <c r="C822" s="350">
        <v>6087262.7418144075</v>
      </c>
      <c r="D822" s="350">
        <v>6065326.1842069197</v>
      </c>
      <c r="E822" s="350">
        <v>6041602.8726274464</v>
      </c>
      <c r="F822" s="350">
        <v>6013141.6820390318</v>
      </c>
      <c r="G822" s="350">
        <v>5977328.237044665</v>
      </c>
      <c r="H822" s="348">
        <v>30184661.71773247</v>
      </c>
      <c r="I822" s="369"/>
      <c r="J822" s="350">
        <v>23220002.216645248</v>
      </c>
      <c r="K822" s="350">
        <v>22770220.641041178</v>
      </c>
      <c r="L822" s="350">
        <v>22305759.388115019</v>
      </c>
      <c r="M822" s="350">
        <v>21790711.311701819</v>
      </c>
      <c r="N822" s="350">
        <v>21194835.187898125</v>
      </c>
      <c r="O822" s="348">
        <v>111281528.7454014</v>
      </c>
      <c r="P822" s="369"/>
      <c r="Q822" s="350">
        <f t="shared" si="333"/>
        <v>17132739.47483084</v>
      </c>
      <c r="R822" s="350">
        <f t="shared" si="334"/>
        <v>16704894.456834259</v>
      </c>
      <c r="S822" s="350">
        <f t="shared" si="335"/>
        <v>16264156.515487572</v>
      </c>
      <c r="T822" s="350">
        <f t="shared" si="336"/>
        <v>15777569.629662788</v>
      </c>
      <c r="U822" s="350">
        <f t="shared" si="337"/>
        <v>15217506.95085346</v>
      </c>
      <c r="V822" s="350">
        <f t="shared" si="338"/>
        <v>81096867.027668923</v>
      </c>
      <c r="W822" s="365"/>
      <c r="X822" s="377">
        <f t="shared" si="316"/>
        <v>0</v>
      </c>
      <c r="Y822" s="377">
        <f t="shared" si="317"/>
        <v>0</v>
      </c>
      <c r="Z822" s="377">
        <f t="shared" si="318"/>
        <v>0</v>
      </c>
      <c r="AA822" s="377">
        <f t="shared" si="319"/>
        <v>0</v>
      </c>
      <c r="AB822" s="377">
        <f t="shared" si="320"/>
        <v>0</v>
      </c>
      <c r="AC822" s="377">
        <f t="shared" si="321"/>
        <v>0</v>
      </c>
      <c r="AD822" s="376"/>
      <c r="AE822" s="332">
        <v>807</v>
      </c>
      <c r="AF822" s="350">
        <v>368369.05108500127</v>
      </c>
      <c r="AG822" s="350">
        <v>367041.566260922</v>
      </c>
      <c r="AH822" s="350">
        <v>365605.9565056382</v>
      </c>
      <c r="AI822" s="350">
        <v>363883.63528927503</v>
      </c>
      <c r="AJ822" s="350">
        <v>361716.39439493389</v>
      </c>
      <c r="AK822" s="348">
        <v>1826616.6035357707</v>
      </c>
      <c r="AL822" s="369"/>
      <c r="AM822" s="350">
        <v>13124005.275275614</v>
      </c>
      <c r="AN822" s="350">
        <v>13012324.831134493</v>
      </c>
      <c r="AO822" s="350">
        <v>12889436.777935874</v>
      </c>
      <c r="AP822" s="350">
        <v>12730442.849985942</v>
      </c>
      <c r="AQ822" s="350">
        <v>12514029.10992129</v>
      </c>
      <c r="AR822" s="348">
        <v>64270238.844253212</v>
      </c>
      <c r="AS822" s="369"/>
      <c r="AT822" s="350">
        <f t="shared" si="339"/>
        <v>12755636.224190613</v>
      </c>
      <c r="AU822" s="350">
        <f t="shared" si="322"/>
        <v>12645283.26487357</v>
      </c>
      <c r="AV822" s="350">
        <f t="shared" si="323"/>
        <v>12523830.821430236</v>
      </c>
      <c r="AW822" s="350">
        <f t="shared" si="324"/>
        <v>12366559.214696668</v>
      </c>
      <c r="AX822" s="350">
        <f t="shared" si="325"/>
        <v>12152312.715526355</v>
      </c>
      <c r="AY822" s="350">
        <f t="shared" si="326"/>
        <v>62443622.240717441</v>
      </c>
      <c r="AZ822" s="365"/>
      <c r="BA822" s="377">
        <f t="shared" si="327"/>
        <v>0</v>
      </c>
      <c r="BB822" s="377">
        <f t="shared" si="328"/>
        <v>0</v>
      </c>
      <c r="BC822" s="377">
        <f t="shared" si="329"/>
        <v>0</v>
      </c>
      <c r="BD822" s="377">
        <f t="shared" si="330"/>
        <v>0</v>
      </c>
      <c r="BE822" s="377">
        <f t="shared" si="331"/>
        <v>0</v>
      </c>
      <c r="BF822" s="377">
        <f t="shared" si="332"/>
        <v>0</v>
      </c>
      <c r="BG822" s="328"/>
    </row>
    <row r="823" spans="2:59">
      <c r="B823" s="332">
        <v>808</v>
      </c>
      <c r="C823" s="350">
        <v>7349272.3535658065</v>
      </c>
      <c r="D823" s="350">
        <v>7322787.9149609655</v>
      </c>
      <c r="E823" s="350">
        <v>7294146.2930496261</v>
      </c>
      <c r="F823" s="350">
        <v>7259784.5363762677</v>
      </c>
      <c r="G823" s="350">
        <v>7216546.2579666534</v>
      </c>
      <c r="H823" s="348">
        <v>36442537.355919316</v>
      </c>
      <c r="I823" s="369"/>
      <c r="J823" s="350">
        <v>25103349.912346181</v>
      </c>
      <c r="K823" s="350">
        <v>24581441.76573848</v>
      </c>
      <c r="L823" s="350">
        <v>24044391.168798994</v>
      </c>
      <c r="M823" s="350">
        <v>23454529.806341819</v>
      </c>
      <c r="N823" s="350">
        <v>22780219.328837752</v>
      </c>
      <c r="O823" s="348">
        <v>119963931.98206323</v>
      </c>
      <c r="P823" s="369"/>
      <c r="Q823" s="350">
        <f t="shared" si="333"/>
        <v>17754077.558780372</v>
      </c>
      <c r="R823" s="350">
        <f t="shared" si="334"/>
        <v>17258653.850777514</v>
      </c>
      <c r="S823" s="350">
        <f t="shared" si="335"/>
        <v>16750244.875749368</v>
      </c>
      <c r="T823" s="350">
        <f t="shared" si="336"/>
        <v>16194745.269965552</v>
      </c>
      <c r="U823" s="350">
        <f t="shared" si="337"/>
        <v>15563673.0708711</v>
      </c>
      <c r="V823" s="350">
        <f t="shared" si="338"/>
        <v>83521394.626143917</v>
      </c>
      <c r="W823" s="365"/>
      <c r="X823" s="377">
        <f t="shared" si="316"/>
        <v>0</v>
      </c>
      <c r="Y823" s="377">
        <f t="shared" si="317"/>
        <v>0</v>
      </c>
      <c r="Z823" s="377">
        <f t="shared" si="318"/>
        <v>0</v>
      </c>
      <c r="AA823" s="377">
        <f t="shared" si="319"/>
        <v>0</v>
      </c>
      <c r="AB823" s="377">
        <f t="shared" si="320"/>
        <v>0</v>
      </c>
      <c r="AC823" s="377">
        <f t="shared" si="321"/>
        <v>0</v>
      </c>
      <c r="AD823" s="376"/>
      <c r="AE823" s="332">
        <v>808</v>
      </c>
      <c r="AF823" s="350">
        <v>660067.95296349528</v>
      </c>
      <c r="AG823" s="350">
        <v>657689.27813226497</v>
      </c>
      <c r="AH823" s="350">
        <v>655116.85792043246</v>
      </c>
      <c r="AI823" s="350">
        <v>652030.68920923932</v>
      </c>
      <c r="AJ823" s="350">
        <v>648147.28408469632</v>
      </c>
      <c r="AK823" s="348">
        <v>3273052.0623101285</v>
      </c>
      <c r="AL823" s="369"/>
      <c r="AM823" s="350">
        <v>17220981.316752978</v>
      </c>
      <c r="AN823" s="350">
        <v>17066238.72200077</v>
      </c>
      <c r="AO823" s="350">
        <v>16896957.203249317</v>
      </c>
      <c r="AP823" s="350">
        <v>16680730.677695187</v>
      </c>
      <c r="AQ823" s="350">
        <v>16389834.357811466</v>
      </c>
      <c r="AR823" s="348">
        <v>84254742.277509719</v>
      </c>
      <c r="AS823" s="369"/>
      <c r="AT823" s="350">
        <f t="shared" si="339"/>
        <v>16560913.363789482</v>
      </c>
      <c r="AU823" s="350">
        <f t="shared" si="322"/>
        <v>16408549.443868505</v>
      </c>
      <c r="AV823" s="350">
        <f t="shared" si="323"/>
        <v>16241840.345328884</v>
      </c>
      <c r="AW823" s="350">
        <f t="shared" si="324"/>
        <v>16028699.988485947</v>
      </c>
      <c r="AX823" s="350">
        <f t="shared" si="325"/>
        <v>15741687.07372677</v>
      </c>
      <c r="AY823" s="350">
        <f t="shared" si="326"/>
        <v>80981690.21519959</v>
      </c>
      <c r="AZ823" s="365"/>
      <c r="BA823" s="377">
        <f t="shared" si="327"/>
        <v>0</v>
      </c>
      <c r="BB823" s="377">
        <f t="shared" si="328"/>
        <v>0</v>
      </c>
      <c r="BC823" s="377">
        <f t="shared" si="329"/>
        <v>0</v>
      </c>
      <c r="BD823" s="377">
        <f t="shared" si="330"/>
        <v>0</v>
      </c>
      <c r="BE823" s="377">
        <f t="shared" si="331"/>
        <v>0</v>
      </c>
      <c r="BF823" s="377">
        <f t="shared" si="332"/>
        <v>0</v>
      </c>
      <c r="BG823" s="328"/>
    </row>
    <row r="824" spans="2:59">
      <c r="B824" s="332">
        <v>809</v>
      </c>
      <c r="C824" s="350">
        <v>6718354.095924098</v>
      </c>
      <c r="D824" s="350">
        <v>6694143.2859256435</v>
      </c>
      <c r="E824" s="350">
        <v>6667960.4818840157</v>
      </c>
      <c r="F824" s="350">
        <v>6636548.6035941057</v>
      </c>
      <c r="G824" s="350">
        <v>6597022.2326993067</v>
      </c>
      <c r="H824" s="348">
        <v>33314028.700027168</v>
      </c>
      <c r="I824" s="369"/>
      <c r="J824" s="350">
        <v>22969619.817051135</v>
      </c>
      <c r="K824" s="350">
        <v>22492362.523096904</v>
      </c>
      <c r="L824" s="350">
        <v>22001243.936471321</v>
      </c>
      <c r="M824" s="350">
        <v>21461788.107374165</v>
      </c>
      <c r="N824" s="350">
        <v>20845037.294228852</v>
      </c>
      <c r="O824" s="348">
        <v>109770051.67822237</v>
      </c>
      <c r="P824" s="369"/>
      <c r="Q824" s="350">
        <f t="shared" si="333"/>
        <v>16251265.721127037</v>
      </c>
      <c r="R824" s="350">
        <f t="shared" si="334"/>
        <v>15798219.237171261</v>
      </c>
      <c r="S824" s="350">
        <f t="shared" si="335"/>
        <v>15333283.454587305</v>
      </c>
      <c r="T824" s="350">
        <f t="shared" si="336"/>
        <v>14825239.50378006</v>
      </c>
      <c r="U824" s="350">
        <f t="shared" si="337"/>
        <v>14248015.061529545</v>
      </c>
      <c r="V824" s="350">
        <f t="shared" si="338"/>
        <v>76456022.978195205</v>
      </c>
      <c r="W824" s="365"/>
      <c r="X824" s="377">
        <f t="shared" si="316"/>
        <v>0</v>
      </c>
      <c r="Y824" s="377">
        <f t="shared" si="317"/>
        <v>0</v>
      </c>
      <c r="Z824" s="377">
        <f t="shared" si="318"/>
        <v>0</v>
      </c>
      <c r="AA824" s="377">
        <f t="shared" si="319"/>
        <v>0</v>
      </c>
      <c r="AB824" s="377">
        <f t="shared" si="320"/>
        <v>0</v>
      </c>
      <c r="AC824" s="377">
        <f t="shared" si="321"/>
        <v>0</v>
      </c>
      <c r="AD824" s="376"/>
      <c r="AE824" s="332">
        <v>809</v>
      </c>
      <c r="AF824" s="350">
        <v>543927.870702944</v>
      </c>
      <c r="AG824" s="350">
        <v>541967.72776578588</v>
      </c>
      <c r="AH824" s="350">
        <v>539847.92927823134</v>
      </c>
      <c r="AI824" s="350">
        <v>537304.77721612505</v>
      </c>
      <c r="AJ824" s="350">
        <v>534104.66384751501</v>
      </c>
      <c r="AK824" s="348">
        <v>2697152.9688106007</v>
      </c>
      <c r="AL824" s="369"/>
      <c r="AM824" s="350">
        <v>18766978.785635602</v>
      </c>
      <c r="AN824" s="350">
        <v>18606482.097395681</v>
      </c>
      <c r="AO824" s="350">
        <v>18429975.093070872</v>
      </c>
      <c r="AP824" s="350">
        <v>18201879.642429218</v>
      </c>
      <c r="AQ824" s="350">
        <v>17891740.974922959</v>
      </c>
      <c r="AR824" s="348">
        <v>91897056.593454331</v>
      </c>
      <c r="AS824" s="369"/>
      <c r="AT824" s="350">
        <f t="shared" si="339"/>
        <v>18223050.914932657</v>
      </c>
      <c r="AU824" s="350">
        <f t="shared" si="322"/>
        <v>18064514.369629893</v>
      </c>
      <c r="AV824" s="350">
        <f t="shared" si="323"/>
        <v>17890127.16379264</v>
      </c>
      <c r="AW824" s="350">
        <f t="shared" si="324"/>
        <v>17664574.865213092</v>
      </c>
      <c r="AX824" s="350">
        <f t="shared" si="325"/>
        <v>17357636.311075445</v>
      </c>
      <c r="AY824" s="350">
        <f t="shared" si="326"/>
        <v>89199903.624643728</v>
      </c>
      <c r="AZ824" s="365"/>
      <c r="BA824" s="377">
        <f t="shared" si="327"/>
        <v>0</v>
      </c>
      <c r="BB824" s="377">
        <f t="shared" si="328"/>
        <v>0</v>
      </c>
      <c r="BC824" s="377">
        <f t="shared" si="329"/>
        <v>0</v>
      </c>
      <c r="BD824" s="377">
        <f t="shared" si="330"/>
        <v>0</v>
      </c>
      <c r="BE824" s="377">
        <f t="shared" si="331"/>
        <v>0</v>
      </c>
      <c r="BF824" s="377">
        <f t="shared" si="332"/>
        <v>0</v>
      </c>
      <c r="BG824" s="328"/>
    </row>
    <row r="825" spans="2:59">
      <c r="B825" s="332">
        <v>810</v>
      </c>
      <c r="C825" s="350">
        <v>9986914.4465545416</v>
      </c>
      <c r="D825" s="350">
        <v>9950924.7852946483</v>
      </c>
      <c r="E825" s="350">
        <v>9912003.7310898229</v>
      </c>
      <c r="F825" s="350">
        <v>9865309.5949058998</v>
      </c>
      <c r="G825" s="350">
        <v>9806553.1675320249</v>
      </c>
      <c r="H825" s="348">
        <v>49521705.725376941</v>
      </c>
      <c r="I825" s="369"/>
      <c r="J825" s="350">
        <v>24816388.523539826</v>
      </c>
      <c r="K825" s="350">
        <v>24174171.729973327</v>
      </c>
      <c r="L825" s="350">
        <v>23519564.117252909</v>
      </c>
      <c r="M825" s="350">
        <v>22819406.193682253</v>
      </c>
      <c r="N825" s="350">
        <v>22046161.145315077</v>
      </c>
      <c r="O825" s="348">
        <v>117375691.70976341</v>
      </c>
      <c r="P825" s="369"/>
      <c r="Q825" s="350">
        <f t="shared" si="333"/>
        <v>14829474.076985285</v>
      </c>
      <c r="R825" s="350">
        <f t="shared" si="334"/>
        <v>14223246.944678679</v>
      </c>
      <c r="S825" s="350">
        <f t="shared" si="335"/>
        <v>13607560.386163086</v>
      </c>
      <c r="T825" s="350">
        <f t="shared" si="336"/>
        <v>12954096.598776354</v>
      </c>
      <c r="U825" s="350">
        <f t="shared" si="337"/>
        <v>12239607.977783052</v>
      </c>
      <c r="V825" s="350">
        <f t="shared" si="338"/>
        <v>67853985.984386474</v>
      </c>
      <c r="W825" s="365"/>
      <c r="X825" s="377">
        <f t="shared" si="316"/>
        <v>0</v>
      </c>
      <c r="Y825" s="377">
        <f t="shared" si="317"/>
        <v>0</v>
      </c>
      <c r="Z825" s="377">
        <f t="shared" si="318"/>
        <v>0</v>
      </c>
      <c r="AA825" s="377">
        <f t="shared" si="319"/>
        <v>0</v>
      </c>
      <c r="AB825" s="377">
        <f t="shared" si="320"/>
        <v>0</v>
      </c>
      <c r="AC825" s="377">
        <f t="shared" si="321"/>
        <v>0</v>
      </c>
      <c r="AD825" s="376"/>
      <c r="AE825" s="332">
        <v>810</v>
      </c>
      <c r="AF825" s="350">
        <v>521727.91178185178</v>
      </c>
      <c r="AG825" s="350">
        <v>519847.7704313529</v>
      </c>
      <c r="AH825" s="350">
        <v>517814.48973757104</v>
      </c>
      <c r="AI825" s="350">
        <v>515375.1342895928</v>
      </c>
      <c r="AJ825" s="350">
        <v>512305.63085871987</v>
      </c>
      <c r="AK825" s="348">
        <v>2587070.9370990884</v>
      </c>
      <c r="AL825" s="369"/>
      <c r="AM825" s="350">
        <v>16531693.52696983</v>
      </c>
      <c r="AN825" s="350">
        <v>16388337.348443398</v>
      </c>
      <c r="AO825" s="350">
        <v>16230918.146753149</v>
      </c>
      <c r="AP825" s="350">
        <v>16028159.221034253</v>
      </c>
      <c r="AQ825" s="350">
        <v>15753291.705962058</v>
      </c>
      <c r="AR825" s="348">
        <v>80932399.949162692</v>
      </c>
      <c r="AS825" s="369"/>
      <c r="AT825" s="350">
        <f t="shared" si="339"/>
        <v>16009965.615187978</v>
      </c>
      <c r="AU825" s="350">
        <f t="shared" si="322"/>
        <v>15868489.578012045</v>
      </c>
      <c r="AV825" s="350">
        <f t="shared" si="323"/>
        <v>15713103.657015579</v>
      </c>
      <c r="AW825" s="350">
        <f t="shared" si="324"/>
        <v>15512784.086744661</v>
      </c>
      <c r="AX825" s="350">
        <f t="shared" si="325"/>
        <v>15240986.075103339</v>
      </c>
      <c r="AY825" s="350">
        <f t="shared" si="326"/>
        <v>78345329.012063608</v>
      </c>
      <c r="AZ825" s="365"/>
      <c r="BA825" s="377">
        <f t="shared" si="327"/>
        <v>0</v>
      </c>
      <c r="BB825" s="377">
        <f t="shared" si="328"/>
        <v>0</v>
      </c>
      <c r="BC825" s="377">
        <f t="shared" si="329"/>
        <v>0</v>
      </c>
      <c r="BD825" s="377">
        <f t="shared" si="330"/>
        <v>0</v>
      </c>
      <c r="BE825" s="377">
        <f t="shared" si="331"/>
        <v>0</v>
      </c>
      <c r="BF825" s="377">
        <f t="shared" si="332"/>
        <v>0</v>
      </c>
      <c r="BG825" s="328"/>
    </row>
    <row r="826" spans="2:59">
      <c r="B826" s="332">
        <v>811</v>
      </c>
      <c r="C826" s="350">
        <v>5637621.7757626474</v>
      </c>
      <c r="D826" s="350">
        <v>5617305.5810954226</v>
      </c>
      <c r="E826" s="350">
        <v>5595334.6125950925</v>
      </c>
      <c r="F826" s="350">
        <v>5568975.7326467689</v>
      </c>
      <c r="G826" s="350">
        <v>5535807.6789699635</v>
      </c>
      <c r="H826" s="348">
        <v>27955045.381069899</v>
      </c>
      <c r="I826" s="369"/>
      <c r="J826" s="350">
        <v>18066212.273535252</v>
      </c>
      <c r="K826" s="350">
        <v>17674437.620743938</v>
      </c>
      <c r="L826" s="350">
        <v>17272095.567684609</v>
      </c>
      <c r="M826" s="350">
        <v>16832599.506297328</v>
      </c>
      <c r="N826" s="350">
        <v>16333659.102634599</v>
      </c>
      <c r="O826" s="348">
        <v>86179004.070895717</v>
      </c>
      <c r="P826" s="369"/>
      <c r="Q826" s="350">
        <f t="shared" si="333"/>
        <v>12428590.497772604</v>
      </c>
      <c r="R826" s="350">
        <f t="shared" si="334"/>
        <v>12057132.039648514</v>
      </c>
      <c r="S826" s="350">
        <f t="shared" si="335"/>
        <v>11676760.955089517</v>
      </c>
      <c r="T826" s="350">
        <f t="shared" si="336"/>
        <v>11263623.773650559</v>
      </c>
      <c r="U826" s="350">
        <f t="shared" si="337"/>
        <v>10797851.423664637</v>
      </c>
      <c r="V826" s="350">
        <f t="shared" si="338"/>
        <v>58223958.689825818</v>
      </c>
      <c r="W826" s="365"/>
      <c r="X826" s="377">
        <f t="shared" si="316"/>
        <v>0</v>
      </c>
      <c r="Y826" s="377">
        <f t="shared" si="317"/>
        <v>0</v>
      </c>
      <c r="Z826" s="377">
        <f t="shared" si="318"/>
        <v>0</v>
      </c>
      <c r="AA826" s="377">
        <f t="shared" si="319"/>
        <v>0</v>
      </c>
      <c r="AB826" s="377">
        <f t="shared" si="320"/>
        <v>0</v>
      </c>
      <c r="AC826" s="377">
        <f t="shared" si="321"/>
        <v>0</v>
      </c>
      <c r="AD826" s="376"/>
      <c r="AE826" s="332">
        <v>811</v>
      </c>
      <c r="AF826" s="350">
        <v>484646.85935024684</v>
      </c>
      <c r="AG826" s="350">
        <v>482900.34631140681</v>
      </c>
      <c r="AH826" s="350">
        <v>481011.57808535313</v>
      </c>
      <c r="AI826" s="350">
        <v>478745.59627758688</v>
      </c>
      <c r="AJ826" s="350">
        <v>475894.25333820551</v>
      </c>
      <c r="AK826" s="348">
        <v>2403198.633362799</v>
      </c>
      <c r="AL826" s="369"/>
      <c r="AM826" s="350">
        <v>14757995.530987082</v>
      </c>
      <c r="AN826" s="350">
        <v>14629143.462941986</v>
      </c>
      <c r="AO826" s="350">
        <v>14487755.106114803</v>
      </c>
      <c r="AP826" s="350">
        <v>14305937.774501771</v>
      </c>
      <c r="AQ826" s="350">
        <v>14059820.619420785</v>
      </c>
      <c r="AR826" s="348">
        <v>72240652.49396643</v>
      </c>
      <c r="AS826" s="369"/>
      <c r="AT826" s="350">
        <f t="shared" si="339"/>
        <v>14273348.671636835</v>
      </c>
      <c r="AU826" s="350">
        <f t="shared" si="322"/>
        <v>14146243.116630578</v>
      </c>
      <c r="AV826" s="350">
        <f t="shared" si="323"/>
        <v>14006743.528029449</v>
      </c>
      <c r="AW826" s="350">
        <f t="shared" si="324"/>
        <v>13827192.178224184</v>
      </c>
      <c r="AX826" s="350">
        <f t="shared" si="325"/>
        <v>13583926.366082581</v>
      </c>
      <c r="AY826" s="350">
        <f t="shared" si="326"/>
        <v>69837453.860603631</v>
      </c>
      <c r="AZ826" s="365"/>
      <c r="BA826" s="377">
        <f t="shared" si="327"/>
        <v>0</v>
      </c>
      <c r="BB826" s="377">
        <f t="shared" si="328"/>
        <v>0</v>
      </c>
      <c r="BC826" s="377">
        <f t="shared" si="329"/>
        <v>0</v>
      </c>
      <c r="BD826" s="377">
        <f t="shared" si="330"/>
        <v>0</v>
      </c>
      <c r="BE826" s="377">
        <f t="shared" si="331"/>
        <v>0</v>
      </c>
      <c r="BF826" s="377">
        <f t="shared" si="332"/>
        <v>0</v>
      </c>
      <c r="BG826" s="328"/>
    </row>
    <row r="827" spans="2:59">
      <c r="B827" s="332">
        <v>812</v>
      </c>
      <c r="C827" s="350">
        <v>5341963.634045912</v>
      </c>
      <c r="D827" s="350">
        <v>5322712.8972261604</v>
      </c>
      <c r="E827" s="350">
        <v>5301894.1691521816</v>
      </c>
      <c r="F827" s="350">
        <v>5276917.6482504979</v>
      </c>
      <c r="G827" s="350">
        <v>5245489.0523636099</v>
      </c>
      <c r="H827" s="348">
        <v>26488977.401038364</v>
      </c>
      <c r="I827" s="369"/>
      <c r="J827" s="350">
        <v>17917265.331999373</v>
      </c>
      <c r="K827" s="350">
        <v>17540281.643194202</v>
      </c>
      <c r="L827" s="350">
        <v>17152581.601410381</v>
      </c>
      <c r="M827" s="350">
        <v>16727424.412949298</v>
      </c>
      <c r="N827" s="350">
        <v>16242361.115689024</v>
      </c>
      <c r="O827" s="348">
        <v>85579914.105242282</v>
      </c>
      <c r="P827" s="369"/>
      <c r="Q827" s="350">
        <f t="shared" si="333"/>
        <v>12575301.697953461</v>
      </c>
      <c r="R827" s="350">
        <f t="shared" si="334"/>
        <v>12217568.745968042</v>
      </c>
      <c r="S827" s="350">
        <f t="shared" si="335"/>
        <v>11850687.4322582</v>
      </c>
      <c r="T827" s="350">
        <f t="shared" si="336"/>
        <v>11450506.7646988</v>
      </c>
      <c r="U827" s="350">
        <f t="shared" si="337"/>
        <v>10996872.063325414</v>
      </c>
      <c r="V827" s="350">
        <f t="shared" si="338"/>
        <v>59090936.704203919</v>
      </c>
      <c r="W827" s="365"/>
      <c r="X827" s="377">
        <f t="shared" si="316"/>
        <v>0</v>
      </c>
      <c r="Y827" s="377">
        <f t="shared" si="317"/>
        <v>0</v>
      </c>
      <c r="Z827" s="377">
        <f t="shared" si="318"/>
        <v>0</v>
      </c>
      <c r="AA827" s="377">
        <f t="shared" si="319"/>
        <v>0</v>
      </c>
      <c r="AB827" s="377">
        <f t="shared" si="320"/>
        <v>0</v>
      </c>
      <c r="AC827" s="377">
        <f t="shared" si="321"/>
        <v>0</v>
      </c>
      <c r="AD827" s="376"/>
      <c r="AE827" s="332">
        <v>812</v>
      </c>
      <c r="AF827" s="350">
        <v>631406.90525037108</v>
      </c>
      <c r="AG827" s="350">
        <v>629131.51571351942</v>
      </c>
      <c r="AH827" s="350">
        <v>626670.7934838396</v>
      </c>
      <c r="AI827" s="350">
        <v>623718.63041295239</v>
      </c>
      <c r="AJ827" s="350">
        <v>620003.84801742423</v>
      </c>
      <c r="AK827" s="348">
        <v>3130931.6928781066</v>
      </c>
      <c r="AL827" s="369"/>
      <c r="AM827" s="350">
        <v>18698878.333301447</v>
      </c>
      <c r="AN827" s="350">
        <v>18534813.764647383</v>
      </c>
      <c r="AO827" s="350">
        <v>18354881.726079363</v>
      </c>
      <c r="AP827" s="350">
        <v>18123767.230604284</v>
      </c>
      <c r="AQ827" s="350">
        <v>17811248.938735288</v>
      </c>
      <c r="AR827" s="348">
        <v>91523589.993367776</v>
      </c>
      <c r="AS827" s="369"/>
      <c r="AT827" s="350">
        <f t="shared" si="339"/>
        <v>18067471.428051077</v>
      </c>
      <c r="AU827" s="350">
        <f t="shared" si="322"/>
        <v>17905682.248933863</v>
      </c>
      <c r="AV827" s="350">
        <f t="shared" si="323"/>
        <v>17728210.932595525</v>
      </c>
      <c r="AW827" s="350">
        <f t="shared" si="324"/>
        <v>17500048.600191332</v>
      </c>
      <c r="AX827" s="350">
        <f t="shared" si="325"/>
        <v>17191245.090717863</v>
      </c>
      <c r="AY827" s="350">
        <f t="shared" si="326"/>
        <v>88392658.300489664</v>
      </c>
      <c r="AZ827" s="365"/>
      <c r="BA827" s="377">
        <f t="shared" si="327"/>
        <v>0</v>
      </c>
      <c r="BB827" s="377">
        <f t="shared" si="328"/>
        <v>0</v>
      </c>
      <c r="BC827" s="377">
        <f t="shared" si="329"/>
        <v>0</v>
      </c>
      <c r="BD827" s="377">
        <f t="shared" si="330"/>
        <v>0</v>
      </c>
      <c r="BE827" s="377">
        <f t="shared" si="331"/>
        <v>0</v>
      </c>
      <c r="BF827" s="377">
        <f t="shared" si="332"/>
        <v>0</v>
      </c>
      <c r="BG827" s="328"/>
    </row>
    <row r="828" spans="2:59">
      <c r="B828" s="332">
        <v>813</v>
      </c>
      <c r="C828" s="350">
        <v>4751535.5198714016</v>
      </c>
      <c r="D828" s="350">
        <v>4734412.4980672505</v>
      </c>
      <c r="E828" s="350">
        <v>4715894.7894681878</v>
      </c>
      <c r="F828" s="350">
        <v>4693678.8339961609</v>
      </c>
      <c r="G828" s="350">
        <v>4665723.9282861166</v>
      </c>
      <c r="H828" s="348">
        <v>23561245.569689117</v>
      </c>
      <c r="I828" s="369"/>
      <c r="J828" s="350">
        <v>13440464.881056275</v>
      </c>
      <c r="K828" s="350">
        <v>13123140.811048413</v>
      </c>
      <c r="L828" s="350">
        <v>12798483.144523321</v>
      </c>
      <c r="M828" s="350">
        <v>12447547.838072367</v>
      </c>
      <c r="N828" s="350">
        <v>12054517.791042579</v>
      </c>
      <c r="O828" s="348">
        <v>63864154.465742961</v>
      </c>
      <c r="P828" s="369"/>
      <c r="Q828" s="350">
        <f t="shared" si="333"/>
        <v>8688929.3611848727</v>
      </c>
      <c r="R828" s="350">
        <f t="shared" si="334"/>
        <v>8388728.3129811622</v>
      </c>
      <c r="S828" s="350">
        <f t="shared" si="335"/>
        <v>8082588.3550551329</v>
      </c>
      <c r="T828" s="350">
        <f t="shared" si="336"/>
        <v>7753869.0040762061</v>
      </c>
      <c r="U828" s="350">
        <f t="shared" si="337"/>
        <v>7388793.8627564628</v>
      </c>
      <c r="V828" s="350">
        <f t="shared" si="338"/>
        <v>40302908.896053843</v>
      </c>
      <c r="W828" s="365"/>
      <c r="X828" s="377">
        <f t="shared" si="316"/>
        <v>0</v>
      </c>
      <c r="Y828" s="377">
        <f t="shared" si="317"/>
        <v>0</v>
      </c>
      <c r="Z828" s="377">
        <f t="shared" si="318"/>
        <v>0</v>
      </c>
      <c r="AA828" s="377">
        <f t="shared" si="319"/>
        <v>0</v>
      </c>
      <c r="AB828" s="377">
        <f t="shared" si="320"/>
        <v>0</v>
      </c>
      <c r="AC828" s="377">
        <f t="shared" si="321"/>
        <v>0</v>
      </c>
      <c r="AD828" s="376"/>
      <c r="AE828" s="332">
        <v>813</v>
      </c>
      <c r="AF828" s="350">
        <v>547541.78805835766</v>
      </c>
      <c r="AG828" s="350">
        <v>545568.62171320524</v>
      </c>
      <c r="AH828" s="350">
        <v>543434.73904839705</v>
      </c>
      <c r="AI828" s="350">
        <v>540874.69000073487</v>
      </c>
      <c r="AJ828" s="350">
        <v>537653.31472247641</v>
      </c>
      <c r="AK828" s="348">
        <v>2715073.1535431715</v>
      </c>
      <c r="AL828" s="369"/>
      <c r="AM828" s="350">
        <v>13838151.685639881</v>
      </c>
      <c r="AN828" s="350">
        <v>13713011.173409455</v>
      </c>
      <c r="AO828" s="350">
        <v>13576203.947032942</v>
      </c>
      <c r="AP828" s="350">
        <v>13401715.337992299</v>
      </c>
      <c r="AQ828" s="350">
        <v>13167290.265422456</v>
      </c>
      <c r="AR828" s="348">
        <v>67696372.409497023</v>
      </c>
      <c r="AS828" s="369"/>
      <c r="AT828" s="350">
        <f t="shared" si="339"/>
        <v>13290609.897581523</v>
      </c>
      <c r="AU828" s="350">
        <f t="shared" si="322"/>
        <v>13167442.551696248</v>
      </c>
      <c r="AV828" s="350">
        <f t="shared" si="323"/>
        <v>13032769.207984544</v>
      </c>
      <c r="AW828" s="350">
        <f t="shared" si="324"/>
        <v>12860840.647991564</v>
      </c>
      <c r="AX828" s="350">
        <f t="shared" si="325"/>
        <v>12629636.950699979</v>
      </c>
      <c r="AY828" s="350">
        <f t="shared" si="326"/>
        <v>64981299.255953848</v>
      </c>
      <c r="AZ828" s="365"/>
      <c r="BA828" s="377">
        <f t="shared" si="327"/>
        <v>0</v>
      </c>
      <c r="BB828" s="377">
        <f t="shared" si="328"/>
        <v>0</v>
      </c>
      <c r="BC828" s="377">
        <f t="shared" si="329"/>
        <v>0</v>
      </c>
      <c r="BD828" s="377">
        <f t="shared" si="330"/>
        <v>0</v>
      </c>
      <c r="BE828" s="377">
        <f t="shared" si="331"/>
        <v>0</v>
      </c>
      <c r="BF828" s="377">
        <f t="shared" si="332"/>
        <v>0</v>
      </c>
      <c r="BG828" s="328"/>
    </row>
    <row r="829" spans="2:59">
      <c r="B829" s="332">
        <v>814</v>
      </c>
      <c r="C829" s="350">
        <v>6286983.5478003966</v>
      </c>
      <c r="D829" s="350">
        <v>6264327.2599706808</v>
      </c>
      <c r="E829" s="350">
        <v>6239825.5954417344</v>
      </c>
      <c r="F829" s="350">
        <v>6210430.603871705</v>
      </c>
      <c r="G829" s="350">
        <v>6173442.1331879981</v>
      </c>
      <c r="H829" s="348">
        <v>31175009.140272517</v>
      </c>
      <c r="I829" s="369"/>
      <c r="J829" s="350">
        <v>23505195.072833538</v>
      </c>
      <c r="K829" s="350">
        <v>23044091.698574238</v>
      </c>
      <c r="L829" s="350">
        <v>22568246.733151041</v>
      </c>
      <c r="M829" s="350">
        <v>22041499.249976806</v>
      </c>
      <c r="N829" s="350">
        <v>21433408.300144318</v>
      </c>
      <c r="O829" s="348">
        <v>112592441.05467993</v>
      </c>
      <c r="P829" s="369"/>
      <c r="Q829" s="350">
        <f t="shared" si="333"/>
        <v>17218211.525033142</v>
      </c>
      <c r="R829" s="350">
        <f t="shared" si="334"/>
        <v>16779764.438603558</v>
      </c>
      <c r="S829" s="350">
        <f t="shared" si="335"/>
        <v>16328421.137709307</v>
      </c>
      <c r="T829" s="350">
        <f t="shared" si="336"/>
        <v>15831068.646105101</v>
      </c>
      <c r="U829" s="350">
        <f t="shared" si="337"/>
        <v>15259966.16695632</v>
      </c>
      <c r="V829" s="350">
        <f t="shared" si="338"/>
        <v>81417431.914407417</v>
      </c>
      <c r="W829" s="365"/>
      <c r="X829" s="377">
        <f t="shared" si="316"/>
        <v>0</v>
      </c>
      <c r="Y829" s="377">
        <f t="shared" si="317"/>
        <v>0</v>
      </c>
      <c r="Z829" s="377">
        <f t="shared" si="318"/>
        <v>0</v>
      </c>
      <c r="AA829" s="377">
        <f t="shared" si="319"/>
        <v>0</v>
      </c>
      <c r="AB829" s="377">
        <f t="shared" si="320"/>
        <v>0</v>
      </c>
      <c r="AC829" s="377">
        <f t="shared" si="321"/>
        <v>0</v>
      </c>
      <c r="AD829" s="376"/>
      <c r="AE829" s="332">
        <v>814</v>
      </c>
      <c r="AF829" s="350">
        <v>400615.29407076509</v>
      </c>
      <c r="AG829" s="350">
        <v>399171.60404955782</v>
      </c>
      <c r="AH829" s="350">
        <v>397610.32407071633</v>
      </c>
      <c r="AI829" s="350">
        <v>395737.23451950296</v>
      </c>
      <c r="AJ829" s="350">
        <v>393380.27796831785</v>
      </c>
      <c r="AK829" s="348">
        <v>1986514.7346788598</v>
      </c>
      <c r="AL829" s="369"/>
      <c r="AM829" s="350">
        <v>12985003.668263318</v>
      </c>
      <c r="AN829" s="350">
        <v>12872828.95227691</v>
      </c>
      <c r="AO829" s="350">
        <v>12749599.578472666</v>
      </c>
      <c r="AP829" s="350">
        <v>12590735.153913863</v>
      </c>
      <c r="AQ829" s="350">
        <v>12375197.157011475</v>
      </c>
      <c r="AR829" s="348">
        <v>63573364.509938225</v>
      </c>
      <c r="AS829" s="369"/>
      <c r="AT829" s="350">
        <f t="shared" si="339"/>
        <v>12584388.374192553</v>
      </c>
      <c r="AU829" s="350">
        <f t="shared" si="322"/>
        <v>12473657.348227352</v>
      </c>
      <c r="AV829" s="350">
        <f t="shared" si="323"/>
        <v>12351989.25440195</v>
      </c>
      <c r="AW829" s="350">
        <f t="shared" si="324"/>
        <v>12194997.919394361</v>
      </c>
      <c r="AX829" s="350">
        <f t="shared" si="325"/>
        <v>11981816.879043158</v>
      </c>
      <c r="AY829" s="350">
        <f t="shared" si="326"/>
        <v>61586849.775259368</v>
      </c>
      <c r="AZ829" s="365"/>
      <c r="BA829" s="377">
        <f t="shared" si="327"/>
        <v>0</v>
      </c>
      <c r="BB829" s="377">
        <f t="shared" si="328"/>
        <v>0</v>
      </c>
      <c r="BC829" s="377">
        <f t="shared" si="329"/>
        <v>0</v>
      </c>
      <c r="BD829" s="377">
        <f t="shared" si="330"/>
        <v>0</v>
      </c>
      <c r="BE829" s="377">
        <f t="shared" si="331"/>
        <v>0</v>
      </c>
      <c r="BF829" s="377">
        <f t="shared" si="332"/>
        <v>0</v>
      </c>
      <c r="BG829" s="328"/>
    </row>
    <row r="830" spans="2:59">
      <c r="B830" s="332">
        <v>815</v>
      </c>
      <c r="C830" s="350">
        <v>4722874.7061780328</v>
      </c>
      <c r="D830" s="350">
        <v>4705854.9688249258</v>
      </c>
      <c r="E830" s="350">
        <v>4687448.9572959943</v>
      </c>
      <c r="F830" s="350">
        <v>4665367.0063701048</v>
      </c>
      <c r="G830" s="350">
        <v>4637580.7220122581</v>
      </c>
      <c r="H830" s="348">
        <v>23419126.360681318</v>
      </c>
      <c r="I830" s="369"/>
      <c r="J830" s="350">
        <v>14884189.28409401</v>
      </c>
      <c r="K830" s="350">
        <v>14557789.523773473</v>
      </c>
      <c r="L830" s="350">
        <v>14222757.712626385</v>
      </c>
      <c r="M830" s="350">
        <v>13857307.171387691</v>
      </c>
      <c r="N830" s="350">
        <v>13443181.063540131</v>
      </c>
      <c r="O830" s="348">
        <v>70965224.755421683</v>
      </c>
      <c r="P830" s="369"/>
      <c r="Q830" s="350">
        <f t="shared" si="333"/>
        <v>10161314.577915978</v>
      </c>
      <c r="R830" s="350">
        <f t="shared" si="334"/>
        <v>9851934.554948546</v>
      </c>
      <c r="S830" s="350">
        <f t="shared" si="335"/>
        <v>9535308.7553303912</v>
      </c>
      <c r="T830" s="350">
        <f t="shared" si="336"/>
        <v>9191940.1650175862</v>
      </c>
      <c r="U830" s="350">
        <f t="shared" si="337"/>
        <v>8805600.3415278718</v>
      </c>
      <c r="V830" s="350">
        <f t="shared" si="338"/>
        <v>47546098.394740365</v>
      </c>
      <c r="W830" s="365"/>
      <c r="X830" s="377">
        <f t="shared" si="316"/>
        <v>0</v>
      </c>
      <c r="Y830" s="377">
        <f t="shared" si="317"/>
        <v>0</v>
      </c>
      <c r="Z830" s="377">
        <f t="shared" si="318"/>
        <v>0</v>
      </c>
      <c r="AA830" s="377">
        <f t="shared" si="319"/>
        <v>0</v>
      </c>
      <c r="AB830" s="377">
        <f t="shared" si="320"/>
        <v>0</v>
      </c>
      <c r="AC830" s="377">
        <f t="shared" si="321"/>
        <v>0</v>
      </c>
      <c r="AD830" s="376"/>
      <c r="AE830" s="332">
        <v>815</v>
      </c>
      <c r="AF830" s="350">
        <v>533883.05214275839</v>
      </c>
      <c r="AG830" s="350">
        <v>531959.10753485723</v>
      </c>
      <c r="AH830" s="350">
        <v>529878.45576571627</v>
      </c>
      <c r="AI830" s="350">
        <v>527382.26857231907</v>
      </c>
      <c r="AJ830" s="350">
        <v>524241.25230075285</v>
      </c>
      <c r="AK830" s="348">
        <v>2647344.1363164037</v>
      </c>
      <c r="AL830" s="369"/>
      <c r="AM830" s="350">
        <v>16835022.009178255</v>
      </c>
      <c r="AN830" s="350">
        <v>16688915.67826424</v>
      </c>
      <c r="AO830" s="350">
        <v>16528490.738138499</v>
      </c>
      <c r="AP830" s="350">
        <v>16321900.483074173</v>
      </c>
      <c r="AQ830" s="350">
        <v>16041888.432969982</v>
      </c>
      <c r="AR830" s="348">
        <v>82416217.341625154</v>
      </c>
      <c r="AS830" s="369"/>
      <c r="AT830" s="350">
        <f t="shared" si="339"/>
        <v>16301138.957035497</v>
      </c>
      <c r="AU830" s="350">
        <f t="shared" si="322"/>
        <v>16156956.570729382</v>
      </c>
      <c r="AV830" s="350">
        <f t="shared" si="323"/>
        <v>15998612.282372782</v>
      </c>
      <c r="AW830" s="350">
        <f t="shared" si="324"/>
        <v>15794518.214501854</v>
      </c>
      <c r="AX830" s="350">
        <f t="shared" si="325"/>
        <v>15517647.180669229</v>
      </c>
      <c r="AY830" s="350">
        <f t="shared" si="326"/>
        <v>79768873.20530875</v>
      </c>
      <c r="AZ830" s="365"/>
      <c r="BA830" s="377">
        <f t="shared" si="327"/>
        <v>0</v>
      </c>
      <c r="BB830" s="377">
        <f t="shared" si="328"/>
        <v>0</v>
      </c>
      <c r="BC830" s="377">
        <f t="shared" si="329"/>
        <v>0</v>
      </c>
      <c r="BD830" s="377">
        <f t="shared" si="330"/>
        <v>0</v>
      </c>
      <c r="BE830" s="377">
        <f t="shared" si="331"/>
        <v>0</v>
      </c>
      <c r="BF830" s="377">
        <f t="shared" si="332"/>
        <v>0</v>
      </c>
      <c r="BG830" s="328"/>
    </row>
    <row r="831" spans="2:59">
      <c r="B831" s="332">
        <v>816</v>
      </c>
      <c r="C831" s="350">
        <v>5108354.14738899</v>
      </c>
      <c r="D831" s="350">
        <v>5089945.2648112923</v>
      </c>
      <c r="E831" s="350">
        <v>5070036.9608269185</v>
      </c>
      <c r="F831" s="350">
        <v>5046152.6885113399</v>
      </c>
      <c r="G831" s="350">
        <v>5016098.4969922919</v>
      </c>
      <c r="H831" s="348">
        <v>25330587.55853083</v>
      </c>
      <c r="I831" s="369"/>
      <c r="J831" s="350">
        <v>16484210.728914432</v>
      </c>
      <c r="K831" s="350">
        <v>16128394.205619745</v>
      </c>
      <c r="L831" s="350">
        <v>15762901.909345776</v>
      </c>
      <c r="M831" s="350">
        <v>15363421.995345881</v>
      </c>
      <c r="N831" s="350">
        <v>14909567.107405892</v>
      </c>
      <c r="O831" s="348">
        <v>78648495.94663173</v>
      </c>
      <c r="P831" s="369"/>
      <c r="Q831" s="350">
        <f t="shared" si="333"/>
        <v>11375856.581525441</v>
      </c>
      <c r="R831" s="350">
        <f t="shared" si="334"/>
        <v>11038448.940808453</v>
      </c>
      <c r="S831" s="350">
        <f t="shared" si="335"/>
        <v>10692864.948518857</v>
      </c>
      <c r="T831" s="350">
        <f t="shared" si="336"/>
        <v>10317269.306834541</v>
      </c>
      <c r="U831" s="350">
        <f t="shared" si="337"/>
        <v>9893468.6104135998</v>
      </c>
      <c r="V831" s="350">
        <f t="shared" si="338"/>
        <v>53317908.3881009</v>
      </c>
      <c r="W831" s="365"/>
      <c r="X831" s="377">
        <f t="shared" si="316"/>
        <v>0</v>
      </c>
      <c r="Y831" s="377">
        <f t="shared" si="317"/>
        <v>0</v>
      </c>
      <c r="Z831" s="377">
        <f t="shared" si="318"/>
        <v>0</v>
      </c>
      <c r="AA831" s="377">
        <f t="shared" si="319"/>
        <v>0</v>
      </c>
      <c r="AB831" s="377">
        <f t="shared" si="320"/>
        <v>0</v>
      </c>
      <c r="AC831" s="377">
        <f t="shared" si="321"/>
        <v>0</v>
      </c>
      <c r="AD831" s="376"/>
      <c r="AE831" s="332">
        <v>816</v>
      </c>
      <c r="AF831" s="350">
        <v>209900.56433348233</v>
      </c>
      <c r="AG831" s="350">
        <v>209144.14950194943</v>
      </c>
      <c r="AH831" s="350">
        <v>208326.12394603167</v>
      </c>
      <c r="AI831" s="350">
        <v>207344.72718044193</v>
      </c>
      <c r="AJ831" s="350">
        <v>206109.81049721647</v>
      </c>
      <c r="AK831" s="348">
        <v>1040825.3754591218</v>
      </c>
      <c r="AL831" s="369"/>
      <c r="AM831" s="350">
        <v>6439603.493196629</v>
      </c>
      <c r="AN831" s="350">
        <v>6383452.3167303707</v>
      </c>
      <c r="AO831" s="350">
        <v>6321829.4805288762</v>
      </c>
      <c r="AP831" s="350">
        <v>6242561.7436793884</v>
      </c>
      <c r="AQ831" s="350">
        <v>6135230.9765640432</v>
      </c>
      <c r="AR831" s="348">
        <v>31522678.010699309</v>
      </c>
      <c r="AS831" s="369"/>
      <c r="AT831" s="350">
        <f t="shared" si="339"/>
        <v>6229702.9288631463</v>
      </c>
      <c r="AU831" s="350">
        <f t="shared" si="322"/>
        <v>6174308.1672284212</v>
      </c>
      <c r="AV831" s="350">
        <f t="shared" si="323"/>
        <v>6113503.3565828446</v>
      </c>
      <c r="AW831" s="350">
        <f t="shared" si="324"/>
        <v>6035217.0164989466</v>
      </c>
      <c r="AX831" s="350">
        <f t="shared" si="325"/>
        <v>5929121.1660668263</v>
      </c>
      <c r="AY831" s="350">
        <f t="shared" si="326"/>
        <v>30481852.635240186</v>
      </c>
      <c r="AZ831" s="365"/>
      <c r="BA831" s="377">
        <f t="shared" si="327"/>
        <v>0</v>
      </c>
      <c r="BB831" s="377">
        <f t="shared" si="328"/>
        <v>0</v>
      </c>
      <c r="BC831" s="377">
        <f t="shared" si="329"/>
        <v>0</v>
      </c>
      <c r="BD831" s="377">
        <f t="shared" si="330"/>
        <v>0</v>
      </c>
      <c r="BE831" s="377">
        <f t="shared" si="331"/>
        <v>0</v>
      </c>
      <c r="BF831" s="377">
        <f t="shared" si="332"/>
        <v>0</v>
      </c>
      <c r="BG831" s="328"/>
    </row>
    <row r="832" spans="2:59">
      <c r="B832" s="332">
        <v>817</v>
      </c>
      <c r="C832" s="350">
        <v>6792536.7773674559</v>
      </c>
      <c r="D832" s="350">
        <v>6768058.6365942359</v>
      </c>
      <c r="E832" s="350">
        <v>6741586.7274259971</v>
      </c>
      <c r="F832" s="350">
        <v>6709828.0056492118</v>
      </c>
      <c r="G832" s="350">
        <v>6669865.1927123833</v>
      </c>
      <c r="H832" s="348">
        <v>33681875.339749284</v>
      </c>
      <c r="I832" s="369"/>
      <c r="J832" s="350">
        <v>23730329.278291024</v>
      </c>
      <c r="K832" s="350">
        <v>23244147.471445017</v>
      </c>
      <c r="L832" s="350">
        <v>22743504.795658126</v>
      </c>
      <c r="M832" s="350">
        <v>22192561.281493738</v>
      </c>
      <c r="N832" s="350">
        <v>21561196.358938575</v>
      </c>
      <c r="O832" s="348">
        <v>113471739.18582648</v>
      </c>
      <c r="P832" s="369"/>
      <c r="Q832" s="350">
        <f t="shared" si="333"/>
        <v>16937792.500923567</v>
      </c>
      <c r="R832" s="350">
        <f t="shared" si="334"/>
        <v>16476088.834850781</v>
      </c>
      <c r="S832" s="350">
        <f t="shared" si="335"/>
        <v>16001918.06823213</v>
      </c>
      <c r="T832" s="350">
        <f t="shared" si="336"/>
        <v>15482733.275844526</v>
      </c>
      <c r="U832" s="350">
        <f t="shared" si="337"/>
        <v>14891331.166226191</v>
      </c>
      <c r="V832" s="350">
        <f t="shared" si="338"/>
        <v>79789863.846077204</v>
      </c>
      <c r="W832" s="365"/>
      <c r="X832" s="377">
        <f t="shared" si="316"/>
        <v>0</v>
      </c>
      <c r="Y832" s="377">
        <f t="shared" si="317"/>
        <v>0</v>
      </c>
      <c r="Z832" s="377">
        <f t="shared" si="318"/>
        <v>0</v>
      </c>
      <c r="AA832" s="377">
        <f t="shared" si="319"/>
        <v>0</v>
      </c>
      <c r="AB832" s="377">
        <f t="shared" si="320"/>
        <v>0</v>
      </c>
      <c r="AC832" s="377">
        <f t="shared" si="321"/>
        <v>0</v>
      </c>
      <c r="AD832" s="376"/>
      <c r="AE832" s="332">
        <v>817</v>
      </c>
      <c r="AF832" s="350">
        <v>383218.30892953329</v>
      </c>
      <c r="AG832" s="350">
        <v>381837.3121060626</v>
      </c>
      <c r="AH832" s="350">
        <v>380343.83174694399</v>
      </c>
      <c r="AI832" s="350">
        <v>378552.08235316596</v>
      </c>
      <c r="AJ832" s="350">
        <v>376297.47820516251</v>
      </c>
      <c r="AK832" s="348">
        <v>1900249.0133408685</v>
      </c>
      <c r="AL832" s="369"/>
      <c r="AM832" s="350">
        <v>11178294.722889861</v>
      </c>
      <c r="AN832" s="350">
        <v>11079948.771045465</v>
      </c>
      <c r="AO832" s="350">
        <v>10972122.613201464</v>
      </c>
      <c r="AP832" s="350">
        <v>10833713.38191255</v>
      </c>
      <c r="AQ832" s="350">
        <v>10646662.504833039</v>
      </c>
      <c r="AR832" s="348">
        <v>54710741.993882373</v>
      </c>
      <c r="AS832" s="369"/>
      <c r="AT832" s="350">
        <f t="shared" si="339"/>
        <v>10795076.413960328</v>
      </c>
      <c r="AU832" s="350">
        <f t="shared" si="322"/>
        <v>10698111.458939403</v>
      </c>
      <c r="AV832" s="350">
        <f t="shared" si="323"/>
        <v>10591778.78145452</v>
      </c>
      <c r="AW832" s="350">
        <f t="shared" si="324"/>
        <v>10455161.299559385</v>
      </c>
      <c r="AX832" s="350">
        <f t="shared" si="325"/>
        <v>10270365.026627876</v>
      </c>
      <c r="AY832" s="350">
        <f t="shared" si="326"/>
        <v>52810492.980541505</v>
      </c>
      <c r="AZ832" s="365"/>
      <c r="BA832" s="377">
        <f t="shared" si="327"/>
        <v>0</v>
      </c>
      <c r="BB832" s="377">
        <f t="shared" si="328"/>
        <v>0</v>
      </c>
      <c r="BC832" s="377">
        <f t="shared" si="329"/>
        <v>0</v>
      </c>
      <c r="BD832" s="377">
        <f t="shared" si="330"/>
        <v>0</v>
      </c>
      <c r="BE832" s="377">
        <f t="shared" si="331"/>
        <v>0</v>
      </c>
      <c r="BF832" s="377">
        <f t="shared" si="332"/>
        <v>0</v>
      </c>
      <c r="BG832" s="328"/>
    </row>
    <row r="833" spans="2:59">
      <c r="B833" s="332">
        <v>818</v>
      </c>
      <c r="C833" s="350">
        <v>7257676.717225343</v>
      </c>
      <c r="D833" s="350">
        <v>7231522.360142922</v>
      </c>
      <c r="E833" s="350">
        <v>7203237.7052153265</v>
      </c>
      <c r="F833" s="350">
        <v>7169304.206853386</v>
      </c>
      <c r="G833" s="350">
        <v>7126604.8168445099</v>
      </c>
      <c r="H833" s="348">
        <v>35988345.806281485</v>
      </c>
      <c r="I833" s="369"/>
      <c r="J833" s="350">
        <v>18540389.409671865</v>
      </c>
      <c r="K833" s="350">
        <v>18070032.605245739</v>
      </c>
      <c r="L833" s="350">
        <v>17590225.718581423</v>
      </c>
      <c r="M833" s="350">
        <v>17075890.163590934</v>
      </c>
      <c r="N833" s="350">
        <v>16506173.380002908</v>
      </c>
      <c r="O833" s="348">
        <v>87782711.277092874</v>
      </c>
      <c r="P833" s="369"/>
      <c r="Q833" s="350">
        <f t="shared" si="333"/>
        <v>11282712.692446522</v>
      </c>
      <c r="R833" s="350">
        <f t="shared" si="334"/>
        <v>10838510.245102817</v>
      </c>
      <c r="S833" s="350">
        <f t="shared" si="335"/>
        <v>10386988.013366096</v>
      </c>
      <c r="T833" s="350">
        <f t="shared" si="336"/>
        <v>9906585.9567375481</v>
      </c>
      <c r="U833" s="350">
        <f t="shared" si="337"/>
        <v>9379568.5631583985</v>
      </c>
      <c r="V833" s="350">
        <f t="shared" si="338"/>
        <v>51794365.470811389</v>
      </c>
      <c r="W833" s="365"/>
      <c r="X833" s="377">
        <f t="shared" si="316"/>
        <v>0</v>
      </c>
      <c r="Y833" s="377">
        <f t="shared" si="317"/>
        <v>0</v>
      </c>
      <c r="Z833" s="377">
        <f t="shared" si="318"/>
        <v>0</v>
      </c>
      <c r="AA833" s="377">
        <f t="shared" si="319"/>
        <v>0</v>
      </c>
      <c r="AB833" s="377">
        <f t="shared" si="320"/>
        <v>0</v>
      </c>
      <c r="AC833" s="377">
        <f t="shared" si="321"/>
        <v>0</v>
      </c>
      <c r="AD833" s="376"/>
      <c r="AE833" s="332">
        <v>818</v>
      </c>
      <c r="AF833" s="350">
        <v>413717.11399528611</v>
      </c>
      <c r="AG833" s="350">
        <v>412226.20918481686</v>
      </c>
      <c r="AH833" s="350">
        <v>410613.86872616515</v>
      </c>
      <c r="AI833" s="350">
        <v>408679.52119911904</v>
      </c>
      <c r="AJ833" s="350">
        <v>406245.48216815689</v>
      </c>
      <c r="AK833" s="348">
        <v>2051482.1952735442</v>
      </c>
      <c r="AL833" s="369"/>
      <c r="AM833" s="350">
        <v>13756297.748328516</v>
      </c>
      <c r="AN833" s="350">
        <v>13637956.159345523</v>
      </c>
      <c r="AO833" s="350">
        <v>13507893.146854565</v>
      </c>
      <c r="AP833" s="350">
        <v>13340052.246542115</v>
      </c>
      <c r="AQ833" s="350">
        <v>13112130.577990677</v>
      </c>
      <c r="AR833" s="348">
        <v>67354329.879061401</v>
      </c>
      <c r="AS833" s="369"/>
      <c r="AT833" s="350">
        <f t="shared" si="339"/>
        <v>13342580.634333231</v>
      </c>
      <c r="AU833" s="350">
        <f t="shared" si="322"/>
        <v>13225729.950160706</v>
      </c>
      <c r="AV833" s="350">
        <f t="shared" si="323"/>
        <v>13097279.278128399</v>
      </c>
      <c r="AW833" s="350">
        <f t="shared" si="324"/>
        <v>12931372.725342996</v>
      </c>
      <c r="AX833" s="350">
        <f t="shared" si="325"/>
        <v>12705885.095822521</v>
      </c>
      <c r="AY833" s="350">
        <f t="shared" si="326"/>
        <v>65302847.68378786</v>
      </c>
      <c r="AZ833" s="365"/>
      <c r="BA833" s="377">
        <f t="shared" si="327"/>
        <v>0</v>
      </c>
      <c r="BB833" s="377">
        <f t="shared" si="328"/>
        <v>0</v>
      </c>
      <c r="BC833" s="377">
        <f t="shared" si="329"/>
        <v>0</v>
      </c>
      <c r="BD833" s="377">
        <f t="shared" si="330"/>
        <v>0</v>
      </c>
      <c r="BE833" s="377">
        <f t="shared" si="331"/>
        <v>0</v>
      </c>
      <c r="BF833" s="377">
        <f t="shared" si="332"/>
        <v>0</v>
      </c>
      <c r="BG833" s="328"/>
    </row>
    <row r="834" spans="2:59">
      <c r="B834" s="332">
        <v>819</v>
      </c>
      <c r="C834" s="350">
        <v>6474324.586920239</v>
      </c>
      <c r="D834" s="350">
        <v>6450993.1816081312</v>
      </c>
      <c r="E834" s="350">
        <v>6425761.4106206391</v>
      </c>
      <c r="F834" s="350">
        <v>6395490.5000627879</v>
      </c>
      <c r="G834" s="350">
        <v>6357399.8380848533</v>
      </c>
      <c r="H834" s="348">
        <v>32103969.51729665</v>
      </c>
      <c r="I834" s="369"/>
      <c r="J834" s="350">
        <v>25482276.464384802</v>
      </c>
      <c r="K834" s="350">
        <v>24998231.611421593</v>
      </c>
      <c r="L834" s="350">
        <v>24497881.698121198</v>
      </c>
      <c r="M834" s="350">
        <v>23941512.534606986</v>
      </c>
      <c r="N834" s="350">
        <v>23295653.482680064</v>
      </c>
      <c r="O834" s="348">
        <v>122215555.79121466</v>
      </c>
      <c r="P834" s="369"/>
      <c r="Q834" s="350">
        <f t="shared" si="333"/>
        <v>19007951.877464563</v>
      </c>
      <c r="R834" s="350">
        <f t="shared" si="334"/>
        <v>18547238.42981346</v>
      </c>
      <c r="S834" s="350">
        <f t="shared" si="335"/>
        <v>18072120.28750056</v>
      </c>
      <c r="T834" s="350">
        <f t="shared" si="336"/>
        <v>17546022.0345442</v>
      </c>
      <c r="U834" s="350">
        <f t="shared" si="337"/>
        <v>16938253.64459521</v>
      </c>
      <c r="V834" s="350">
        <f t="shared" si="338"/>
        <v>90111586.273918003</v>
      </c>
      <c r="W834" s="365"/>
      <c r="X834" s="377">
        <f t="shared" si="316"/>
        <v>0</v>
      </c>
      <c r="Y834" s="377">
        <f t="shared" si="317"/>
        <v>0</v>
      </c>
      <c r="Z834" s="377">
        <f t="shared" si="318"/>
        <v>0</v>
      </c>
      <c r="AA834" s="377">
        <f t="shared" si="319"/>
        <v>0</v>
      </c>
      <c r="AB834" s="377">
        <f t="shared" si="320"/>
        <v>0</v>
      </c>
      <c r="AC834" s="377">
        <f t="shared" si="321"/>
        <v>0</v>
      </c>
      <c r="AD834" s="376"/>
      <c r="AE834" s="332">
        <v>819</v>
      </c>
      <c r="AF834" s="350">
        <v>446826.17814013886</v>
      </c>
      <c r="AG834" s="350">
        <v>445215.9587996832</v>
      </c>
      <c r="AH834" s="350">
        <v>443474.58552642708</v>
      </c>
      <c r="AI834" s="350">
        <v>441385.43551675463</v>
      </c>
      <c r="AJ834" s="350">
        <v>438756.60455748922</v>
      </c>
      <c r="AK834" s="348">
        <v>2215658.7625404927</v>
      </c>
      <c r="AL834" s="369"/>
      <c r="AM834" s="350">
        <v>14855250.984759461</v>
      </c>
      <c r="AN834" s="350">
        <v>14727452.701670153</v>
      </c>
      <c r="AO834" s="350">
        <v>14586996.657669785</v>
      </c>
      <c r="AP834" s="350">
        <v>14405744.895735826</v>
      </c>
      <c r="AQ834" s="350">
        <v>14159612.899105381</v>
      </c>
      <c r="AR834" s="348">
        <v>72735058.138940603</v>
      </c>
      <c r="AS834" s="369"/>
      <c r="AT834" s="350">
        <f t="shared" si="339"/>
        <v>14408424.806619322</v>
      </c>
      <c r="AU834" s="350">
        <f t="shared" si="322"/>
        <v>14282236.742870471</v>
      </c>
      <c r="AV834" s="350">
        <f t="shared" si="323"/>
        <v>14143522.072143357</v>
      </c>
      <c r="AW834" s="350">
        <f t="shared" si="324"/>
        <v>13964359.460219072</v>
      </c>
      <c r="AX834" s="350">
        <f t="shared" si="325"/>
        <v>13720856.294547891</v>
      </c>
      <c r="AY834" s="350">
        <f t="shared" si="326"/>
        <v>70519399.376400113</v>
      </c>
      <c r="AZ834" s="365"/>
      <c r="BA834" s="377">
        <f t="shared" si="327"/>
        <v>0</v>
      </c>
      <c r="BB834" s="377">
        <f t="shared" si="328"/>
        <v>0</v>
      </c>
      <c r="BC834" s="377">
        <f t="shared" si="329"/>
        <v>0</v>
      </c>
      <c r="BD834" s="377">
        <f t="shared" si="330"/>
        <v>0</v>
      </c>
      <c r="BE834" s="377">
        <f t="shared" si="331"/>
        <v>0</v>
      </c>
      <c r="BF834" s="377">
        <f t="shared" si="332"/>
        <v>0</v>
      </c>
      <c r="BG834" s="328"/>
    </row>
    <row r="835" spans="2:59">
      <c r="B835" s="332">
        <v>820</v>
      </c>
      <c r="C835" s="350">
        <v>5927137.5969671309</v>
      </c>
      <c r="D835" s="350">
        <v>5905778.079420724</v>
      </c>
      <c r="E835" s="350">
        <v>5882678.8083770443</v>
      </c>
      <c r="F835" s="350">
        <v>5854966.2879970279</v>
      </c>
      <c r="G835" s="350">
        <v>5820094.9138989635</v>
      </c>
      <c r="H835" s="348">
        <v>29390655.68666089</v>
      </c>
      <c r="I835" s="369"/>
      <c r="J835" s="350">
        <v>18879667.102105461</v>
      </c>
      <c r="K835" s="350">
        <v>18468597.116504166</v>
      </c>
      <c r="L835" s="350">
        <v>18046517.718203973</v>
      </c>
      <c r="M835" s="350">
        <v>17585698.658441029</v>
      </c>
      <c r="N835" s="350">
        <v>17062894.972835965</v>
      </c>
      <c r="O835" s="348">
        <v>90043375.568090588</v>
      </c>
      <c r="P835" s="369"/>
      <c r="Q835" s="350">
        <f t="shared" si="333"/>
        <v>12952529.50513833</v>
      </c>
      <c r="R835" s="350">
        <f t="shared" si="334"/>
        <v>12562819.037083443</v>
      </c>
      <c r="S835" s="350">
        <f t="shared" si="335"/>
        <v>12163838.909826929</v>
      </c>
      <c r="T835" s="350">
        <f t="shared" si="336"/>
        <v>11730732.370444002</v>
      </c>
      <c r="U835" s="350">
        <f t="shared" si="337"/>
        <v>11242800.058937002</v>
      </c>
      <c r="V835" s="350">
        <f t="shared" si="338"/>
        <v>60652719.881429702</v>
      </c>
      <c r="W835" s="365"/>
      <c r="X835" s="377">
        <f t="shared" si="316"/>
        <v>0</v>
      </c>
      <c r="Y835" s="377">
        <f t="shared" si="317"/>
        <v>0</v>
      </c>
      <c r="Z835" s="377">
        <f t="shared" si="318"/>
        <v>0</v>
      </c>
      <c r="AA835" s="377">
        <f t="shared" si="319"/>
        <v>0</v>
      </c>
      <c r="AB835" s="377">
        <f t="shared" si="320"/>
        <v>0</v>
      </c>
      <c r="AC835" s="377">
        <f t="shared" si="321"/>
        <v>0</v>
      </c>
      <c r="AD835" s="376"/>
      <c r="AE835" s="332">
        <v>820</v>
      </c>
      <c r="AF835" s="350">
        <v>272387.77697614889</v>
      </c>
      <c r="AG835" s="350">
        <v>271406.17811724503</v>
      </c>
      <c r="AH835" s="350">
        <v>270344.62707571412</v>
      </c>
      <c r="AI835" s="350">
        <v>269071.06935966213</v>
      </c>
      <c r="AJ835" s="350">
        <v>267468.51907037327</v>
      </c>
      <c r="AK835" s="348">
        <v>1350678.1705991435</v>
      </c>
      <c r="AL835" s="369"/>
      <c r="AM835" s="350">
        <v>8212544.2238508277</v>
      </c>
      <c r="AN835" s="350">
        <v>8140715.6424948666</v>
      </c>
      <c r="AO835" s="350">
        <v>8061913.4040231053</v>
      </c>
      <c r="AP835" s="350">
        <v>7960619.7907265332</v>
      </c>
      <c r="AQ835" s="350">
        <v>7823554.8264336418</v>
      </c>
      <c r="AR835" s="348">
        <v>40199347.887528978</v>
      </c>
      <c r="AS835" s="369"/>
      <c r="AT835" s="350">
        <f t="shared" si="339"/>
        <v>7940156.4468746791</v>
      </c>
      <c r="AU835" s="350">
        <f t="shared" si="322"/>
        <v>7869309.4643776212</v>
      </c>
      <c r="AV835" s="350">
        <f t="shared" si="323"/>
        <v>7791568.7769473912</v>
      </c>
      <c r="AW835" s="350">
        <f t="shared" si="324"/>
        <v>7691548.7213668711</v>
      </c>
      <c r="AX835" s="350">
        <f t="shared" si="325"/>
        <v>7556086.3073632689</v>
      </c>
      <c r="AY835" s="350">
        <f t="shared" si="326"/>
        <v>38848669.716929838</v>
      </c>
      <c r="AZ835" s="365"/>
      <c r="BA835" s="377">
        <f t="shared" si="327"/>
        <v>0</v>
      </c>
      <c r="BB835" s="377">
        <f t="shared" si="328"/>
        <v>0</v>
      </c>
      <c r="BC835" s="377">
        <f t="shared" si="329"/>
        <v>0</v>
      </c>
      <c r="BD835" s="377">
        <f t="shared" si="330"/>
        <v>0</v>
      </c>
      <c r="BE835" s="377">
        <f t="shared" si="331"/>
        <v>0</v>
      </c>
      <c r="BF835" s="377">
        <f t="shared" si="332"/>
        <v>0</v>
      </c>
      <c r="BG835" s="328"/>
    </row>
    <row r="836" spans="2:59">
      <c r="B836" s="332">
        <v>821</v>
      </c>
      <c r="C836" s="350">
        <v>5411038.155795224</v>
      </c>
      <c r="D836" s="350">
        <v>5391538.4963825373</v>
      </c>
      <c r="E836" s="350">
        <v>5370450.5707281101</v>
      </c>
      <c r="F836" s="350">
        <v>5345151.08970269</v>
      </c>
      <c r="G836" s="350">
        <v>5313316.1048212554</v>
      </c>
      <c r="H836" s="348">
        <v>26831494.41742982</v>
      </c>
      <c r="I836" s="369"/>
      <c r="J836" s="350">
        <v>18502740.444157019</v>
      </c>
      <c r="K836" s="350">
        <v>18118332.219911993</v>
      </c>
      <c r="L836" s="350">
        <v>17722757.533010483</v>
      </c>
      <c r="M836" s="350">
        <v>17288243.732614383</v>
      </c>
      <c r="N836" s="350">
        <v>16791463.355565786</v>
      </c>
      <c r="O836" s="348">
        <v>88423537.285259664</v>
      </c>
      <c r="P836" s="369"/>
      <c r="Q836" s="350">
        <f t="shared" si="333"/>
        <v>13091702.288361795</v>
      </c>
      <c r="R836" s="350">
        <f t="shared" si="334"/>
        <v>12726793.723529454</v>
      </c>
      <c r="S836" s="350">
        <f t="shared" si="335"/>
        <v>12352306.962282373</v>
      </c>
      <c r="T836" s="350">
        <f t="shared" si="336"/>
        <v>11943092.642911693</v>
      </c>
      <c r="U836" s="350">
        <f t="shared" si="337"/>
        <v>11478147.250744531</v>
      </c>
      <c r="V836" s="350">
        <f t="shared" si="338"/>
        <v>61592042.867829844</v>
      </c>
      <c r="W836" s="365"/>
      <c r="X836" s="377">
        <f t="shared" si="316"/>
        <v>0</v>
      </c>
      <c r="Y836" s="377">
        <f t="shared" si="317"/>
        <v>0</v>
      </c>
      <c r="Z836" s="377">
        <f t="shared" si="318"/>
        <v>0</v>
      </c>
      <c r="AA836" s="377">
        <f t="shared" si="319"/>
        <v>0</v>
      </c>
      <c r="AB836" s="377">
        <f t="shared" si="320"/>
        <v>0</v>
      </c>
      <c r="AC836" s="377">
        <f t="shared" si="321"/>
        <v>0</v>
      </c>
      <c r="AD836" s="376"/>
      <c r="AE836" s="332">
        <v>821</v>
      </c>
      <c r="AF836" s="350">
        <v>419126.9620557648</v>
      </c>
      <c r="AG836" s="350">
        <v>417616.56187460769</v>
      </c>
      <c r="AH836" s="350">
        <v>415983.13812834705</v>
      </c>
      <c r="AI836" s="350">
        <v>414023.49668460398</v>
      </c>
      <c r="AJ836" s="350">
        <v>411557.62967049744</v>
      </c>
      <c r="AK836" s="348">
        <v>2078307.7884138208</v>
      </c>
      <c r="AL836" s="369"/>
      <c r="AM836" s="350">
        <v>11248630.391482459</v>
      </c>
      <c r="AN836" s="350">
        <v>11148111.475609876</v>
      </c>
      <c r="AO836" s="350">
        <v>11038084.438641511</v>
      </c>
      <c r="AP836" s="350">
        <v>10897363.824180974</v>
      </c>
      <c r="AQ836" s="350">
        <v>10707823.461714657</v>
      </c>
      <c r="AR836" s="348">
        <v>55040013.591629475</v>
      </c>
      <c r="AS836" s="369"/>
      <c r="AT836" s="350">
        <f t="shared" si="339"/>
        <v>10829503.429426694</v>
      </c>
      <c r="AU836" s="350">
        <f t="shared" si="322"/>
        <v>10730494.913735269</v>
      </c>
      <c r="AV836" s="350">
        <f t="shared" si="323"/>
        <v>10622101.300513163</v>
      </c>
      <c r="AW836" s="350">
        <f t="shared" si="324"/>
        <v>10483340.32749637</v>
      </c>
      <c r="AX836" s="350">
        <f t="shared" si="325"/>
        <v>10296265.83204416</v>
      </c>
      <c r="AY836" s="350">
        <f t="shared" si="326"/>
        <v>52961705.803215653</v>
      </c>
      <c r="AZ836" s="365"/>
      <c r="BA836" s="377">
        <f t="shared" si="327"/>
        <v>0</v>
      </c>
      <c r="BB836" s="377">
        <f t="shared" si="328"/>
        <v>0</v>
      </c>
      <c r="BC836" s="377">
        <f t="shared" si="329"/>
        <v>0</v>
      </c>
      <c r="BD836" s="377">
        <f t="shared" si="330"/>
        <v>0</v>
      </c>
      <c r="BE836" s="377">
        <f t="shared" si="331"/>
        <v>0</v>
      </c>
      <c r="BF836" s="377">
        <f t="shared" si="332"/>
        <v>0</v>
      </c>
      <c r="BG836" s="328"/>
    </row>
    <row r="837" spans="2:59">
      <c r="B837" s="332">
        <v>822</v>
      </c>
      <c r="C837" s="350">
        <v>5418969.8950433061</v>
      </c>
      <c r="D837" s="350">
        <v>5399441.6521667019</v>
      </c>
      <c r="E837" s="350">
        <v>5378322.8148973929</v>
      </c>
      <c r="F837" s="350">
        <v>5352986.2487728074</v>
      </c>
      <c r="G837" s="350">
        <v>5321104.5987613592</v>
      </c>
      <c r="H837" s="348">
        <v>26870825.209641568</v>
      </c>
      <c r="I837" s="369"/>
      <c r="J837" s="350">
        <v>17250917.214859281</v>
      </c>
      <c r="K837" s="350">
        <v>16875163.332149524</v>
      </c>
      <c r="L837" s="350">
        <v>16489352.819610732</v>
      </c>
      <c r="M837" s="350">
        <v>16068152.463734543</v>
      </c>
      <c r="N837" s="350">
        <v>15590326.99597805</v>
      </c>
      <c r="O837" s="348">
        <v>82273912.826332122</v>
      </c>
      <c r="P837" s="369"/>
      <c r="Q837" s="350">
        <f t="shared" si="333"/>
        <v>11831947.319815975</v>
      </c>
      <c r="R837" s="350">
        <f t="shared" si="334"/>
        <v>11475721.679982822</v>
      </c>
      <c r="S837" s="350">
        <f t="shared" si="335"/>
        <v>11111030.004713338</v>
      </c>
      <c r="T837" s="350">
        <f t="shared" si="336"/>
        <v>10715166.214961736</v>
      </c>
      <c r="U837" s="350">
        <f t="shared" si="337"/>
        <v>10269222.397216691</v>
      </c>
      <c r="V837" s="350">
        <f t="shared" si="338"/>
        <v>55403087.616690554</v>
      </c>
      <c r="W837" s="365"/>
      <c r="X837" s="377">
        <f t="shared" si="316"/>
        <v>0</v>
      </c>
      <c r="Y837" s="377">
        <f t="shared" si="317"/>
        <v>0</v>
      </c>
      <c r="Z837" s="377">
        <f t="shared" si="318"/>
        <v>0</v>
      </c>
      <c r="AA837" s="377">
        <f t="shared" si="319"/>
        <v>0</v>
      </c>
      <c r="AB837" s="377">
        <f t="shared" si="320"/>
        <v>0</v>
      </c>
      <c r="AC837" s="377">
        <f t="shared" si="321"/>
        <v>0</v>
      </c>
      <c r="AD837" s="376"/>
      <c r="AE837" s="332">
        <v>822</v>
      </c>
      <c r="AF837" s="350">
        <v>288181.18124974234</v>
      </c>
      <c r="AG837" s="350">
        <v>287142.66798819799</v>
      </c>
      <c r="AH837" s="350">
        <v>286019.56681052642</v>
      </c>
      <c r="AI837" s="350">
        <v>284672.16653039667</v>
      </c>
      <c r="AJ837" s="350">
        <v>282976.69825165725</v>
      </c>
      <c r="AK837" s="348">
        <v>1428992.2808305207</v>
      </c>
      <c r="AL837" s="369"/>
      <c r="AM837" s="350">
        <v>7682484.9991405085</v>
      </c>
      <c r="AN837" s="350">
        <v>7613743.9914750988</v>
      </c>
      <c r="AO837" s="350">
        <v>7538511.0439365469</v>
      </c>
      <c r="AP837" s="350">
        <v>7442320.002094687</v>
      </c>
      <c r="AQ837" s="350">
        <v>7312793.8742399672</v>
      </c>
      <c r="AR837" s="348">
        <v>37589853.910886809</v>
      </c>
      <c r="AS837" s="369"/>
      <c r="AT837" s="350">
        <f t="shared" si="339"/>
        <v>7394303.8178907661</v>
      </c>
      <c r="AU837" s="350">
        <f t="shared" si="322"/>
        <v>7326601.3234869009</v>
      </c>
      <c r="AV837" s="350">
        <f t="shared" si="323"/>
        <v>7252491.4771260209</v>
      </c>
      <c r="AW837" s="350">
        <f t="shared" si="324"/>
        <v>7157647.8355642902</v>
      </c>
      <c r="AX837" s="350">
        <f t="shared" si="325"/>
        <v>7029817.17598831</v>
      </c>
      <c r="AY837" s="350">
        <f t="shared" si="326"/>
        <v>36160861.630056292</v>
      </c>
      <c r="AZ837" s="365"/>
      <c r="BA837" s="377">
        <f t="shared" si="327"/>
        <v>0</v>
      </c>
      <c r="BB837" s="377">
        <f t="shared" si="328"/>
        <v>0</v>
      </c>
      <c r="BC837" s="377">
        <f t="shared" si="329"/>
        <v>0</v>
      </c>
      <c r="BD837" s="377">
        <f t="shared" si="330"/>
        <v>0</v>
      </c>
      <c r="BE837" s="377">
        <f t="shared" si="331"/>
        <v>0</v>
      </c>
      <c r="BF837" s="377">
        <f t="shared" si="332"/>
        <v>0</v>
      </c>
      <c r="BG837" s="328"/>
    </row>
    <row r="838" spans="2:59">
      <c r="B838" s="332">
        <v>823</v>
      </c>
      <c r="C838" s="350">
        <v>7901685.8761326978</v>
      </c>
      <c r="D838" s="350">
        <v>7873210.7150020003</v>
      </c>
      <c r="E838" s="350">
        <v>7842416.2242771378</v>
      </c>
      <c r="F838" s="350">
        <v>7805471.6406064499</v>
      </c>
      <c r="G838" s="350">
        <v>7758983.3248411808</v>
      </c>
      <c r="H838" s="348">
        <v>39181767.780859463</v>
      </c>
      <c r="I838" s="369"/>
      <c r="J838" s="350">
        <v>25697437.697976701</v>
      </c>
      <c r="K838" s="350">
        <v>25145617.791152887</v>
      </c>
      <c r="L838" s="350">
        <v>24578655.662849784</v>
      </c>
      <c r="M838" s="350">
        <v>23958558.692648239</v>
      </c>
      <c r="N838" s="350">
        <v>23253459.875065375</v>
      </c>
      <c r="O838" s="348">
        <v>122633729.71969299</v>
      </c>
      <c r="P838" s="369"/>
      <c r="Q838" s="350">
        <f t="shared" si="333"/>
        <v>17795751.821844004</v>
      </c>
      <c r="R838" s="350">
        <f t="shared" si="334"/>
        <v>17272407.076150887</v>
      </c>
      <c r="S838" s="350">
        <f t="shared" si="335"/>
        <v>16736239.438572645</v>
      </c>
      <c r="T838" s="350">
        <f t="shared" si="336"/>
        <v>16153087.05204179</v>
      </c>
      <c r="U838" s="350">
        <f t="shared" si="337"/>
        <v>15494476.550224194</v>
      </c>
      <c r="V838" s="350">
        <f t="shared" si="338"/>
        <v>83451961.938833535</v>
      </c>
      <c r="W838" s="365"/>
      <c r="X838" s="377">
        <f t="shared" si="316"/>
        <v>0</v>
      </c>
      <c r="Y838" s="377">
        <f t="shared" si="317"/>
        <v>0</v>
      </c>
      <c r="Z838" s="377">
        <f t="shared" si="318"/>
        <v>0</v>
      </c>
      <c r="AA838" s="377">
        <f t="shared" si="319"/>
        <v>0</v>
      </c>
      <c r="AB838" s="377">
        <f t="shared" si="320"/>
        <v>0</v>
      </c>
      <c r="AC838" s="377">
        <f t="shared" si="321"/>
        <v>0</v>
      </c>
      <c r="AD838" s="376"/>
      <c r="AE838" s="332">
        <v>823</v>
      </c>
      <c r="AF838" s="350">
        <v>508266.7033023134</v>
      </c>
      <c r="AG838" s="350">
        <v>506435.07186305075</v>
      </c>
      <c r="AH838" s="350">
        <v>504454.25225999911</v>
      </c>
      <c r="AI838" s="350">
        <v>502077.83512047515</v>
      </c>
      <c r="AJ838" s="350">
        <v>499087.5285749489</v>
      </c>
      <c r="AK838" s="348">
        <v>2520321.3911207872</v>
      </c>
      <c r="AL838" s="369"/>
      <c r="AM838" s="350">
        <v>14684732.932739479</v>
      </c>
      <c r="AN838" s="350">
        <v>14555313.021072697</v>
      </c>
      <c r="AO838" s="350">
        <v>14413443.711274773</v>
      </c>
      <c r="AP838" s="350">
        <v>14231409.782019176</v>
      </c>
      <c r="AQ838" s="350">
        <v>13985494.648291502</v>
      </c>
      <c r="AR838" s="348">
        <v>71870394.095397621</v>
      </c>
      <c r="AS838" s="369"/>
      <c r="AT838" s="350">
        <f t="shared" si="339"/>
        <v>14176466.229437167</v>
      </c>
      <c r="AU838" s="350">
        <f t="shared" si="322"/>
        <v>14048877.949209645</v>
      </c>
      <c r="AV838" s="350">
        <f t="shared" si="323"/>
        <v>13908989.459014773</v>
      </c>
      <c r="AW838" s="350">
        <f t="shared" si="324"/>
        <v>13729331.946898701</v>
      </c>
      <c r="AX838" s="350">
        <f t="shared" si="325"/>
        <v>13486407.119716553</v>
      </c>
      <c r="AY838" s="350">
        <f t="shared" si="326"/>
        <v>69350072.70427683</v>
      </c>
      <c r="AZ838" s="365"/>
      <c r="BA838" s="377">
        <f t="shared" si="327"/>
        <v>0</v>
      </c>
      <c r="BB838" s="377">
        <f t="shared" si="328"/>
        <v>0</v>
      </c>
      <c r="BC838" s="377">
        <f t="shared" si="329"/>
        <v>0</v>
      </c>
      <c r="BD838" s="377">
        <f t="shared" si="330"/>
        <v>0</v>
      </c>
      <c r="BE838" s="377">
        <f t="shared" si="331"/>
        <v>0</v>
      </c>
      <c r="BF838" s="377">
        <f t="shared" si="332"/>
        <v>0</v>
      </c>
      <c r="BG838" s="328"/>
    </row>
    <row r="839" spans="2:59">
      <c r="B839" s="332">
        <v>824</v>
      </c>
      <c r="C839" s="350">
        <v>7138952.8660419509</v>
      </c>
      <c r="D839" s="350">
        <v>7113226.3519344945</v>
      </c>
      <c r="E839" s="350">
        <v>7085404.3882086771</v>
      </c>
      <c r="F839" s="350">
        <v>7052025.9869896136</v>
      </c>
      <c r="G839" s="350">
        <v>7010025.0899313809</v>
      </c>
      <c r="H839" s="348">
        <v>35399634.683106117</v>
      </c>
      <c r="I839" s="369"/>
      <c r="J839" s="350">
        <v>22818431.311010864</v>
      </c>
      <c r="K839" s="350">
        <v>22322749.453177683</v>
      </c>
      <c r="L839" s="350">
        <v>21813737.916321103</v>
      </c>
      <c r="M839" s="350">
        <v>21257844.178730372</v>
      </c>
      <c r="N839" s="350">
        <v>20626939.818708234</v>
      </c>
      <c r="O839" s="348">
        <v>108839702.67794824</v>
      </c>
      <c r="P839" s="369"/>
      <c r="Q839" s="350">
        <f t="shared" si="333"/>
        <v>15679478.444968913</v>
      </c>
      <c r="R839" s="350">
        <f t="shared" si="334"/>
        <v>15209523.101243189</v>
      </c>
      <c r="S839" s="350">
        <f t="shared" si="335"/>
        <v>14728333.528112426</v>
      </c>
      <c r="T839" s="350">
        <f t="shared" si="336"/>
        <v>14205818.191740759</v>
      </c>
      <c r="U839" s="350">
        <f t="shared" si="337"/>
        <v>13616914.728776854</v>
      </c>
      <c r="V839" s="350">
        <f t="shared" si="338"/>
        <v>73440067.994842112</v>
      </c>
      <c r="W839" s="365"/>
      <c r="X839" s="377">
        <f t="shared" si="316"/>
        <v>0</v>
      </c>
      <c r="Y839" s="377">
        <f t="shared" si="317"/>
        <v>0</v>
      </c>
      <c r="Z839" s="377">
        <f t="shared" si="318"/>
        <v>0</v>
      </c>
      <c r="AA839" s="377">
        <f t="shared" si="319"/>
        <v>0</v>
      </c>
      <c r="AB839" s="377">
        <f t="shared" si="320"/>
        <v>0</v>
      </c>
      <c r="AC839" s="377">
        <f t="shared" si="321"/>
        <v>0</v>
      </c>
      <c r="AD839" s="376"/>
      <c r="AE839" s="332">
        <v>824</v>
      </c>
      <c r="AF839" s="350">
        <v>326029.59426347603</v>
      </c>
      <c r="AG839" s="350">
        <v>324854.68736695283</v>
      </c>
      <c r="AH839" s="350">
        <v>323584.0831599565</v>
      </c>
      <c r="AI839" s="350">
        <v>322059.72142080293</v>
      </c>
      <c r="AJ839" s="350">
        <v>320141.57800627867</v>
      </c>
      <c r="AK839" s="348">
        <v>1616669.664217467</v>
      </c>
      <c r="AL839" s="369"/>
      <c r="AM839" s="350">
        <v>11139943.366005378</v>
      </c>
      <c r="AN839" s="350">
        <v>11044527.172136595</v>
      </c>
      <c r="AO839" s="350">
        <v>10939610.361885546</v>
      </c>
      <c r="AP839" s="350">
        <v>10804078.745497994</v>
      </c>
      <c r="AQ839" s="350">
        <v>10619858.930011025</v>
      </c>
      <c r="AR839" s="348">
        <v>54548018.575536542</v>
      </c>
      <c r="AS839" s="369"/>
      <c r="AT839" s="350">
        <f t="shared" si="339"/>
        <v>10813913.771741902</v>
      </c>
      <c r="AU839" s="350">
        <f t="shared" si="322"/>
        <v>10719672.484769642</v>
      </c>
      <c r="AV839" s="350">
        <f t="shared" si="323"/>
        <v>10616026.278725589</v>
      </c>
      <c r="AW839" s="350">
        <f t="shared" si="324"/>
        <v>10482019.024077192</v>
      </c>
      <c r="AX839" s="350">
        <f t="shared" si="325"/>
        <v>10299717.352004746</v>
      </c>
      <c r="AY839" s="350">
        <f t="shared" si="326"/>
        <v>52931348.911319077</v>
      </c>
      <c r="AZ839" s="365"/>
      <c r="BA839" s="377">
        <f t="shared" si="327"/>
        <v>0</v>
      </c>
      <c r="BB839" s="377">
        <f t="shared" si="328"/>
        <v>0</v>
      </c>
      <c r="BC839" s="377">
        <f t="shared" si="329"/>
        <v>0</v>
      </c>
      <c r="BD839" s="377">
        <f t="shared" si="330"/>
        <v>0</v>
      </c>
      <c r="BE839" s="377">
        <f t="shared" si="331"/>
        <v>0</v>
      </c>
      <c r="BF839" s="377">
        <f t="shared" si="332"/>
        <v>0</v>
      </c>
      <c r="BG839" s="328"/>
    </row>
    <row r="840" spans="2:59">
      <c r="B840" s="332">
        <v>825</v>
      </c>
      <c r="C840" s="350">
        <v>7825481.9970159847</v>
      </c>
      <c r="D840" s="350">
        <v>7797281.4504132066</v>
      </c>
      <c r="E840" s="350">
        <v>7766783.9418368917</v>
      </c>
      <c r="F840" s="350">
        <v>7730195.6518271007</v>
      </c>
      <c r="G840" s="350">
        <v>7684155.6694998425</v>
      </c>
      <c r="H840" s="348">
        <v>38803898.710593022</v>
      </c>
      <c r="I840" s="369"/>
      <c r="J840" s="350">
        <v>23327999.196812756</v>
      </c>
      <c r="K840" s="350">
        <v>22796792.273952447</v>
      </c>
      <c r="L840" s="350">
        <v>22252457.389754746</v>
      </c>
      <c r="M840" s="350">
        <v>21661482.583356388</v>
      </c>
      <c r="N840" s="350">
        <v>20995835.591461949</v>
      </c>
      <c r="O840" s="348">
        <v>111034567.03533828</v>
      </c>
      <c r="P840" s="369"/>
      <c r="Q840" s="350">
        <f t="shared" si="333"/>
        <v>15502517.199796772</v>
      </c>
      <c r="R840" s="350">
        <f t="shared" si="334"/>
        <v>14999510.82353924</v>
      </c>
      <c r="S840" s="350">
        <f t="shared" si="335"/>
        <v>14485673.447917854</v>
      </c>
      <c r="T840" s="350">
        <f t="shared" si="336"/>
        <v>13931286.931529287</v>
      </c>
      <c r="U840" s="350">
        <f t="shared" si="337"/>
        <v>13311679.921962107</v>
      </c>
      <c r="V840" s="350">
        <f t="shared" si="338"/>
        <v>72230668.324745268</v>
      </c>
      <c r="W840" s="365"/>
      <c r="X840" s="377">
        <f t="shared" si="316"/>
        <v>0</v>
      </c>
      <c r="Y840" s="377">
        <f t="shared" si="317"/>
        <v>0</v>
      </c>
      <c r="Z840" s="377">
        <f t="shared" si="318"/>
        <v>0</v>
      </c>
      <c r="AA840" s="377">
        <f t="shared" si="319"/>
        <v>0</v>
      </c>
      <c r="AB840" s="377">
        <f t="shared" si="320"/>
        <v>0</v>
      </c>
      <c r="AC840" s="377">
        <f t="shared" si="321"/>
        <v>0</v>
      </c>
      <c r="AD840" s="376"/>
      <c r="AE840" s="332">
        <v>825</v>
      </c>
      <c r="AF840" s="350">
        <v>488805.19009756861</v>
      </c>
      <c r="AG840" s="350">
        <v>487043.69175813301</v>
      </c>
      <c r="AH840" s="350">
        <v>485138.71766416251</v>
      </c>
      <c r="AI840" s="350">
        <v>482853.29344870837</v>
      </c>
      <c r="AJ840" s="350">
        <v>479977.485629823</v>
      </c>
      <c r="AK840" s="348">
        <v>2423818.3785983957</v>
      </c>
      <c r="AL840" s="369"/>
      <c r="AM840" s="350">
        <v>14855284.679682095</v>
      </c>
      <c r="AN840" s="350">
        <v>14725538.482142339</v>
      </c>
      <c r="AO840" s="350">
        <v>14583174.265564138</v>
      </c>
      <c r="AP840" s="350">
        <v>14400116.910546606</v>
      </c>
      <c r="AQ840" s="350">
        <v>14152339.528402949</v>
      </c>
      <c r="AR840" s="348">
        <v>72716453.866338134</v>
      </c>
      <c r="AS840" s="369"/>
      <c r="AT840" s="350">
        <f t="shared" si="339"/>
        <v>14366479.489584526</v>
      </c>
      <c r="AU840" s="350">
        <f t="shared" si="322"/>
        <v>14238494.790384205</v>
      </c>
      <c r="AV840" s="350">
        <f t="shared" si="323"/>
        <v>14098035.547899976</v>
      </c>
      <c r="AW840" s="350">
        <f t="shared" si="324"/>
        <v>13917263.617097897</v>
      </c>
      <c r="AX840" s="350">
        <f t="shared" si="325"/>
        <v>13672362.042773126</v>
      </c>
      <c r="AY840" s="350">
        <f t="shared" si="326"/>
        <v>70292635.487739742</v>
      </c>
      <c r="AZ840" s="365"/>
      <c r="BA840" s="377">
        <f t="shared" si="327"/>
        <v>0</v>
      </c>
      <c r="BB840" s="377">
        <f t="shared" si="328"/>
        <v>0</v>
      </c>
      <c r="BC840" s="377">
        <f t="shared" si="329"/>
        <v>0</v>
      </c>
      <c r="BD840" s="377">
        <f t="shared" si="330"/>
        <v>0</v>
      </c>
      <c r="BE840" s="377">
        <f t="shared" si="331"/>
        <v>0</v>
      </c>
      <c r="BF840" s="377">
        <f t="shared" si="332"/>
        <v>0</v>
      </c>
      <c r="BG840" s="328"/>
    </row>
    <row r="841" spans="2:59">
      <c r="B841" s="332">
        <v>826</v>
      </c>
      <c r="C841" s="350">
        <v>4864709.0749103548</v>
      </c>
      <c r="D841" s="350">
        <v>4847178.2116321204</v>
      </c>
      <c r="E841" s="350">
        <v>4828219.4424738837</v>
      </c>
      <c r="F841" s="350">
        <v>4805474.3404451609</v>
      </c>
      <c r="G841" s="350">
        <v>4776853.5960716456</v>
      </c>
      <c r="H841" s="348">
        <v>24122434.665533166</v>
      </c>
      <c r="I841" s="369"/>
      <c r="J841" s="350">
        <v>17154205.197940256</v>
      </c>
      <c r="K841" s="350">
        <v>16804864.015298173</v>
      </c>
      <c r="L841" s="350">
        <v>16445026.249557864</v>
      </c>
      <c r="M841" s="350">
        <v>16048715.706735797</v>
      </c>
      <c r="N841" s="350">
        <v>15594096.293254923</v>
      </c>
      <c r="O841" s="348">
        <v>82046907.462787017</v>
      </c>
      <c r="P841" s="369"/>
      <c r="Q841" s="350">
        <f t="shared" si="333"/>
        <v>12289496.123029903</v>
      </c>
      <c r="R841" s="350">
        <f t="shared" si="334"/>
        <v>11957685.803666051</v>
      </c>
      <c r="S841" s="350">
        <f t="shared" si="335"/>
        <v>11616806.807083979</v>
      </c>
      <c r="T841" s="350">
        <f t="shared" si="336"/>
        <v>11243241.366290636</v>
      </c>
      <c r="U841" s="350">
        <f t="shared" si="337"/>
        <v>10817242.697183277</v>
      </c>
      <c r="V841" s="350">
        <f t="shared" si="338"/>
        <v>57924472.797253847</v>
      </c>
      <c r="W841" s="365"/>
      <c r="X841" s="377">
        <f t="shared" si="316"/>
        <v>0</v>
      </c>
      <c r="Y841" s="377">
        <f t="shared" si="317"/>
        <v>0</v>
      </c>
      <c r="Z841" s="377">
        <f t="shared" si="318"/>
        <v>0</v>
      </c>
      <c r="AA841" s="377">
        <f t="shared" si="319"/>
        <v>0</v>
      </c>
      <c r="AB841" s="377">
        <f t="shared" si="320"/>
        <v>0</v>
      </c>
      <c r="AC841" s="377">
        <f t="shared" si="321"/>
        <v>0</v>
      </c>
      <c r="AD841" s="376"/>
      <c r="AE841" s="332">
        <v>826</v>
      </c>
      <c r="AF841" s="350">
        <v>448669.04696500482</v>
      </c>
      <c r="AG841" s="350">
        <v>447052.18651181017</v>
      </c>
      <c r="AH841" s="350">
        <v>445303.63120071765</v>
      </c>
      <c r="AI841" s="350">
        <v>443205.86479923187</v>
      </c>
      <c r="AJ841" s="350">
        <v>440566.19161348633</v>
      </c>
      <c r="AK841" s="348">
        <v>2224796.9210902508</v>
      </c>
      <c r="AL841" s="369"/>
      <c r="AM841" s="350">
        <v>15970148.267012736</v>
      </c>
      <c r="AN841" s="350">
        <v>15834229.011632174</v>
      </c>
      <c r="AO841" s="350">
        <v>15684671.996025758</v>
      </c>
      <c r="AP841" s="350">
        <v>15491180.001090629</v>
      </c>
      <c r="AQ841" s="350">
        <v>15227817.401539179</v>
      </c>
      <c r="AR841" s="348">
        <v>78208046.677300483</v>
      </c>
      <c r="AS841" s="369"/>
      <c r="AT841" s="350">
        <f t="shared" si="339"/>
        <v>15521479.220047731</v>
      </c>
      <c r="AU841" s="350">
        <f t="shared" si="322"/>
        <v>15387176.825120363</v>
      </c>
      <c r="AV841" s="350">
        <f t="shared" si="323"/>
        <v>15239368.36482504</v>
      </c>
      <c r="AW841" s="350">
        <f t="shared" si="324"/>
        <v>15047974.136291398</v>
      </c>
      <c r="AX841" s="350">
        <f t="shared" si="325"/>
        <v>14787251.209925693</v>
      </c>
      <c r="AY841" s="350">
        <f t="shared" si="326"/>
        <v>75983249.756210238</v>
      </c>
      <c r="AZ841" s="365"/>
      <c r="BA841" s="377">
        <f t="shared" si="327"/>
        <v>0</v>
      </c>
      <c r="BB841" s="377">
        <f t="shared" si="328"/>
        <v>0</v>
      </c>
      <c r="BC841" s="377">
        <f t="shared" si="329"/>
        <v>0</v>
      </c>
      <c r="BD841" s="377">
        <f t="shared" si="330"/>
        <v>0</v>
      </c>
      <c r="BE841" s="377">
        <f t="shared" si="331"/>
        <v>0</v>
      </c>
      <c r="BF841" s="377">
        <f t="shared" si="332"/>
        <v>0</v>
      </c>
      <c r="BG841" s="328"/>
    </row>
    <row r="842" spans="2:59">
      <c r="B842" s="332">
        <v>827</v>
      </c>
      <c r="C842" s="350">
        <v>5315802.2039483376</v>
      </c>
      <c r="D842" s="350">
        <v>5296645.7445965987</v>
      </c>
      <c r="E842" s="350">
        <v>5275928.9729821812</v>
      </c>
      <c r="F842" s="350">
        <v>5251074.7706791274</v>
      </c>
      <c r="G842" s="350">
        <v>5219800.0914174141</v>
      </c>
      <c r="H842" s="348">
        <v>26359251.783623658</v>
      </c>
      <c r="I842" s="369"/>
      <c r="J842" s="350">
        <v>17902569.983790621</v>
      </c>
      <c r="K842" s="350">
        <v>17526906.003738403</v>
      </c>
      <c r="L842" s="350">
        <v>17140513.825262748</v>
      </c>
      <c r="M842" s="350">
        <v>16716641.950786676</v>
      </c>
      <c r="N842" s="350">
        <v>16232829.901959963</v>
      </c>
      <c r="O842" s="348">
        <v>85519461.6655384</v>
      </c>
      <c r="P842" s="369"/>
      <c r="Q842" s="350">
        <f t="shared" si="333"/>
        <v>12586767.779842284</v>
      </c>
      <c r="R842" s="350">
        <f t="shared" si="334"/>
        <v>12230260.259141805</v>
      </c>
      <c r="S842" s="350">
        <f t="shared" si="335"/>
        <v>11864584.852280566</v>
      </c>
      <c r="T842" s="350">
        <f t="shared" si="336"/>
        <v>11465567.180107549</v>
      </c>
      <c r="U842" s="350">
        <f t="shared" si="337"/>
        <v>11013029.81054255</v>
      </c>
      <c r="V842" s="350">
        <f t="shared" si="338"/>
        <v>59160209.881914742</v>
      </c>
      <c r="W842" s="365"/>
      <c r="X842" s="377">
        <f t="shared" si="316"/>
        <v>0</v>
      </c>
      <c r="Y842" s="377">
        <f t="shared" si="317"/>
        <v>0</v>
      </c>
      <c r="Z842" s="377">
        <f t="shared" si="318"/>
        <v>0</v>
      </c>
      <c r="AA842" s="377">
        <f t="shared" si="319"/>
        <v>0</v>
      </c>
      <c r="AB842" s="377">
        <f t="shared" si="320"/>
        <v>0</v>
      </c>
      <c r="AC842" s="377">
        <f t="shared" si="321"/>
        <v>0</v>
      </c>
      <c r="AD842" s="376"/>
      <c r="AE842" s="332">
        <v>827</v>
      </c>
      <c r="AF842" s="350">
        <v>538470.63442334544</v>
      </c>
      <c r="AG842" s="350">
        <v>536530.15762893541</v>
      </c>
      <c r="AH842" s="350">
        <v>534431.62711060024</v>
      </c>
      <c r="AI842" s="350">
        <v>531913.99053031683</v>
      </c>
      <c r="AJ842" s="350">
        <v>528745.98394592328</v>
      </c>
      <c r="AK842" s="348">
        <v>2670092.3936391212</v>
      </c>
      <c r="AL842" s="369"/>
      <c r="AM842" s="350">
        <v>17590780.72985287</v>
      </c>
      <c r="AN842" s="350">
        <v>17439014.524203736</v>
      </c>
      <c r="AO842" s="350">
        <v>17272268.557110596</v>
      </c>
      <c r="AP842" s="350">
        <v>17057237.419782948</v>
      </c>
      <c r="AQ842" s="350">
        <v>16765414.402991952</v>
      </c>
      <c r="AR842" s="348">
        <v>86124715.633942097</v>
      </c>
      <c r="AS842" s="369"/>
      <c r="AT842" s="350">
        <f t="shared" si="339"/>
        <v>17052310.095429525</v>
      </c>
      <c r="AU842" s="350">
        <f t="shared" si="322"/>
        <v>16902484.366574802</v>
      </c>
      <c r="AV842" s="350">
        <f t="shared" si="323"/>
        <v>16737836.929999996</v>
      </c>
      <c r="AW842" s="350">
        <f t="shared" si="324"/>
        <v>16525323.42925263</v>
      </c>
      <c r="AX842" s="350">
        <f t="shared" si="325"/>
        <v>16236668.419046029</v>
      </c>
      <c r="AY842" s="350">
        <f t="shared" si="326"/>
        <v>83454623.24030298</v>
      </c>
      <c r="AZ842" s="365"/>
      <c r="BA842" s="377">
        <f t="shared" si="327"/>
        <v>0</v>
      </c>
      <c r="BB842" s="377">
        <f t="shared" si="328"/>
        <v>0</v>
      </c>
      <c r="BC842" s="377">
        <f t="shared" si="329"/>
        <v>0</v>
      </c>
      <c r="BD842" s="377">
        <f t="shared" si="330"/>
        <v>0</v>
      </c>
      <c r="BE842" s="377">
        <f t="shared" si="331"/>
        <v>0</v>
      </c>
      <c r="BF842" s="377">
        <f t="shared" si="332"/>
        <v>0</v>
      </c>
      <c r="BG842" s="328"/>
    </row>
    <row r="843" spans="2:59">
      <c r="B843" s="332">
        <v>828</v>
      </c>
      <c r="C843" s="350">
        <v>4524904.4860915001</v>
      </c>
      <c r="D843" s="350">
        <v>4508598.1704061786</v>
      </c>
      <c r="E843" s="350">
        <v>4490963.6894343738</v>
      </c>
      <c r="F843" s="350">
        <v>4469807.3545700358</v>
      </c>
      <c r="G843" s="350">
        <v>4443185.7966070073</v>
      </c>
      <c r="H843" s="348">
        <v>22437459.497109096</v>
      </c>
      <c r="I843" s="369"/>
      <c r="J843" s="350">
        <v>14903395.848803161</v>
      </c>
      <c r="K843" s="350">
        <v>14586042.749126006</v>
      </c>
      <c r="L843" s="350">
        <v>14259853.125949081</v>
      </c>
      <c r="M843" s="350">
        <v>13902706.408205274</v>
      </c>
      <c r="N843" s="350">
        <v>13496041.791968668</v>
      </c>
      <c r="O843" s="348">
        <v>71148039.924052194</v>
      </c>
      <c r="P843" s="369"/>
      <c r="Q843" s="350">
        <f t="shared" si="333"/>
        <v>10378491.362711661</v>
      </c>
      <c r="R843" s="350">
        <f t="shared" si="334"/>
        <v>10077444.578719828</v>
      </c>
      <c r="S843" s="350">
        <f t="shared" si="335"/>
        <v>9768889.4365147073</v>
      </c>
      <c r="T843" s="350">
        <f t="shared" si="336"/>
        <v>9432899.0536352396</v>
      </c>
      <c r="U843" s="350">
        <f t="shared" si="337"/>
        <v>9052855.9953616597</v>
      </c>
      <c r="V843" s="350">
        <f t="shared" si="338"/>
        <v>48710580.426943094</v>
      </c>
      <c r="W843" s="365"/>
      <c r="X843" s="377">
        <f t="shared" si="316"/>
        <v>0</v>
      </c>
      <c r="Y843" s="377">
        <f t="shared" si="317"/>
        <v>0</v>
      </c>
      <c r="Z843" s="377">
        <f t="shared" si="318"/>
        <v>0</v>
      </c>
      <c r="AA843" s="377">
        <f t="shared" si="319"/>
        <v>0</v>
      </c>
      <c r="AB843" s="377">
        <f t="shared" si="320"/>
        <v>0</v>
      </c>
      <c r="AC843" s="377">
        <f t="shared" si="321"/>
        <v>0</v>
      </c>
      <c r="AD843" s="376"/>
      <c r="AE843" s="332">
        <v>828</v>
      </c>
      <c r="AF843" s="350">
        <v>665026.47459372587</v>
      </c>
      <c r="AG843" s="350">
        <v>662629.93082862429</v>
      </c>
      <c r="AH843" s="350">
        <v>660038.18624086189</v>
      </c>
      <c r="AI843" s="350">
        <v>656928.83380405337</v>
      </c>
      <c r="AJ843" s="350">
        <v>653016.2560038449</v>
      </c>
      <c r="AK843" s="348">
        <v>3297639.6814711103</v>
      </c>
      <c r="AL843" s="369"/>
      <c r="AM843" s="350">
        <v>16097828.839558076</v>
      </c>
      <c r="AN843" s="350">
        <v>15950951.155811554</v>
      </c>
      <c r="AO843" s="350">
        <v>15790528.260397905</v>
      </c>
      <c r="AP843" s="350">
        <v>15586339.532641418</v>
      </c>
      <c r="AQ843" s="350">
        <v>15312534.364630548</v>
      </c>
      <c r="AR843" s="348">
        <v>78738182.1530395</v>
      </c>
      <c r="AS843" s="369"/>
      <c r="AT843" s="350">
        <f t="shared" si="339"/>
        <v>15432802.364964351</v>
      </c>
      <c r="AU843" s="350">
        <f t="shared" si="322"/>
        <v>15288321.22498293</v>
      </c>
      <c r="AV843" s="350">
        <f t="shared" si="323"/>
        <v>15130490.074157044</v>
      </c>
      <c r="AW843" s="350">
        <f t="shared" si="324"/>
        <v>14929410.698837364</v>
      </c>
      <c r="AX843" s="350">
        <f t="shared" si="325"/>
        <v>14659518.108626703</v>
      </c>
      <c r="AY843" s="350">
        <f t="shared" si="326"/>
        <v>75440542.471568391</v>
      </c>
      <c r="AZ843" s="365"/>
      <c r="BA843" s="377">
        <f t="shared" si="327"/>
        <v>0</v>
      </c>
      <c r="BB843" s="377">
        <f t="shared" si="328"/>
        <v>0</v>
      </c>
      <c r="BC843" s="377">
        <f t="shared" si="329"/>
        <v>0</v>
      </c>
      <c r="BD843" s="377">
        <f t="shared" si="330"/>
        <v>0</v>
      </c>
      <c r="BE843" s="377">
        <f t="shared" si="331"/>
        <v>0</v>
      </c>
      <c r="BF843" s="377">
        <f t="shared" si="332"/>
        <v>0</v>
      </c>
      <c r="BG843" s="328"/>
    </row>
    <row r="844" spans="2:59">
      <c r="B844" s="332">
        <v>829</v>
      </c>
      <c r="C844" s="350">
        <v>7250445.9364997735</v>
      </c>
      <c r="D844" s="350">
        <v>7224317.6368498411</v>
      </c>
      <c r="E844" s="350">
        <v>7196061.1617579767</v>
      </c>
      <c r="F844" s="350">
        <v>7162161.4711413365</v>
      </c>
      <c r="G844" s="350">
        <v>7119504.6222841647</v>
      </c>
      <c r="H844" s="348">
        <v>35952490.828533091</v>
      </c>
      <c r="I844" s="369"/>
      <c r="J844" s="350">
        <v>24225388.861936018</v>
      </c>
      <c r="K844" s="350">
        <v>23714393.681643568</v>
      </c>
      <c r="L844" s="350">
        <v>23188935.52769576</v>
      </c>
      <c r="M844" s="350">
        <v>22612900.553250916</v>
      </c>
      <c r="N844" s="350">
        <v>21955974.317645837</v>
      </c>
      <c r="O844" s="348">
        <v>115697592.9421721</v>
      </c>
      <c r="P844" s="369"/>
      <c r="Q844" s="350">
        <f t="shared" si="333"/>
        <v>16974942.925436243</v>
      </c>
      <c r="R844" s="350">
        <f t="shared" si="334"/>
        <v>16490076.044793727</v>
      </c>
      <c r="S844" s="350">
        <f t="shared" si="335"/>
        <v>15992874.365937784</v>
      </c>
      <c r="T844" s="350">
        <f t="shared" si="336"/>
        <v>15450739.08210958</v>
      </c>
      <c r="U844" s="350">
        <f t="shared" si="337"/>
        <v>14836469.695361672</v>
      </c>
      <c r="V844" s="350">
        <f t="shared" si="338"/>
        <v>79745102.113638997</v>
      </c>
      <c r="W844" s="365"/>
      <c r="X844" s="377">
        <f t="shared" si="316"/>
        <v>0</v>
      </c>
      <c r="Y844" s="377">
        <f t="shared" si="317"/>
        <v>0</v>
      </c>
      <c r="Z844" s="377">
        <f t="shared" si="318"/>
        <v>0</v>
      </c>
      <c r="AA844" s="377">
        <f t="shared" si="319"/>
        <v>0</v>
      </c>
      <c r="AB844" s="377">
        <f t="shared" si="320"/>
        <v>0</v>
      </c>
      <c r="AC844" s="377">
        <f t="shared" si="321"/>
        <v>0</v>
      </c>
      <c r="AD844" s="376"/>
      <c r="AE844" s="332">
        <v>829</v>
      </c>
      <c r="AF844" s="350">
        <v>208273.42731293503</v>
      </c>
      <c r="AG844" s="350">
        <v>207522.87616537648</v>
      </c>
      <c r="AH844" s="350">
        <v>206711.19189620097</v>
      </c>
      <c r="AI844" s="350">
        <v>205737.40286151087</v>
      </c>
      <c r="AJ844" s="350">
        <v>204512.05918090665</v>
      </c>
      <c r="AK844" s="348">
        <v>1032756.95741693</v>
      </c>
      <c r="AL844" s="369"/>
      <c r="AM844" s="350">
        <v>6619975.9914996875</v>
      </c>
      <c r="AN844" s="350">
        <v>6562600.2980423383</v>
      </c>
      <c r="AO844" s="350">
        <v>6499592.572636446</v>
      </c>
      <c r="AP844" s="350">
        <v>6418427.3554783752</v>
      </c>
      <c r="AQ844" s="350">
        <v>6308384.3917150553</v>
      </c>
      <c r="AR844" s="348">
        <v>32408980.609371908</v>
      </c>
      <c r="AS844" s="369"/>
      <c r="AT844" s="350">
        <f t="shared" si="339"/>
        <v>6411702.5641867528</v>
      </c>
      <c r="AU844" s="350">
        <f t="shared" si="322"/>
        <v>6355077.4218769623</v>
      </c>
      <c r="AV844" s="350">
        <f t="shared" si="323"/>
        <v>6292881.3807402449</v>
      </c>
      <c r="AW844" s="350">
        <f t="shared" si="324"/>
        <v>6212689.9526168648</v>
      </c>
      <c r="AX844" s="350">
        <f t="shared" si="325"/>
        <v>6103872.3325341484</v>
      </c>
      <c r="AY844" s="350">
        <f t="shared" si="326"/>
        <v>31376223.651954979</v>
      </c>
      <c r="AZ844" s="365"/>
      <c r="BA844" s="377">
        <f t="shared" si="327"/>
        <v>0</v>
      </c>
      <c r="BB844" s="377">
        <f t="shared" si="328"/>
        <v>0</v>
      </c>
      <c r="BC844" s="377">
        <f t="shared" si="329"/>
        <v>0</v>
      </c>
      <c r="BD844" s="377">
        <f t="shared" si="330"/>
        <v>0</v>
      </c>
      <c r="BE844" s="377">
        <f t="shared" si="331"/>
        <v>0</v>
      </c>
      <c r="BF844" s="377">
        <f t="shared" si="332"/>
        <v>0</v>
      </c>
      <c r="BG844" s="328"/>
    </row>
    <row r="845" spans="2:59">
      <c r="B845" s="332">
        <v>830</v>
      </c>
      <c r="C845" s="350">
        <v>4953917.3460538201</v>
      </c>
      <c r="D845" s="350">
        <v>4936065.0045575406</v>
      </c>
      <c r="E845" s="350">
        <v>4916758.5724674501</v>
      </c>
      <c r="F845" s="350">
        <v>4893596.3743292307</v>
      </c>
      <c r="G845" s="350">
        <v>4864450.7872395162</v>
      </c>
      <c r="H845" s="348">
        <v>24564788.084647559</v>
      </c>
      <c r="I845" s="369"/>
      <c r="J845" s="350">
        <v>17505852.586818956</v>
      </c>
      <c r="K845" s="350">
        <v>17149838.018287197</v>
      </c>
      <c r="L845" s="350">
        <v>16783101.733709764</v>
      </c>
      <c r="M845" s="350">
        <v>16379119.292949924</v>
      </c>
      <c r="N845" s="350">
        <v>15915592.532153234</v>
      </c>
      <c r="O845" s="348">
        <v>83733504.163919076</v>
      </c>
      <c r="P845" s="369"/>
      <c r="Q845" s="350">
        <f t="shared" si="333"/>
        <v>12551935.240765136</v>
      </c>
      <c r="R845" s="350">
        <f t="shared" si="334"/>
        <v>12213773.013729656</v>
      </c>
      <c r="S845" s="350">
        <f t="shared" si="335"/>
        <v>11866343.161242314</v>
      </c>
      <c r="T845" s="350">
        <f t="shared" si="336"/>
        <v>11485522.918620694</v>
      </c>
      <c r="U845" s="350">
        <f t="shared" si="337"/>
        <v>11051141.744913718</v>
      </c>
      <c r="V845" s="350">
        <f t="shared" si="338"/>
        <v>59168716.079271518</v>
      </c>
      <c r="W845" s="365"/>
      <c r="X845" s="377">
        <f t="shared" si="316"/>
        <v>0</v>
      </c>
      <c r="Y845" s="377">
        <f t="shared" si="317"/>
        <v>0</v>
      </c>
      <c r="Z845" s="377">
        <f t="shared" si="318"/>
        <v>0</v>
      </c>
      <c r="AA845" s="377">
        <f t="shared" si="319"/>
        <v>0</v>
      </c>
      <c r="AB845" s="377">
        <f t="shared" si="320"/>
        <v>0</v>
      </c>
      <c r="AC845" s="377">
        <f t="shared" si="321"/>
        <v>0</v>
      </c>
      <c r="AD845" s="376"/>
      <c r="AE845" s="332">
        <v>830</v>
      </c>
      <c r="AF845" s="350">
        <v>632133.79547974956</v>
      </c>
      <c r="AG845" s="350">
        <v>629855.78646184946</v>
      </c>
      <c r="AH845" s="350">
        <v>627392.23139183922</v>
      </c>
      <c r="AI845" s="350">
        <v>624436.66972256149</v>
      </c>
      <c r="AJ845" s="350">
        <v>620717.61078364262</v>
      </c>
      <c r="AK845" s="348">
        <v>3134536.0938396421</v>
      </c>
      <c r="AL845" s="369"/>
      <c r="AM845" s="350">
        <v>16529338.402899873</v>
      </c>
      <c r="AN845" s="350">
        <v>16380876.772091169</v>
      </c>
      <c r="AO845" s="350">
        <v>16218458.792155014</v>
      </c>
      <c r="AP845" s="350">
        <v>16010977.765729301</v>
      </c>
      <c r="AQ845" s="350">
        <v>15731820.453809295</v>
      </c>
      <c r="AR845" s="348">
        <v>80871472.186684653</v>
      </c>
      <c r="AS845" s="369"/>
      <c r="AT845" s="350">
        <f t="shared" si="339"/>
        <v>15897204.607420122</v>
      </c>
      <c r="AU845" s="350">
        <f t="shared" si="322"/>
        <v>15751020.98562932</v>
      </c>
      <c r="AV845" s="350">
        <f t="shared" si="323"/>
        <v>15591066.560763175</v>
      </c>
      <c r="AW845" s="350">
        <f t="shared" si="324"/>
        <v>15386541.09600674</v>
      </c>
      <c r="AX845" s="350">
        <f t="shared" si="325"/>
        <v>15111102.843025653</v>
      </c>
      <c r="AY845" s="350">
        <f t="shared" si="326"/>
        <v>77736936.092845008</v>
      </c>
      <c r="AZ845" s="365"/>
      <c r="BA845" s="377">
        <f t="shared" si="327"/>
        <v>0</v>
      </c>
      <c r="BB845" s="377">
        <f t="shared" si="328"/>
        <v>0</v>
      </c>
      <c r="BC845" s="377">
        <f t="shared" si="329"/>
        <v>0</v>
      </c>
      <c r="BD845" s="377">
        <f t="shared" si="330"/>
        <v>0</v>
      </c>
      <c r="BE845" s="377">
        <f t="shared" si="331"/>
        <v>0</v>
      </c>
      <c r="BF845" s="377">
        <f t="shared" si="332"/>
        <v>0</v>
      </c>
      <c r="BG845" s="328"/>
    </row>
    <row r="846" spans="2:59">
      <c r="B846" s="332">
        <v>831</v>
      </c>
      <c r="C846" s="350">
        <v>6167800.3783119842</v>
      </c>
      <c r="D846" s="350">
        <v>6145573.588694226</v>
      </c>
      <c r="E846" s="350">
        <v>6121536.4054247104</v>
      </c>
      <c r="F846" s="350">
        <v>6092698.658554906</v>
      </c>
      <c r="G846" s="350">
        <v>6056411.3831482492</v>
      </c>
      <c r="H846" s="348">
        <v>30584020.414134074</v>
      </c>
      <c r="I846" s="369"/>
      <c r="J846" s="350">
        <v>23144817.260605805</v>
      </c>
      <c r="K846" s="350">
        <v>22691840.920493975</v>
      </c>
      <c r="L846" s="350">
        <v>22224327.411249265</v>
      </c>
      <c r="M846" s="350">
        <v>21706636.067051228</v>
      </c>
      <c r="N846" s="350">
        <v>21108761.335536402</v>
      </c>
      <c r="O846" s="348">
        <v>110876382.99493669</v>
      </c>
      <c r="P846" s="369"/>
      <c r="Q846" s="350">
        <f t="shared" si="333"/>
        <v>16977016.88229382</v>
      </c>
      <c r="R846" s="350">
        <f t="shared" si="334"/>
        <v>16546267.331799749</v>
      </c>
      <c r="S846" s="350">
        <f t="shared" si="335"/>
        <v>16102791.005824555</v>
      </c>
      <c r="T846" s="350">
        <f t="shared" si="336"/>
        <v>15613937.408496322</v>
      </c>
      <c r="U846" s="350">
        <f t="shared" si="337"/>
        <v>15052349.952388152</v>
      </c>
      <c r="V846" s="350">
        <f t="shared" si="338"/>
        <v>80292362.580802619</v>
      </c>
      <c r="W846" s="365"/>
      <c r="X846" s="377">
        <f t="shared" si="316"/>
        <v>0</v>
      </c>
      <c r="Y846" s="377">
        <f t="shared" si="317"/>
        <v>0</v>
      </c>
      <c r="Z846" s="377">
        <f t="shared" si="318"/>
        <v>0</v>
      </c>
      <c r="AA846" s="377">
        <f t="shared" si="319"/>
        <v>0</v>
      </c>
      <c r="AB846" s="377">
        <f t="shared" si="320"/>
        <v>0</v>
      </c>
      <c r="AC846" s="377">
        <f t="shared" si="321"/>
        <v>0</v>
      </c>
      <c r="AD846" s="376"/>
      <c r="AE846" s="332">
        <v>831</v>
      </c>
      <c r="AF846" s="350">
        <v>484752.9243726299</v>
      </c>
      <c r="AG846" s="350">
        <v>483006.02910920506</v>
      </c>
      <c r="AH846" s="350">
        <v>481116.84752600221</v>
      </c>
      <c r="AI846" s="350">
        <v>478850.36980784975</v>
      </c>
      <c r="AJ846" s="350">
        <v>475998.40285172948</v>
      </c>
      <c r="AK846" s="348">
        <v>2403724.5736674163</v>
      </c>
      <c r="AL846" s="369"/>
      <c r="AM846" s="350">
        <v>15476646.035860987</v>
      </c>
      <c r="AN846" s="350">
        <v>15342609.47138134</v>
      </c>
      <c r="AO846" s="350">
        <v>15195403.896418387</v>
      </c>
      <c r="AP846" s="350">
        <v>15005743.167368351</v>
      </c>
      <c r="AQ846" s="350">
        <v>14748561.744829737</v>
      </c>
      <c r="AR846" s="348">
        <v>75768964.315858811</v>
      </c>
      <c r="AS846" s="369"/>
      <c r="AT846" s="350">
        <f t="shared" si="339"/>
        <v>14991893.111488357</v>
      </c>
      <c r="AU846" s="350">
        <f t="shared" si="322"/>
        <v>14859603.442272136</v>
      </c>
      <c r="AV846" s="350">
        <f t="shared" si="323"/>
        <v>14714287.048892384</v>
      </c>
      <c r="AW846" s="350">
        <f t="shared" si="324"/>
        <v>14526892.7975605</v>
      </c>
      <c r="AX846" s="350">
        <f t="shared" si="325"/>
        <v>14272563.341978008</v>
      </c>
      <c r="AY846" s="350">
        <f t="shared" si="326"/>
        <v>73365239.742191389</v>
      </c>
      <c r="AZ846" s="365"/>
      <c r="BA846" s="377">
        <f t="shared" si="327"/>
        <v>0</v>
      </c>
      <c r="BB846" s="377">
        <f t="shared" si="328"/>
        <v>0</v>
      </c>
      <c r="BC846" s="377">
        <f t="shared" si="329"/>
        <v>0</v>
      </c>
      <c r="BD846" s="377">
        <f t="shared" si="330"/>
        <v>0</v>
      </c>
      <c r="BE846" s="377">
        <f t="shared" si="331"/>
        <v>0</v>
      </c>
      <c r="BF846" s="377">
        <f t="shared" si="332"/>
        <v>0</v>
      </c>
      <c r="BG846" s="328"/>
    </row>
    <row r="847" spans="2:59">
      <c r="B847" s="332">
        <v>832</v>
      </c>
      <c r="C847" s="350">
        <v>3866034.285938154</v>
      </c>
      <c r="D847" s="350">
        <v>3852102.3287641271</v>
      </c>
      <c r="E847" s="350">
        <v>3837035.6001157598</v>
      </c>
      <c r="F847" s="350">
        <v>3818959.8338312502</v>
      </c>
      <c r="G847" s="350">
        <v>3796214.6342040519</v>
      </c>
      <c r="H847" s="348">
        <v>19170346.682853341</v>
      </c>
      <c r="I847" s="369"/>
      <c r="J847" s="350">
        <v>13894227.869643124</v>
      </c>
      <c r="K847" s="350">
        <v>13614717.36190656</v>
      </c>
      <c r="L847" s="350">
        <v>13326634.750401959</v>
      </c>
      <c r="M847" s="350">
        <v>13008829.179505073</v>
      </c>
      <c r="N847" s="350">
        <v>12643512.334282039</v>
      </c>
      <c r="O847" s="348">
        <v>66487921.495738752</v>
      </c>
      <c r="P847" s="369"/>
      <c r="Q847" s="350">
        <f t="shared" si="333"/>
        <v>10028193.583704971</v>
      </c>
      <c r="R847" s="350">
        <f t="shared" si="334"/>
        <v>9762615.0331424326</v>
      </c>
      <c r="S847" s="350">
        <f t="shared" si="335"/>
        <v>9489599.1502861995</v>
      </c>
      <c r="T847" s="350">
        <f t="shared" si="336"/>
        <v>9189869.3456738219</v>
      </c>
      <c r="U847" s="350">
        <f t="shared" si="337"/>
        <v>8847297.7000779863</v>
      </c>
      <c r="V847" s="350">
        <f t="shared" si="338"/>
        <v>47317574.812885411</v>
      </c>
      <c r="W847" s="365"/>
      <c r="X847" s="377">
        <f t="shared" si="316"/>
        <v>0</v>
      </c>
      <c r="Y847" s="377">
        <f t="shared" si="317"/>
        <v>0</v>
      </c>
      <c r="Z847" s="377">
        <f t="shared" si="318"/>
        <v>0</v>
      </c>
      <c r="AA847" s="377">
        <f t="shared" si="319"/>
        <v>0</v>
      </c>
      <c r="AB847" s="377">
        <f t="shared" si="320"/>
        <v>0</v>
      </c>
      <c r="AC847" s="377">
        <f t="shared" si="321"/>
        <v>0</v>
      </c>
      <c r="AD847" s="376"/>
      <c r="AE847" s="332">
        <v>832</v>
      </c>
      <c r="AF847" s="350">
        <v>295009.37876226427</v>
      </c>
      <c r="AG847" s="350">
        <v>293946.25885000656</v>
      </c>
      <c r="AH847" s="350">
        <v>292796.54678596678</v>
      </c>
      <c r="AI847" s="350">
        <v>291417.22105115867</v>
      </c>
      <c r="AJ847" s="350">
        <v>289681.58015520242</v>
      </c>
      <c r="AK847" s="348">
        <v>1462850.9856045987</v>
      </c>
      <c r="AL847" s="369"/>
      <c r="AM847" s="350">
        <v>9890699.8599889074</v>
      </c>
      <c r="AN847" s="350">
        <v>9805726.6419412903</v>
      </c>
      <c r="AO847" s="350">
        <v>9712323.465047406</v>
      </c>
      <c r="AP847" s="350">
        <v>9591752.2071448024</v>
      </c>
      <c r="AQ847" s="350">
        <v>9427973.8562433328</v>
      </c>
      <c r="AR847" s="348">
        <v>48428476.030365743</v>
      </c>
      <c r="AS847" s="369"/>
      <c r="AT847" s="350">
        <f t="shared" si="339"/>
        <v>9595690.4812266435</v>
      </c>
      <c r="AU847" s="350">
        <f t="shared" si="322"/>
        <v>9511780.383091284</v>
      </c>
      <c r="AV847" s="350">
        <f t="shared" si="323"/>
        <v>9419526.9182614386</v>
      </c>
      <c r="AW847" s="350">
        <f t="shared" si="324"/>
        <v>9300334.9860936441</v>
      </c>
      <c r="AX847" s="350">
        <f t="shared" si="325"/>
        <v>9138292.2760881297</v>
      </c>
      <c r="AY847" s="350">
        <f t="shared" si="326"/>
        <v>46965625.044761144</v>
      </c>
      <c r="AZ847" s="365"/>
      <c r="BA847" s="377">
        <f t="shared" si="327"/>
        <v>0</v>
      </c>
      <c r="BB847" s="377">
        <f t="shared" si="328"/>
        <v>0</v>
      </c>
      <c r="BC847" s="377">
        <f t="shared" si="329"/>
        <v>0</v>
      </c>
      <c r="BD847" s="377">
        <f t="shared" si="330"/>
        <v>0</v>
      </c>
      <c r="BE847" s="377">
        <f t="shared" si="331"/>
        <v>0</v>
      </c>
      <c r="BF847" s="377">
        <f t="shared" si="332"/>
        <v>0</v>
      </c>
      <c r="BG847" s="328"/>
    </row>
    <row r="848" spans="2:59">
      <c r="B848" s="332">
        <v>833</v>
      </c>
      <c r="C848" s="350">
        <v>6179270.5305849444</v>
      </c>
      <c r="D848" s="350">
        <v>6157002.4061888512</v>
      </c>
      <c r="E848" s="350">
        <v>6132920.5213830667</v>
      </c>
      <c r="F848" s="350">
        <v>6104029.1454514368</v>
      </c>
      <c r="G848" s="350">
        <v>6067674.3872228721</v>
      </c>
      <c r="H848" s="348">
        <v>30640896.99083117</v>
      </c>
      <c r="I848" s="369"/>
      <c r="J848" s="350">
        <v>22233923.13724054</v>
      </c>
      <c r="K848" s="350">
        <v>21786979.769337755</v>
      </c>
      <c r="L848" s="350">
        <v>21326312.205478158</v>
      </c>
      <c r="M848" s="350">
        <v>20818063.385048755</v>
      </c>
      <c r="N848" s="350">
        <v>20233757.979905535</v>
      </c>
      <c r="O848" s="348">
        <v>106399036.47701074</v>
      </c>
      <c r="P848" s="369"/>
      <c r="Q848" s="350">
        <f t="shared" si="333"/>
        <v>16054652.606655596</v>
      </c>
      <c r="R848" s="350">
        <f t="shared" si="334"/>
        <v>15629977.363148903</v>
      </c>
      <c r="S848" s="350">
        <f t="shared" si="335"/>
        <v>15193391.684095092</v>
      </c>
      <c r="T848" s="350">
        <f t="shared" si="336"/>
        <v>14714034.239597317</v>
      </c>
      <c r="U848" s="350">
        <f t="shared" si="337"/>
        <v>14166083.592682663</v>
      </c>
      <c r="V848" s="350">
        <f t="shared" si="338"/>
        <v>75758139.486179575</v>
      </c>
      <c r="W848" s="365"/>
      <c r="X848" s="377">
        <f t="shared" ref="X848:X911" si="340">IF(Q848&lt;Q$8,1,0)</f>
        <v>0</v>
      </c>
      <c r="Y848" s="377">
        <f t="shared" ref="Y848:Y911" si="341">IF(R848&lt;R$8,1,0)</f>
        <v>0</v>
      </c>
      <c r="Z848" s="377">
        <f t="shared" ref="Z848:Z911" si="342">IF(S848&lt;S$8,1,0)</f>
        <v>0</v>
      </c>
      <c r="AA848" s="377">
        <f t="shared" ref="AA848:AA911" si="343">IF(T848&lt;T$8,1,0)</f>
        <v>0</v>
      </c>
      <c r="AB848" s="377">
        <f t="shared" ref="AB848:AB911" si="344">IF(U848&lt;U$8,1,0)</f>
        <v>0</v>
      </c>
      <c r="AC848" s="377">
        <f t="shared" ref="AC848:AC911" si="345">IF(V848&lt;V$8,1,0)</f>
        <v>0</v>
      </c>
      <c r="AD848" s="376"/>
      <c r="AE848" s="332">
        <v>833</v>
      </c>
      <c r="AF848" s="350">
        <v>432779.35230678262</v>
      </c>
      <c r="AG848" s="350">
        <v>431219.75325612957</v>
      </c>
      <c r="AH848" s="350">
        <v>429533.12334455852</v>
      </c>
      <c r="AI848" s="350">
        <v>427509.64971590694</v>
      </c>
      <c r="AJ848" s="350">
        <v>424963.46102881961</v>
      </c>
      <c r="AK848" s="348">
        <v>2146005.339652197</v>
      </c>
      <c r="AL848" s="369"/>
      <c r="AM848" s="350">
        <v>15133753.910478596</v>
      </c>
      <c r="AN848" s="350">
        <v>15004600.076573577</v>
      </c>
      <c r="AO848" s="350">
        <v>14862529.932219375</v>
      </c>
      <c r="AP848" s="350">
        <v>14678844.395545723</v>
      </c>
      <c r="AQ848" s="350">
        <v>14428976.605682341</v>
      </c>
      <c r="AR848" s="348">
        <v>74108704.920499608</v>
      </c>
      <c r="AS848" s="369"/>
      <c r="AT848" s="350">
        <f t="shared" si="339"/>
        <v>14700974.558171812</v>
      </c>
      <c r="AU848" s="350">
        <f t="shared" ref="AU848:AU911" si="346">AN848-AG848</f>
        <v>14573380.323317448</v>
      </c>
      <c r="AV848" s="350">
        <f t="shared" ref="AV848:AV911" si="347">AO848-AH848</f>
        <v>14432996.808874816</v>
      </c>
      <c r="AW848" s="350">
        <f t="shared" ref="AW848:AW911" si="348">AP848-AI848</f>
        <v>14251334.745829817</v>
      </c>
      <c r="AX848" s="350">
        <f t="shared" ref="AX848:AX911" si="349">AQ848-AJ848</f>
        <v>14004013.144653521</v>
      </c>
      <c r="AY848" s="350">
        <f t="shared" ref="AY848:AY911" si="350">AR848-AK848</f>
        <v>71962699.580847412</v>
      </c>
      <c r="AZ848" s="365"/>
      <c r="BA848" s="377">
        <f t="shared" ref="BA848:BA911" si="351">IF(AT848&lt;AT$8,1,0)</f>
        <v>0</v>
      </c>
      <c r="BB848" s="377">
        <f t="shared" ref="BB848:BB911" si="352">IF(AU848&lt;AU$8,1,0)</f>
        <v>0</v>
      </c>
      <c r="BC848" s="377">
        <f t="shared" ref="BC848:BC911" si="353">IF(AV848&lt;AV$8,1,0)</f>
        <v>0</v>
      </c>
      <c r="BD848" s="377">
        <f t="shared" ref="BD848:BD911" si="354">IF(AW848&lt;AW$8,1,0)</f>
        <v>0</v>
      </c>
      <c r="BE848" s="377">
        <f t="shared" ref="BE848:BE911" si="355">IF(AX848&lt;AX$8,1,0)</f>
        <v>0</v>
      </c>
      <c r="BF848" s="377">
        <f t="shared" ref="BF848:BF911" si="356">IF(AY848&lt;AY$8,1,0)</f>
        <v>0</v>
      </c>
      <c r="BG848" s="328"/>
    </row>
    <row r="849" spans="2:59">
      <c r="B849" s="332">
        <v>834</v>
      </c>
      <c r="C849" s="350">
        <v>6092780.6848723488</v>
      </c>
      <c r="D849" s="350">
        <v>6070824.2423542049</v>
      </c>
      <c r="E849" s="350">
        <v>6047079.4262187444</v>
      </c>
      <c r="F849" s="350">
        <v>6018592.4363120329</v>
      </c>
      <c r="G849" s="350">
        <v>5982746.5273747463</v>
      </c>
      <c r="H849" s="348">
        <v>30212023.317132078</v>
      </c>
      <c r="I849" s="369"/>
      <c r="J849" s="350">
        <v>17688526.202736896</v>
      </c>
      <c r="K849" s="350">
        <v>17278355.973136857</v>
      </c>
      <c r="L849" s="350">
        <v>16858382.146705456</v>
      </c>
      <c r="M849" s="350">
        <v>16403432.556774467</v>
      </c>
      <c r="N849" s="350">
        <v>15892470.256385176</v>
      </c>
      <c r="O849" s="348">
        <v>84121167.13573885</v>
      </c>
      <c r="P849" s="369"/>
      <c r="Q849" s="350">
        <f t="shared" ref="Q849:Q912" si="357">J849-C849</f>
        <v>11595745.517864548</v>
      </c>
      <c r="R849" s="350">
        <f t="shared" ref="R849:R912" si="358">K849-D849</f>
        <v>11207531.730782652</v>
      </c>
      <c r="S849" s="350">
        <f t="shared" ref="S849:S912" si="359">L849-E849</f>
        <v>10811302.720486712</v>
      </c>
      <c r="T849" s="350">
        <f t="shared" ref="T849:T912" si="360">M849-F849</f>
        <v>10384840.120462434</v>
      </c>
      <c r="U849" s="350">
        <f t="shared" ref="U849:U912" si="361">N849-G849</f>
        <v>9909723.7290104292</v>
      </c>
      <c r="V849" s="350">
        <f t="shared" ref="V849:V912" si="362">O849-H849</f>
        <v>53909143.818606772</v>
      </c>
      <c r="W849" s="365"/>
      <c r="X849" s="377">
        <f t="shared" si="340"/>
        <v>0</v>
      </c>
      <c r="Y849" s="377">
        <f t="shared" si="341"/>
        <v>0</v>
      </c>
      <c r="Z849" s="377">
        <f t="shared" si="342"/>
        <v>0</v>
      </c>
      <c r="AA849" s="377">
        <f t="shared" si="343"/>
        <v>0</v>
      </c>
      <c r="AB849" s="377">
        <f t="shared" si="344"/>
        <v>0</v>
      </c>
      <c r="AC849" s="377">
        <f t="shared" si="345"/>
        <v>0</v>
      </c>
      <c r="AD849" s="376"/>
      <c r="AE849" s="332">
        <v>834</v>
      </c>
      <c r="AF849" s="350">
        <v>670837.03698283609</v>
      </c>
      <c r="AG849" s="350">
        <v>668419.5538001362</v>
      </c>
      <c r="AH849" s="350">
        <v>665805.16425882815</v>
      </c>
      <c r="AI849" s="350">
        <v>662668.64435273234</v>
      </c>
      <c r="AJ849" s="350">
        <v>658721.88103017409</v>
      </c>
      <c r="AK849" s="348">
        <v>3326452.2804247066</v>
      </c>
      <c r="AL849" s="369"/>
      <c r="AM849" s="350">
        <v>18288889.291740652</v>
      </c>
      <c r="AN849" s="350">
        <v>18125950.250193603</v>
      </c>
      <c r="AO849" s="350">
        <v>17947542.119543955</v>
      </c>
      <c r="AP849" s="350">
        <v>17719204.052575536</v>
      </c>
      <c r="AQ849" s="350">
        <v>17411450.54386</v>
      </c>
      <c r="AR849" s="348">
        <v>89493036.257913753</v>
      </c>
      <c r="AS849" s="369"/>
      <c r="AT849" s="350">
        <f t="shared" ref="AT849:AT912" si="363">AM849-AF849</f>
        <v>17618052.254757818</v>
      </c>
      <c r="AU849" s="350">
        <f t="shared" si="346"/>
        <v>17457530.696393467</v>
      </c>
      <c r="AV849" s="350">
        <f t="shared" si="347"/>
        <v>17281736.955285128</v>
      </c>
      <c r="AW849" s="350">
        <f t="shared" si="348"/>
        <v>17056535.408222802</v>
      </c>
      <c r="AX849" s="350">
        <f t="shared" si="349"/>
        <v>16752728.662829826</v>
      </c>
      <c r="AY849" s="350">
        <f t="shared" si="350"/>
        <v>86166583.977489054</v>
      </c>
      <c r="AZ849" s="365"/>
      <c r="BA849" s="377">
        <f t="shared" si="351"/>
        <v>0</v>
      </c>
      <c r="BB849" s="377">
        <f t="shared" si="352"/>
        <v>0</v>
      </c>
      <c r="BC849" s="377">
        <f t="shared" si="353"/>
        <v>0</v>
      </c>
      <c r="BD849" s="377">
        <f t="shared" si="354"/>
        <v>0</v>
      </c>
      <c r="BE849" s="377">
        <f t="shared" si="355"/>
        <v>0</v>
      </c>
      <c r="BF849" s="377">
        <f t="shared" si="356"/>
        <v>0</v>
      </c>
      <c r="BG849" s="328"/>
    </row>
    <row r="850" spans="2:59">
      <c r="B850" s="332">
        <v>835</v>
      </c>
      <c r="C850" s="350">
        <v>5691559.9685165286</v>
      </c>
      <c r="D850" s="350">
        <v>5671049.3977688253</v>
      </c>
      <c r="E850" s="350">
        <v>5648868.2210670421</v>
      </c>
      <c r="F850" s="350">
        <v>5622257.151382695</v>
      </c>
      <c r="G850" s="350">
        <v>5588771.7609025985</v>
      </c>
      <c r="H850" s="348">
        <v>28222506.499637689</v>
      </c>
      <c r="I850" s="369"/>
      <c r="J850" s="350">
        <v>19493025.433570407</v>
      </c>
      <c r="K850" s="350">
        <v>19088464.686150905</v>
      </c>
      <c r="L850" s="350">
        <v>18672131.231223259</v>
      </c>
      <c r="M850" s="350">
        <v>18214752.388899025</v>
      </c>
      <c r="N850" s="350">
        <v>17691739.706936084</v>
      </c>
      <c r="O850" s="348">
        <v>93160113.446779668</v>
      </c>
      <c r="P850" s="369"/>
      <c r="Q850" s="350">
        <f t="shared" si="357"/>
        <v>13801465.465053879</v>
      </c>
      <c r="R850" s="350">
        <f t="shared" si="358"/>
        <v>13417415.288382079</v>
      </c>
      <c r="S850" s="350">
        <f t="shared" si="359"/>
        <v>13023263.010156218</v>
      </c>
      <c r="T850" s="350">
        <f t="shared" si="360"/>
        <v>12592495.237516329</v>
      </c>
      <c r="U850" s="350">
        <f t="shared" si="361"/>
        <v>12102967.946033485</v>
      </c>
      <c r="V850" s="350">
        <f t="shared" si="362"/>
        <v>64937606.947141975</v>
      </c>
      <c r="W850" s="365"/>
      <c r="X850" s="377">
        <f t="shared" si="340"/>
        <v>0</v>
      </c>
      <c r="Y850" s="377">
        <f t="shared" si="341"/>
        <v>0</v>
      </c>
      <c r="Z850" s="377">
        <f t="shared" si="342"/>
        <v>0</v>
      </c>
      <c r="AA850" s="377">
        <f t="shared" si="343"/>
        <v>0</v>
      </c>
      <c r="AB850" s="377">
        <f t="shared" si="344"/>
        <v>0</v>
      </c>
      <c r="AC850" s="377">
        <f t="shared" si="345"/>
        <v>0</v>
      </c>
      <c r="AD850" s="376"/>
      <c r="AE850" s="332">
        <v>835</v>
      </c>
      <c r="AF850" s="350">
        <v>406350.21671087173</v>
      </c>
      <c r="AG850" s="350">
        <v>404885.85985364887</v>
      </c>
      <c r="AH850" s="350">
        <v>403302.2297048794</v>
      </c>
      <c r="AI850" s="350">
        <v>401402.32634043129</v>
      </c>
      <c r="AJ850" s="350">
        <v>399011.62928136444</v>
      </c>
      <c r="AK850" s="348">
        <v>2014952.2618911958</v>
      </c>
      <c r="AL850" s="369"/>
      <c r="AM850" s="350">
        <v>12571332.704822453</v>
      </c>
      <c r="AN850" s="350">
        <v>12461873.386537174</v>
      </c>
      <c r="AO850" s="350">
        <v>12341729.110091226</v>
      </c>
      <c r="AP850" s="350">
        <v>12187130.272161255</v>
      </c>
      <c r="AQ850" s="350">
        <v>11977734.00564312</v>
      </c>
      <c r="AR850" s="348">
        <v>61539799.479255229</v>
      </c>
      <c r="AS850" s="369"/>
      <c r="AT850" s="350">
        <f t="shared" si="363"/>
        <v>12164982.488111582</v>
      </c>
      <c r="AU850" s="350">
        <f t="shared" si="346"/>
        <v>12056987.526683524</v>
      </c>
      <c r="AV850" s="350">
        <f t="shared" si="347"/>
        <v>11938426.880386347</v>
      </c>
      <c r="AW850" s="350">
        <f t="shared" si="348"/>
        <v>11785727.945820823</v>
      </c>
      <c r="AX850" s="350">
        <f t="shared" si="349"/>
        <v>11578722.376361756</v>
      </c>
      <c r="AY850" s="350">
        <f t="shared" si="350"/>
        <v>59524847.217364036</v>
      </c>
      <c r="AZ850" s="365"/>
      <c r="BA850" s="377">
        <f t="shared" si="351"/>
        <v>0</v>
      </c>
      <c r="BB850" s="377">
        <f t="shared" si="352"/>
        <v>0</v>
      </c>
      <c r="BC850" s="377">
        <f t="shared" si="353"/>
        <v>0</v>
      </c>
      <c r="BD850" s="377">
        <f t="shared" si="354"/>
        <v>0</v>
      </c>
      <c r="BE850" s="377">
        <f t="shared" si="355"/>
        <v>0</v>
      </c>
      <c r="BF850" s="377">
        <f t="shared" si="356"/>
        <v>0</v>
      </c>
      <c r="BG850" s="328"/>
    </row>
    <row r="851" spans="2:59">
      <c r="B851" s="332">
        <v>836</v>
      </c>
      <c r="C851" s="350">
        <v>5152164.2861296181</v>
      </c>
      <c r="D851" s="350">
        <v>5133597.5257547842</v>
      </c>
      <c r="E851" s="350">
        <v>5113518.4846730027</v>
      </c>
      <c r="F851" s="350">
        <v>5089429.3766601188</v>
      </c>
      <c r="G851" s="350">
        <v>5059117.4351374116</v>
      </c>
      <c r="H851" s="348">
        <v>25547827.108354934</v>
      </c>
      <c r="I851" s="369"/>
      <c r="J851" s="350">
        <v>16750481.141107269</v>
      </c>
      <c r="K851" s="350">
        <v>16390712.881026458</v>
      </c>
      <c r="L851" s="350">
        <v>16021075.884567587</v>
      </c>
      <c r="M851" s="350">
        <v>15616807.598684829</v>
      </c>
      <c r="N851" s="350">
        <v>15157138.163243441</v>
      </c>
      <c r="O851" s="348">
        <v>79936215.668629587</v>
      </c>
      <c r="P851" s="369"/>
      <c r="Q851" s="350">
        <f t="shared" si="357"/>
        <v>11598316.854977651</v>
      </c>
      <c r="R851" s="350">
        <f t="shared" si="358"/>
        <v>11257115.355271675</v>
      </c>
      <c r="S851" s="350">
        <f t="shared" si="359"/>
        <v>10907557.399894584</v>
      </c>
      <c r="T851" s="350">
        <f t="shared" si="360"/>
        <v>10527378.222024709</v>
      </c>
      <c r="U851" s="350">
        <f t="shared" si="361"/>
        <v>10098020.728106029</v>
      </c>
      <c r="V851" s="350">
        <f t="shared" si="362"/>
        <v>54388388.560274653</v>
      </c>
      <c r="W851" s="365"/>
      <c r="X851" s="377">
        <f t="shared" si="340"/>
        <v>0</v>
      </c>
      <c r="Y851" s="377">
        <f t="shared" si="341"/>
        <v>0</v>
      </c>
      <c r="Z851" s="377">
        <f t="shared" si="342"/>
        <v>0</v>
      </c>
      <c r="AA851" s="377">
        <f t="shared" si="343"/>
        <v>0</v>
      </c>
      <c r="AB851" s="377">
        <f t="shared" si="344"/>
        <v>0</v>
      </c>
      <c r="AC851" s="377">
        <f t="shared" si="345"/>
        <v>0</v>
      </c>
      <c r="AD851" s="376"/>
      <c r="AE851" s="332">
        <v>836</v>
      </c>
      <c r="AF851" s="350">
        <v>286481.27264571626</v>
      </c>
      <c r="AG851" s="350">
        <v>285448.88531377306</v>
      </c>
      <c r="AH851" s="350">
        <v>284332.40902863204</v>
      </c>
      <c r="AI851" s="350">
        <v>282992.95672525553</v>
      </c>
      <c r="AJ851" s="350">
        <v>281307.48958920815</v>
      </c>
      <c r="AK851" s="348">
        <v>1420563.0133025851</v>
      </c>
      <c r="AL851" s="369"/>
      <c r="AM851" s="350">
        <v>10329409.321038442</v>
      </c>
      <c r="AN851" s="350">
        <v>10241669.83716581</v>
      </c>
      <c r="AO851" s="350">
        <v>10145106.000332162</v>
      </c>
      <c r="AP851" s="350">
        <v>10020116.158363739</v>
      </c>
      <c r="AQ851" s="350">
        <v>9849920.1773333903</v>
      </c>
      <c r="AR851" s="348">
        <v>50586221.494233541</v>
      </c>
      <c r="AS851" s="369"/>
      <c r="AT851" s="350">
        <f t="shared" si="363"/>
        <v>10042928.048392726</v>
      </c>
      <c r="AU851" s="350">
        <f t="shared" si="346"/>
        <v>9956220.9518520366</v>
      </c>
      <c r="AV851" s="350">
        <f t="shared" si="347"/>
        <v>9860773.5913035292</v>
      </c>
      <c r="AW851" s="350">
        <f t="shared" si="348"/>
        <v>9737123.2016384844</v>
      </c>
      <c r="AX851" s="350">
        <f t="shared" si="349"/>
        <v>9568612.6877441816</v>
      </c>
      <c r="AY851" s="350">
        <f t="shared" si="350"/>
        <v>49165658.480930954</v>
      </c>
      <c r="AZ851" s="365"/>
      <c r="BA851" s="377">
        <f t="shared" si="351"/>
        <v>0</v>
      </c>
      <c r="BB851" s="377">
        <f t="shared" si="352"/>
        <v>0</v>
      </c>
      <c r="BC851" s="377">
        <f t="shared" si="353"/>
        <v>0</v>
      </c>
      <c r="BD851" s="377">
        <f t="shared" si="354"/>
        <v>0</v>
      </c>
      <c r="BE851" s="377">
        <f t="shared" si="355"/>
        <v>0</v>
      </c>
      <c r="BF851" s="377">
        <f t="shared" si="356"/>
        <v>0</v>
      </c>
      <c r="BG851" s="328"/>
    </row>
    <row r="852" spans="2:59">
      <c r="B852" s="332">
        <v>837</v>
      </c>
      <c r="C852" s="350">
        <v>3813004.3342535319</v>
      </c>
      <c r="D852" s="350">
        <v>3799263.4801482232</v>
      </c>
      <c r="E852" s="350">
        <v>3784403.4200995555</v>
      </c>
      <c r="F852" s="350">
        <v>3766575.5970410584</v>
      </c>
      <c r="G852" s="350">
        <v>3744142.3907248545</v>
      </c>
      <c r="H852" s="348">
        <v>18907389.222267225</v>
      </c>
      <c r="I852" s="369"/>
      <c r="J852" s="350">
        <v>14533180.182103209</v>
      </c>
      <c r="K852" s="350">
        <v>14251524.907316051</v>
      </c>
      <c r="L852" s="350">
        <v>13960684.645053092</v>
      </c>
      <c r="M852" s="350">
        <v>13638190.012827856</v>
      </c>
      <c r="N852" s="350">
        <v>13265117.496970162</v>
      </c>
      <c r="O852" s="348">
        <v>69648697.244270369</v>
      </c>
      <c r="P852" s="369"/>
      <c r="Q852" s="350">
        <f t="shared" si="357"/>
        <v>10720175.847849678</v>
      </c>
      <c r="R852" s="350">
        <f t="shared" si="358"/>
        <v>10452261.427167829</v>
      </c>
      <c r="S852" s="350">
        <f t="shared" si="359"/>
        <v>10176281.224953536</v>
      </c>
      <c r="T852" s="350">
        <f t="shared" si="360"/>
        <v>9871614.415786799</v>
      </c>
      <c r="U852" s="350">
        <f t="shared" si="361"/>
        <v>9520975.1062453073</v>
      </c>
      <c r="V852" s="350">
        <f t="shared" si="362"/>
        <v>50741308.022003144</v>
      </c>
      <c r="W852" s="365"/>
      <c r="X852" s="377">
        <f t="shared" si="340"/>
        <v>0</v>
      </c>
      <c r="Y852" s="377">
        <f t="shared" si="341"/>
        <v>0</v>
      </c>
      <c r="Z852" s="377">
        <f t="shared" si="342"/>
        <v>0</v>
      </c>
      <c r="AA852" s="377">
        <f t="shared" si="343"/>
        <v>0</v>
      </c>
      <c r="AB852" s="377">
        <f t="shared" si="344"/>
        <v>0</v>
      </c>
      <c r="AC852" s="377">
        <f t="shared" si="345"/>
        <v>0</v>
      </c>
      <c r="AD852" s="376"/>
      <c r="AE852" s="332">
        <v>837</v>
      </c>
      <c r="AF852" s="350">
        <v>569425.2123847577</v>
      </c>
      <c r="AG852" s="350">
        <v>567373.18514288578</v>
      </c>
      <c r="AH852" s="350">
        <v>565154.0182845511</v>
      </c>
      <c r="AI852" s="350">
        <v>562491.65259032743</v>
      </c>
      <c r="AJ852" s="350">
        <v>559141.5296554222</v>
      </c>
      <c r="AK852" s="348">
        <v>2823585.5980579443</v>
      </c>
      <c r="AL852" s="369"/>
      <c r="AM852" s="350">
        <v>16169889.805246223</v>
      </c>
      <c r="AN852" s="350">
        <v>16026928.298514051</v>
      </c>
      <c r="AO852" s="350">
        <v>15870267.551314084</v>
      </c>
      <c r="AP852" s="350">
        <v>15669403.948794231</v>
      </c>
      <c r="AQ852" s="350">
        <v>15398235.706292065</v>
      </c>
      <c r="AR852" s="348">
        <v>79134725.310160652</v>
      </c>
      <c r="AS852" s="369"/>
      <c r="AT852" s="350">
        <f t="shared" si="363"/>
        <v>15600464.592861464</v>
      </c>
      <c r="AU852" s="350">
        <f t="shared" si="346"/>
        <v>15459555.113371165</v>
      </c>
      <c r="AV852" s="350">
        <f t="shared" si="347"/>
        <v>15305113.533029532</v>
      </c>
      <c r="AW852" s="350">
        <f t="shared" si="348"/>
        <v>15106912.296203904</v>
      </c>
      <c r="AX852" s="350">
        <f t="shared" si="349"/>
        <v>14839094.176636642</v>
      </c>
      <c r="AY852" s="350">
        <f t="shared" si="350"/>
        <v>76311139.712102711</v>
      </c>
      <c r="AZ852" s="365"/>
      <c r="BA852" s="377">
        <f t="shared" si="351"/>
        <v>0</v>
      </c>
      <c r="BB852" s="377">
        <f t="shared" si="352"/>
        <v>0</v>
      </c>
      <c r="BC852" s="377">
        <f t="shared" si="353"/>
        <v>0</v>
      </c>
      <c r="BD852" s="377">
        <f t="shared" si="354"/>
        <v>0</v>
      </c>
      <c r="BE852" s="377">
        <f t="shared" si="355"/>
        <v>0</v>
      </c>
      <c r="BF852" s="377">
        <f t="shared" si="356"/>
        <v>0</v>
      </c>
      <c r="BG852" s="328"/>
    </row>
    <row r="853" spans="2:59">
      <c r="B853" s="332">
        <v>838</v>
      </c>
      <c r="C853" s="350">
        <v>9261427.9696760811</v>
      </c>
      <c r="D853" s="350">
        <v>9228052.7307877038</v>
      </c>
      <c r="E853" s="350">
        <v>9191959.0462016501</v>
      </c>
      <c r="F853" s="350">
        <v>9148656.945118485</v>
      </c>
      <c r="G853" s="350">
        <v>9094168.8023802266</v>
      </c>
      <c r="H853" s="348">
        <v>45924265.494164146</v>
      </c>
      <c r="I853" s="369"/>
      <c r="J853" s="350">
        <v>31682310.729199864</v>
      </c>
      <c r="K853" s="350">
        <v>31024268.640103057</v>
      </c>
      <c r="L853" s="350">
        <v>30347102.468917403</v>
      </c>
      <c r="M853" s="350">
        <v>29603251.140311342</v>
      </c>
      <c r="N853" s="350">
        <v>28752765.576639913</v>
      </c>
      <c r="O853" s="348">
        <v>151409698.55517158</v>
      </c>
      <c r="P853" s="369"/>
      <c r="Q853" s="350">
        <f t="shared" si="357"/>
        <v>22420882.759523783</v>
      </c>
      <c r="R853" s="350">
        <f t="shared" si="358"/>
        <v>21796215.909315355</v>
      </c>
      <c r="S853" s="350">
        <f t="shared" si="359"/>
        <v>21155143.422715753</v>
      </c>
      <c r="T853" s="350">
        <f t="shared" si="360"/>
        <v>20454594.195192859</v>
      </c>
      <c r="U853" s="350">
        <f t="shared" si="361"/>
        <v>19658596.774259686</v>
      </c>
      <c r="V853" s="350">
        <f t="shared" si="362"/>
        <v>105485433.06100744</v>
      </c>
      <c r="W853" s="365"/>
      <c r="X853" s="377">
        <f t="shared" si="340"/>
        <v>0</v>
      </c>
      <c r="Y853" s="377">
        <f t="shared" si="341"/>
        <v>0</v>
      </c>
      <c r="Z853" s="377">
        <f t="shared" si="342"/>
        <v>0</v>
      </c>
      <c r="AA853" s="377">
        <f t="shared" si="343"/>
        <v>0</v>
      </c>
      <c r="AB853" s="377">
        <f t="shared" si="344"/>
        <v>0</v>
      </c>
      <c r="AC853" s="377">
        <f t="shared" si="345"/>
        <v>0</v>
      </c>
      <c r="AD853" s="376"/>
      <c r="AE853" s="332">
        <v>838</v>
      </c>
      <c r="AF853" s="350">
        <v>461269.18226078968</v>
      </c>
      <c r="AG853" s="350">
        <v>459606.91493007046</v>
      </c>
      <c r="AH853" s="350">
        <v>457809.25430707599</v>
      </c>
      <c r="AI853" s="350">
        <v>455652.57557219779</v>
      </c>
      <c r="AJ853" s="350">
        <v>452938.77148862899</v>
      </c>
      <c r="AK853" s="348">
        <v>2287276.6985587627</v>
      </c>
      <c r="AL853" s="369"/>
      <c r="AM853" s="350">
        <v>16123980.801252764</v>
      </c>
      <c r="AN853" s="350">
        <v>15986368.218994709</v>
      </c>
      <c r="AO853" s="350">
        <v>15834994.353728265</v>
      </c>
      <c r="AP853" s="350">
        <v>15639282.552798966</v>
      </c>
      <c r="AQ853" s="350">
        <v>15373058.741273476</v>
      </c>
      <c r="AR853" s="348">
        <v>78957684.668048173</v>
      </c>
      <c r="AS853" s="369"/>
      <c r="AT853" s="350">
        <f t="shared" si="363"/>
        <v>15662711.618991975</v>
      </c>
      <c r="AU853" s="350">
        <f t="shared" si="346"/>
        <v>15526761.304064639</v>
      </c>
      <c r="AV853" s="350">
        <f t="shared" si="347"/>
        <v>15377185.099421188</v>
      </c>
      <c r="AW853" s="350">
        <f t="shared" si="348"/>
        <v>15183629.977226768</v>
      </c>
      <c r="AX853" s="350">
        <f t="shared" si="349"/>
        <v>14920119.969784847</v>
      </c>
      <c r="AY853" s="350">
        <f t="shared" si="350"/>
        <v>76670407.969489411</v>
      </c>
      <c r="AZ853" s="365"/>
      <c r="BA853" s="377">
        <f t="shared" si="351"/>
        <v>0</v>
      </c>
      <c r="BB853" s="377">
        <f t="shared" si="352"/>
        <v>0</v>
      </c>
      <c r="BC853" s="377">
        <f t="shared" si="353"/>
        <v>0</v>
      </c>
      <c r="BD853" s="377">
        <f t="shared" si="354"/>
        <v>0</v>
      </c>
      <c r="BE853" s="377">
        <f t="shared" si="355"/>
        <v>0</v>
      </c>
      <c r="BF853" s="377">
        <f t="shared" si="356"/>
        <v>0</v>
      </c>
      <c r="BG853" s="328"/>
    </row>
    <row r="854" spans="2:59">
      <c r="B854" s="332">
        <v>839</v>
      </c>
      <c r="C854" s="350">
        <v>6455132.8041951079</v>
      </c>
      <c r="D854" s="350">
        <v>6431870.5599600244</v>
      </c>
      <c r="E854" s="350">
        <v>6406713.5832866058</v>
      </c>
      <c r="F854" s="350">
        <v>6376532.4045193847</v>
      </c>
      <c r="G854" s="350">
        <v>6338554.6543515874</v>
      </c>
      <c r="H854" s="348">
        <v>32008804.006312709</v>
      </c>
      <c r="I854" s="369"/>
      <c r="J854" s="350">
        <v>21830394.98300596</v>
      </c>
      <c r="K854" s="350">
        <v>21373560.995346043</v>
      </c>
      <c r="L854" s="350">
        <v>20903619.502621159</v>
      </c>
      <c r="M854" s="350">
        <v>20387909.333956283</v>
      </c>
      <c r="N854" s="350">
        <v>19799005.138880588</v>
      </c>
      <c r="O854" s="348">
        <v>104294489.95381004</v>
      </c>
      <c r="P854" s="369"/>
      <c r="Q854" s="350">
        <f t="shared" si="357"/>
        <v>15375262.178810852</v>
      </c>
      <c r="R854" s="350">
        <f t="shared" si="358"/>
        <v>14941690.435386019</v>
      </c>
      <c r="S854" s="350">
        <f t="shared" si="359"/>
        <v>14496905.919334553</v>
      </c>
      <c r="T854" s="350">
        <f t="shared" si="360"/>
        <v>14011376.929436898</v>
      </c>
      <c r="U854" s="350">
        <f t="shared" si="361"/>
        <v>13460450.484529</v>
      </c>
      <c r="V854" s="350">
        <f t="shared" si="362"/>
        <v>72285685.947497323</v>
      </c>
      <c r="W854" s="365"/>
      <c r="X854" s="377">
        <f t="shared" si="340"/>
        <v>0</v>
      </c>
      <c r="Y854" s="377">
        <f t="shared" si="341"/>
        <v>0</v>
      </c>
      <c r="Z854" s="377">
        <f t="shared" si="342"/>
        <v>0</v>
      </c>
      <c r="AA854" s="377">
        <f t="shared" si="343"/>
        <v>0</v>
      </c>
      <c r="AB854" s="377">
        <f t="shared" si="344"/>
        <v>0</v>
      </c>
      <c r="AC854" s="377">
        <f t="shared" si="345"/>
        <v>0</v>
      </c>
      <c r="AD854" s="376"/>
      <c r="AE854" s="332">
        <v>839</v>
      </c>
      <c r="AF854" s="350">
        <v>374131.28769464849</v>
      </c>
      <c r="AG854" s="350">
        <v>372783.03760370024</v>
      </c>
      <c r="AH854" s="350">
        <v>371324.97123034636</v>
      </c>
      <c r="AI854" s="350">
        <v>369575.70849341492</v>
      </c>
      <c r="AJ854" s="350">
        <v>367374.56639378378</v>
      </c>
      <c r="AK854" s="348">
        <v>1855189.5714158937</v>
      </c>
      <c r="AL854" s="369"/>
      <c r="AM854" s="350">
        <v>11327822.549459651</v>
      </c>
      <c r="AN854" s="350">
        <v>11228820.50054713</v>
      </c>
      <c r="AO854" s="350">
        <v>11120197.966713337</v>
      </c>
      <c r="AP854" s="350">
        <v>10980548.49783922</v>
      </c>
      <c r="AQ854" s="350">
        <v>10791552.428286323</v>
      </c>
      <c r="AR854" s="348">
        <v>55448941.942845657</v>
      </c>
      <c r="AS854" s="369"/>
      <c r="AT854" s="350">
        <f t="shared" si="363"/>
        <v>10953691.261765003</v>
      </c>
      <c r="AU854" s="350">
        <f t="shared" si="346"/>
        <v>10856037.462943429</v>
      </c>
      <c r="AV854" s="350">
        <f t="shared" si="347"/>
        <v>10748872.995482991</v>
      </c>
      <c r="AW854" s="350">
        <f t="shared" si="348"/>
        <v>10610972.789345805</v>
      </c>
      <c r="AX854" s="350">
        <f t="shared" si="349"/>
        <v>10424177.86189254</v>
      </c>
      <c r="AY854" s="350">
        <f t="shared" si="350"/>
        <v>53593752.371429764</v>
      </c>
      <c r="AZ854" s="365"/>
      <c r="BA854" s="377">
        <f t="shared" si="351"/>
        <v>0</v>
      </c>
      <c r="BB854" s="377">
        <f t="shared" si="352"/>
        <v>0</v>
      </c>
      <c r="BC854" s="377">
        <f t="shared" si="353"/>
        <v>0</v>
      </c>
      <c r="BD854" s="377">
        <f t="shared" si="354"/>
        <v>0</v>
      </c>
      <c r="BE854" s="377">
        <f t="shared" si="355"/>
        <v>0</v>
      </c>
      <c r="BF854" s="377">
        <f t="shared" si="356"/>
        <v>0</v>
      </c>
      <c r="BG854" s="328"/>
    </row>
    <row r="855" spans="2:59">
      <c r="B855" s="332">
        <v>840</v>
      </c>
      <c r="C855" s="350">
        <v>4918795.3814103268</v>
      </c>
      <c r="D855" s="350">
        <v>4901069.6082968134</v>
      </c>
      <c r="E855" s="350">
        <v>4881900.0537074711</v>
      </c>
      <c r="F855" s="350">
        <v>4858902.0694321925</v>
      </c>
      <c r="G855" s="350">
        <v>4829963.1168516483</v>
      </c>
      <c r="H855" s="348">
        <v>24390630.229698449</v>
      </c>
      <c r="I855" s="369"/>
      <c r="J855" s="350">
        <v>16830475.536044177</v>
      </c>
      <c r="K855" s="350">
        <v>16480958.185256857</v>
      </c>
      <c r="L855" s="350">
        <v>16121280.56022609</v>
      </c>
      <c r="M855" s="350">
        <v>15726175.292794183</v>
      </c>
      <c r="N855" s="350">
        <v>15274418.846928643</v>
      </c>
      <c r="O855" s="348">
        <v>80433308.421249956</v>
      </c>
      <c r="P855" s="369"/>
      <c r="Q855" s="350">
        <f t="shared" si="357"/>
        <v>11911680.15463385</v>
      </c>
      <c r="R855" s="350">
        <f t="shared" si="358"/>
        <v>11579888.576960044</v>
      </c>
      <c r="S855" s="350">
        <f t="shared" si="359"/>
        <v>11239380.506518619</v>
      </c>
      <c r="T855" s="350">
        <f t="shared" si="360"/>
        <v>10867273.223361991</v>
      </c>
      <c r="U855" s="350">
        <f t="shared" si="361"/>
        <v>10444455.730076995</v>
      </c>
      <c r="V855" s="350">
        <f t="shared" si="362"/>
        <v>56042678.191551507</v>
      </c>
      <c r="W855" s="365"/>
      <c r="X855" s="377">
        <f t="shared" si="340"/>
        <v>0</v>
      </c>
      <c r="Y855" s="377">
        <f t="shared" si="341"/>
        <v>0</v>
      </c>
      <c r="Z855" s="377">
        <f t="shared" si="342"/>
        <v>0</v>
      </c>
      <c r="AA855" s="377">
        <f t="shared" si="343"/>
        <v>0</v>
      </c>
      <c r="AB855" s="377">
        <f t="shared" si="344"/>
        <v>0</v>
      </c>
      <c r="AC855" s="377">
        <f t="shared" si="345"/>
        <v>0</v>
      </c>
      <c r="AD855" s="376"/>
      <c r="AE855" s="332">
        <v>840</v>
      </c>
      <c r="AF855" s="350">
        <v>559875.18417628144</v>
      </c>
      <c r="AG855" s="350">
        <v>557857.57219670969</v>
      </c>
      <c r="AH855" s="350">
        <v>555675.62375729182</v>
      </c>
      <c r="AI855" s="350">
        <v>553057.90952374844</v>
      </c>
      <c r="AJ855" s="350">
        <v>549763.97266531887</v>
      </c>
      <c r="AK855" s="348">
        <v>2776230.2623193501</v>
      </c>
      <c r="AL855" s="369"/>
      <c r="AM855" s="350">
        <v>14899012.438829508</v>
      </c>
      <c r="AN855" s="350">
        <v>14765653.69337135</v>
      </c>
      <c r="AO855" s="350">
        <v>14619705.756289588</v>
      </c>
      <c r="AP855" s="350">
        <v>14433115.20474422</v>
      </c>
      <c r="AQ855" s="350">
        <v>14181880.106308147</v>
      </c>
      <c r="AR855" s="348">
        <v>72899367.19954282</v>
      </c>
      <c r="AS855" s="369"/>
      <c r="AT855" s="350">
        <f t="shared" si="363"/>
        <v>14339137.254653227</v>
      </c>
      <c r="AU855" s="350">
        <f t="shared" si="346"/>
        <v>14207796.121174641</v>
      </c>
      <c r="AV855" s="350">
        <f t="shared" si="347"/>
        <v>14064030.132532297</v>
      </c>
      <c r="AW855" s="350">
        <f t="shared" si="348"/>
        <v>13880057.295220472</v>
      </c>
      <c r="AX855" s="350">
        <f t="shared" si="349"/>
        <v>13632116.133642828</v>
      </c>
      <c r="AY855" s="350">
        <f t="shared" si="350"/>
        <v>70123136.937223464</v>
      </c>
      <c r="AZ855" s="365"/>
      <c r="BA855" s="377">
        <f t="shared" si="351"/>
        <v>0</v>
      </c>
      <c r="BB855" s="377">
        <f t="shared" si="352"/>
        <v>0</v>
      </c>
      <c r="BC855" s="377">
        <f t="shared" si="353"/>
        <v>0</v>
      </c>
      <c r="BD855" s="377">
        <f t="shared" si="354"/>
        <v>0</v>
      </c>
      <c r="BE855" s="377">
        <f t="shared" si="355"/>
        <v>0</v>
      </c>
      <c r="BF855" s="377">
        <f t="shared" si="356"/>
        <v>0</v>
      </c>
      <c r="BG855" s="328"/>
    </row>
    <row r="856" spans="2:59">
      <c r="B856" s="332">
        <v>841</v>
      </c>
      <c r="C856" s="350">
        <v>5699978.4138881154</v>
      </c>
      <c r="D856" s="350">
        <v>5679437.5057425229</v>
      </c>
      <c r="E856" s="350">
        <v>5657223.5206322586</v>
      </c>
      <c r="F856" s="350">
        <v>5630573.0902387816</v>
      </c>
      <c r="G856" s="350">
        <v>5597038.171170379</v>
      </c>
      <c r="H856" s="348">
        <v>28264250.701672059</v>
      </c>
      <c r="I856" s="369"/>
      <c r="J856" s="350">
        <v>17161097.200560421</v>
      </c>
      <c r="K856" s="350">
        <v>16772952.92266877</v>
      </c>
      <c r="L856" s="350">
        <v>16375097.339443153</v>
      </c>
      <c r="M856" s="350">
        <v>15942792.491484506</v>
      </c>
      <c r="N856" s="350">
        <v>15455338.584764214</v>
      </c>
      <c r="O856" s="348">
        <v>81707278.538921073</v>
      </c>
      <c r="P856" s="369"/>
      <c r="Q856" s="350">
        <f t="shared" si="357"/>
        <v>11461118.786672305</v>
      </c>
      <c r="R856" s="350">
        <f t="shared" si="358"/>
        <v>11093515.416926246</v>
      </c>
      <c r="S856" s="350">
        <f t="shared" si="359"/>
        <v>10717873.818810895</v>
      </c>
      <c r="T856" s="350">
        <f t="shared" si="360"/>
        <v>10312219.401245724</v>
      </c>
      <c r="U856" s="350">
        <f t="shared" si="361"/>
        <v>9858300.4135938361</v>
      </c>
      <c r="V856" s="350">
        <f t="shared" si="362"/>
        <v>53443027.837249011</v>
      </c>
      <c r="W856" s="365"/>
      <c r="X856" s="377">
        <f t="shared" si="340"/>
        <v>0</v>
      </c>
      <c r="Y856" s="377">
        <f t="shared" si="341"/>
        <v>0</v>
      </c>
      <c r="Z856" s="377">
        <f t="shared" si="342"/>
        <v>0</v>
      </c>
      <c r="AA856" s="377">
        <f t="shared" si="343"/>
        <v>0</v>
      </c>
      <c r="AB856" s="377">
        <f t="shared" si="344"/>
        <v>0</v>
      </c>
      <c r="AC856" s="377">
        <f t="shared" si="345"/>
        <v>0</v>
      </c>
      <c r="AD856" s="376"/>
      <c r="AE856" s="332">
        <v>841</v>
      </c>
      <c r="AF856" s="350">
        <v>465536.19973146578</v>
      </c>
      <c r="AG856" s="350">
        <v>463858.55542779039</v>
      </c>
      <c r="AH856" s="350">
        <v>462044.26536242344</v>
      </c>
      <c r="AI856" s="350">
        <v>459867.6360516249</v>
      </c>
      <c r="AJ856" s="350">
        <v>457128.72764745128</v>
      </c>
      <c r="AK856" s="348">
        <v>2308435.3842207557</v>
      </c>
      <c r="AL856" s="369"/>
      <c r="AM856" s="350">
        <v>15076099.064632181</v>
      </c>
      <c r="AN856" s="350">
        <v>14945840.973039696</v>
      </c>
      <c r="AO856" s="350">
        <v>14802748.374461627</v>
      </c>
      <c r="AP856" s="350">
        <v>14618283.076182526</v>
      </c>
      <c r="AQ856" s="350">
        <v>14368019.086691033</v>
      </c>
      <c r="AR856" s="348">
        <v>73810990.575007066</v>
      </c>
      <c r="AS856" s="369"/>
      <c r="AT856" s="350">
        <f t="shared" si="363"/>
        <v>14610562.864900716</v>
      </c>
      <c r="AU856" s="350">
        <f t="shared" si="346"/>
        <v>14481982.417611906</v>
      </c>
      <c r="AV856" s="350">
        <f t="shared" si="347"/>
        <v>14340704.109099204</v>
      </c>
      <c r="AW856" s="350">
        <f t="shared" si="348"/>
        <v>14158415.440130901</v>
      </c>
      <c r="AX856" s="350">
        <f t="shared" si="349"/>
        <v>13910890.359043581</v>
      </c>
      <c r="AY856" s="350">
        <f t="shared" si="350"/>
        <v>71502555.190786317</v>
      </c>
      <c r="AZ856" s="365"/>
      <c r="BA856" s="377">
        <f t="shared" si="351"/>
        <v>0</v>
      </c>
      <c r="BB856" s="377">
        <f t="shared" si="352"/>
        <v>0</v>
      </c>
      <c r="BC856" s="377">
        <f t="shared" si="353"/>
        <v>0</v>
      </c>
      <c r="BD856" s="377">
        <f t="shared" si="354"/>
        <v>0</v>
      </c>
      <c r="BE856" s="377">
        <f t="shared" si="355"/>
        <v>0</v>
      </c>
      <c r="BF856" s="377">
        <f t="shared" si="356"/>
        <v>0</v>
      </c>
      <c r="BG856" s="328"/>
    </row>
    <row r="857" spans="2:59">
      <c r="B857" s="332">
        <v>842</v>
      </c>
      <c r="C857" s="350">
        <v>5467110.9439934874</v>
      </c>
      <c r="D857" s="350">
        <v>5447409.2160976911</v>
      </c>
      <c r="E857" s="350">
        <v>5426102.7632854972</v>
      </c>
      <c r="F857" s="350">
        <v>5400541.1121551506</v>
      </c>
      <c r="G857" s="350">
        <v>5368376.2319166409</v>
      </c>
      <c r="H857" s="348">
        <v>27109540.267448466</v>
      </c>
      <c r="I857" s="369"/>
      <c r="J857" s="350">
        <v>15733965.94673661</v>
      </c>
      <c r="K857" s="350">
        <v>15366911.715778418</v>
      </c>
      <c r="L857" s="350">
        <v>14991182.246558778</v>
      </c>
      <c r="M857" s="350">
        <v>14584458.153860092</v>
      </c>
      <c r="N857" s="350">
        <v>14128092.420952177</v>
      </c>
      <c r="O857" s="348">
        <v>74804610.483886078</v>
      </c>
      <c r="P857" s="369"/>
      <c r="Q857" s="350">
        <f t="shared" si="357"/>
        <v>10266855.002743121</v>
      </c>
      <c r="R857" s="350">
        <f t="shared" si="358"/>
        <v>9919502.4996807277</v>
      </c>
      <c r="S857" s="350">
        <f t="shared" si="359"/>
        <v>9565079.4832732808</v>
      </c>
      <c r="T857" s="350">
        <f t="shared" si="360"/>
        <v>9183917.0417049415</v>
      </c>
      <c r="U857" s="350">
        <f t="shared" si="361"/>
        <v>8759716.1890355349</v>
      </c>
      <c r="V857" s="350">
        <f t="shared" si="362"/>
        <v>47695070.216437608</v>
      </c>
      <c r="W857" s="365"/>
      <c r="X857" s="377">
        <f t="shared" si="340"/>
        <v>0</v>
      </c>
      <c r="Y857" s="377">
        <f t="shared" si="341"/>
        <v>0</v>
      </c>
      <c r="Z857" s="377">
        <f t="shared" si="342"/>
        <v>0</v>
      </c>
      <c r="AA857" s="377">
        <f t="shared" si="343"/>
        <v>0</v>
      </c>
      <c r="AB857" s="377">
        <f t="shared" si="344"/>
        <v>0</v>
      </c>
      <c r="AC857" s="377">
        <f t="shared" si="345"/>
        <v>0</v>
      </c>
      <c r="AD857" s="376"/>
      <c r="AE857" s="332">
        <v>842</v>
      </c>
      <c r="AF857" s="350">
        <v>397962.75770473812</v>
      </c>
      <c r="AG857" s="350">
        <v>396528.62658040575</v>
      </c>
      <c r="AH857" s="350">
        <v>394977.68407989503</v>
      </c>
      <c r="AI857" s="350">
        <v>393116.99654683971</v>
      </c>
      <c r="AJ857" s="350">
        <v>390775.64577271219</v>
      </c>
      <c r="AK857" s="348">
        <v>1973361.710684591</v>
      </c>
      <c r="AL857" s="369"/>
      <c r="AM857" s="350">
        <v>12873800.373303704</v>
      </c>
      <c r="AN857" s="350">
        <v>12762550.207806332</v>
      </c>
      <c r="AO857" s="350">
        <v>12640340.79374158</v>
      </c>
      <c r="AP857" s="350">
        <v>12482803.410405779</v>
      </c>
      <c r="AQ857" s="350">
        <v>12269080.77917021</v>
      </c>
      <c r="AR857" s="348">
        <v>63028575.564427599</v>
      </c>
      <c r="AS857" s="369"/>
      <c r="AT857" s="350">
        <f t="shared" si="363"/>
        <v>12475837.615598965</v>
      </c>
      <c r="AU857" s="350">
        <f t="shared" si="346"/>
        <v>12366021.581225926</v>
      </c>
      <c r="AV857" s="350">
        <f t="shared" si="347"/>
        <v>12245363.109661685</v>
      </c>
      <c r="AW857" s="350">
        <f t="shared" si="348"/>
        <v>12089686.413858939</v>
      </c>
      <c r="AX857" s="350">
        <f t="shared" si="349"/>
        <v>11878305.133397497</v>
      </c>
      <c r="AY857" s="350">
        <f t="shared" si="350"/>
        <v>61055213.853743009</v>
      </c>
      <c r="AZ857" s="365"/>
      <c r="BA857" s="377">
        <f t="shared" si="351"/>
        <v>0</v>
      </c>
      <c r="BB857" s="377">
        <f t="shared" si="352"/>
        <v>0</v>
      </c>
      <c r="BC857" s="377">
        <f t="shared" si="353"/>
        <v>0</v>
      </c>
      <c r="BD857" s="377">
        <f t="shared" si="354"/>
        <v>0</v>
      </c>
      <c r="BE857" s="377">
        <f t="shared" si="355"/>
        <v>0</v>
      </c>
      <c r="BF857" s="377">
        <f t="shared" si="356"/>
        <v>0</v>
      </c>
      <c r="BG857" s="328"/>
    </row>
    <row r="858" spans="2:59">
      <c r="B858" s="332">
        <v>843</v>
      </c>
      <c r="C858" s="350">
        <v>4014461.7675287342</v>
      </c>
      <c r="D858" s="350">
        <v>3999994.9249491426</v>
      </c>
      <c r="E858" s="350">
        <v>3984349.7439582227</v>
      </c>
      <c r="F858" s="350">
        <v>3965580.0002619801</v>
      </c>
      <c r="G858" s="350">
        <v>3941961.5510851797</v>
      </c>
      <c r="H858" s="348">
        <v>19906347.987783261</v>
      </c>
      <c r="I858" s="369"/>
      <c r="J858" s="350">
        <v>14513877.119484287</v>
      </c>
      <c r="K858" s="350">
        <v>14223014.085696345</v>
      </c>
      <c r="L858" s="350">
        <v>13923173.925916865</v>
      </c>
      <c r="M858" s="350">
        <v>13592226.561965637</v>
      </c>
      <c r="N858" s="350">
        <v>13211557.399860464</v>
      </c>
      <c r="O858" s="348">
        <v>69463849.092923597</v>
      </c>
      <c r="P858" s="369"/>
      <c r="Q858" s="350">
        <f t="shared" si="357"/>
        <v>10499415.351955552</v>
      </c>
      <c r="R858" s="350">
        <f t="shared" si="358"/>
        <v>10223019.160747202</v>
      </c>
      <c r="S858" s="350">
        <f t="shared" si="359"/>
        <v>9938824.1819586419</v>
      </c>
      <c r="T858" s="350">
        <f t="shared" si="360"/>
        <v>9626646.5617036559</v>
      </c>
      <c r="U858" s="350">
        <f t="shared" si="361"/>
        <v>9269595.8487752844</v>
      </c>
      <c r="V858" s="350">
        <f t="shared" si="362"/>
        <v>49557501.105140336</v>
      </c>
      <c r="W858" s="365"/>
      <c r="X858" s="377">
        <f t="shared" si="340"/>
        <v>0</v>
      </c>
      <c r="Y858" s="377">
        <f t="shared" si="341"/>
        <v>0</v>
      </c>
      <c r="Z858" s="377">
        <f t="shared" si="342"/>
        <v>0</v>
      </c>
      <c r="AA858" s="377">
        <f t="shared" si="343"/>
        <v>0</v>
      </c>
      <c r="AB858" s="377">
        <f t="shared" si="344"/>
        <v>0</v>
      </c>
      <c r="AC858" s="377">
        <f t="shared" si="345"/>
        <v>0</v>
      </c>
      <c r="AD858" s="376"/>
      <c r="AE858" s="332">
        <v>843</v>
      </c>
      <c r="AF858" s="350">
        <v>411560.54621937254</v>
      </c>
      <c r="AG858" s="350">
        <v>410077.4129928248</v>
      </c>
      <c r="AH858" s="350">
        <v>408473.47712117073</v>
      </c>
      <c r="AI858" s="350">
        <v>406549.21269536222</v>
      </c>
      <c r="AJ858" s="350">
        <v>404127.86148891097</v>
      </c>
      <c r="AK858" s="348">
        <v>2040788.5105176414</v>
      </c>
      <c r="AL858" s="369"/>
      <c r="AM858" s="350">
        <v>12138024.576236036</v>
      </c>
      <c r="AN858" s="350">
        <v>12031446.527028808</v>
      </c>
      <c r="AO858" s="350">
        <v>11914570.014212346</v>
      </c>
      <c r="AP858" s="350">
        <v>11764473.518655624</v>
      </c>
      <c r="AQ858" s="350">
        <v>11561541.755859867</v>
      </c>
      <c r="AR858" s="348">
        <v>59410056.391992688</v>
      </c>
      <c r="AS858" s="369"/>
      <c r="AT858" s="350">
        <f t="shared" si="363"/>
        <v>11726464.030016663</v>
      </c>
      <c r="AU858" s="350">
        <f t="shared" si="346"/>
        <v>11621369.114035983</v>
      </c>
      <c r="AV858" s="350">
        <f t="shared" si="347"/>
        <v>11506096.537091175</v>
      </c>
      <c r="AW858" s="350">
        <f t="shared" si="348"/>
        <v>11357924.305960262</v>
      </c>
      <c r="AX858" s="350">
        <f t="shared" si="349"/>
        <v>11157413.894370956</v>
      </c>
      <c r="AY858" s="350">
        <f t="shared" si="350"/>
        <v>57369267.881475046</v>
      </c>
      <c r="AZ858" s="365"/>
      <c r="BA858" s="377">
        <f t="shared" si="351"/>
        <v>0</v>
      </c>
      <c r="BB858" s="377">
        <f t="shared" si="352"/>
        <v>0</v>
      </c>
      <c r="BC858" s="377">
        <f t="shared" si="353"/>
        <v>0</v>
      </c>
      <c r="BD858" s="377">
        <f t="shared" si="354"/>
        <v>0</v>
      </c>
      <c r="BE858" s="377">
        <f t="shared" si="355"/>
        <v>0</v>
      </c>
      <c r="BF858" s="377">
        <f t="shared" si="356"/>
        <v>0</v>
      </c>
      <c r="BG858" s="328"/>
    </row>
    <row r="859" spans="2:59">
      <c r="B859" s="332">
        <v>844</v>
      </c>
      <c r="C859" s="350">
        <v>4115762.109113561</v>
      </c>
      <c r="D859" s="350">
        <v>4100930.2123424392</v>
      </c>
      <c r="E859" s="350">
        <v>4084890.243140718</v>
      </c>
      <c r="F859" s="350">
        <v>4065646.8664749772</v>
      </c>
      <c r="G859" s="350">
        <v>4041432.4328031535</v>
      </c>
      <c r="H859" s="348">
        <v>20408661.863874849</v>
      </c>
      <c r="I859" s="369"/>
      <c r="J859" s="350">
        <v>14058649.491764091</v>
      </c>
      <c r="K859" s="350">
        <v>13766367.486070272</v>
      </c>
      <c r="L859" s="350">
        <v>13465605.187706824</v>
      </c>
      <c r="M859" s="350">
        <v>13135267.094230874</v>
      </c>
      <c r="N859" s="350">
        <v>12757634.676846424</v>
      </c>
      <c r="O859" s="348">
        <v>67183523.936618492</v>
      </c>
      <c r="P859" s="369"/>
      <c r="Q859" s="350">
        <f t="shared" si="357"/>
        <v>9942887.38265053</v>
      </c>
      <c r="R859" s="350">
        <f t="shared" si="358"/>
        <v>9665437.2737278324</v>
      </c>
      <c r="S859" s="350">
        <f t="shared" si="359"/>
        <v>9380714.9445661064</v>
      </c>
      <c r="T859" s="350">
        <f t="shared" si="360"/>
        <v>9069620.2277558967</v>
      </c>
      <c r="U859" s="350">
        <f t="shared" si="361"/>
        <v>8716202.2440432701</v>
      </c>
      <c r="V859" s="350">
        <f t="shared" si="362"/>
        <v>46774862.072743639</v>
      </c>
      <c r="W859" s="365"/>
      <c r="X859" s="377">
        <f t="shared" si="340"/>
        <v>0</v>
      </c>
      <c r="Y859" s="377">
        <f t="shared" si="341"/>
        <v>0</v>
      </c>
      <c r="Z859" s="377">
        <f t="shared" si="342"/>
        <v>0</v>
      </c>
      <c r="AA859" s="377">
        <f t="shared" si="343"/>
        <v>0</v>
      </c>
      <c r="AB859" s="377">
        <f t="shared" si="344"/>
        <v>0</v>
      </c>
      <c r="AC859" s="377">
        <f t="shared" si="345"/>
        <v>0</v>
      </c>
      <c r="AD859" s="376"/>
      <c r="AE859" s="332">
        <v>844</v>
      </c>
      <c r="AF859" s="350">
        <v>401503.24100402184</v>
      </c>
      <c r="AG859" s="350">
        <v>400056.35110466246</v>
      </c>
      <c r="AH859" s="350">
        <v>398491.6106144783</v>
      </c>
      <c r="AI859" s="350">
        <v>396614.36943913257</v>
      </c>
      <c r="AJ859" s="350">
        <v>394252.18879298033</v>
      </c>
      <c r="AK859" s="348">
        <v>1990917.7609552755</v>
      </c>
      <c r="AL859" s="369"/>
      <c r="AM859" s="350">
        <v>12924787.361129751</v>
      </c>
      <c r="AN859" s="350">
        <v>12813005.448488126</v>
      </c>
      <c r="AO859" s="350">
        <v>12690222.74396597</v>
      </c>
      <c r="AP859" s="350">
        <v>12531976.957416862</v>
      </c>
      <c r="AQ859" s="350">
        <v>12317330.903709177</v>
      </c>
      <c r="AR859" s="348">
        <v>63277323.414709881</v>
      </c>
      <c r="AS859" s="369"/>
      <c r="AT859" s="350">
        <f t="shared" si="363"/>
        <v>12523284.12012573</v>
      </c>
      <c r="AU859" s="350">
        <f t="shared" si="346"/>
        <v>12412949.097383464</v>
      </c>
      <c r="AV859" s="350">
        <f t="shared" si="347"/>
        <v>12291731.133351492</v>
      </c>
      <c r="AW859" s="350">
        <f t="shared" si="348"/>
        <v>12135362.58797773</v>
      </c>
      <c r="AX859" s="350">
        <f t="shared" si="349"/>
        <v>11923078.714916196</v>
      </c>
      <c r="AY859" s="350">
        <f t="shared" si="350"/>
        <v>61286405.653754607</v>
      </c>
      <c r="AZ859" s="365"/>
      <c r="BA859" s="377">
        <f t="shared" si="351"/>
        <v>0</v>
      </c>
      <c r="BB859" s="377">
        <f t="shared" si="352"/>
        <v>0</v>
      </c>
      <c r="BC859" s="377">
        <f t="shared" si="353"/>
        <v>0</v>
      </c>
      <c r="BD859" s="377">
        <f t="shared" si="354"/>
        <v>0</v>
      </c>
      <c r="BE859" s="377">
        <f t="shared" si="355"/>
        <v>0</v>
      </c>
      <c r="BF859" s="377">
        <f t="shared" si="356"/>
        <v>0</v>
      </c>
      <c r="BG859" s="328"/>
    </row>
    <row r="860" spans="2:59">
      <c r="B860" s="332">
        <v>845</v>
      </c>
      <c r="C860" s="350">
        <v>7285679.0591487838</v>
      </c>
      <c r="D860" s="350">
        <v>7259423.7905380111</v>
      </c>
      <c r="E860" s="350">
        <v>7231030.004739847</v>
      </c>
      <c r="F860" s="350">
        <v>7196965.5805374719</v>
      </c>
      <c r="G860" s="350">
        <v>7154101.4431906361</v>
      </c>
      <c r="H860" s="348">
        <v>36127199.878154747</v>
      </c>
      <c r="I860" s="369"/>
      <c r="J860" s="350">
        <v>23839486.360819098</v>
      </c>
      <c r="K860" s="350">
        <v>23329637.832950726</v>
      </c>
      <c r="L860" s="350">
        <v>22805699.526040528</v>
      </c>
      <c r="M860" s="350">
        <v>22232358.735127341</v>
      </c>
      <c r="N860" s="350">
        <v>21579991.03986799</v>
      </c>
      <c r="O860" s="348">
        <v>113787173.49480569</v>
      </c>
      <c r="P860" s="369"/>
      <c r="Q860" s="350">
        <f t="shared" si="357"/>
        <v>16553807.301670313</v>
      </c>
      <c r="R860" s="350">
        <f t="shared" si="358"/>
        <v>16070214.042412715</v>
      </c>
      <c r="S860" s="350">
        <f t="shared" si="359"/>
        <v>15574669.521300681</v>
      </c>
      <c r="T860" s="350">
        <f t="shared" si="360"/>
        <v>15035393.154589869</v>
      </c>
      <c r="U860" s="350">
        <f t="shared" si="361"/>
        <v>14425889.596677354</v>
      </c>
      <c r="V860" s="350">
        <f t="shared" si="362"/>
        <v>77659973.616650939</v>
      </c>
      <c r="W860" s="365"/>
      <c r="X860" s="377">
        <f t="shared" si="340"/>
        <v>0</v>
      </c>
      <c r="Y860" s="377">
        <f t="shared" si="341"/>
        <v>0</v>
      </c>
      <c r="Z860" s="377">
        <f t="shared" si="342"/>
        <v>0</v>
      </c>
      <c r="AA860" s="377">
        <f t="shared" si="343"/>
        <v>0</v>
      </c>
      <c r="AB860" s="377">
        <f t="shared" si="344"/>
        <v>0</v>
      </c>
      <c r="AC860" s="377">
        <f t="shared" si="345"/>
        <v>0</v>
      </c>
      <c r="AD860" s="376"/>
      <c r="AE860" s="332">
        <v>845</v>
      </c>
      <c r="AF860" s="350">
        <v>505369.99521441723</v>
      </c>
      <c r="AG860" s="350">
        <v>503548.80258920562</v>
      </c>
      <c r="AH860" s="350">
        <v>501579.27205177146</v>
      </c>
      <c r="AI860" s="350">
        <v>499216.39856305852</v>
      </c>
      <c r="AJ860" s="350">
        <v>496243.1343401937</v>
      </c>
      <c r="AK860" s="348">
        <v>2505957.6027586465</v>
      </c>
      <c r="AL860" s="369"/>
      <c r="AM860" s="350">
        <v>15436535.345724991</v>
      </c>
      <c r="AN860" s="350">
        <v>15301831.317388512</v>
      </c>
      <c r="AO860" s="350">
        <v>15154013.131766576</v>
      </c>
      <c r="AP860" s="350">
        <v>14963903.321844965</v>
      </c>
      <c r="AQ860" s="350">
        <v>14706531.366988759</v>
      </c>
      <c r="AR860" s="348">
        <v>75562814.483713806</v>
      </c>
      <c r="AS860" s="369"/>
      <c r="AT860" s="350">
        <f t="shared" si="363"/>
        <v>14931165.350510573</v>
      </c>
      <c r="AU860" s="350">
        <f t="shared" si="346"/>
        <v>14798282.514799306</v>
      </c>
      <c r="AV860" s="350">
        <f t="shared" si="347"/>
        <v>14652433.859714804</v>
      </c>
      <c r="AW860" s="350">
        <f t="shared" si="348"/>
        <v>14464686.923281906</v>
      </c>
      <c r="AX860" s="350">
        <f t="shared" si="349"/>
        <v>14210288.232648566</v>
      </c>
      <c r="AY860" s="350">
        <f t="shared" si="350"/>
        <v>73056856.88095516</v>
      </c>
      <c r="AZ860" s="365"/>
      <c r="BA860" s="377">
        <f t="shared" si="351"/>
        <v>0</v>
      </c>
      <c r="BB860" s="377">
        <f t="shared" si="352"/>
        <v>0</v>
      </c>
      <c r="BC860" s="377">
        <f t="shared" si="353"/>
        <v>0</v>
      </c>
      <c r="BD860" s="377">
        <f t="shared" si="354"/>
        <v>0</v>
      </c>
      <c r="BE860" s="377">
        <f t="shared" si="355"/>
        <v>0</v>
      </c>
      <c r="BF860" s="377">
        <f t="shared" si="356"/>
        <v>0</v>
      </c>
      <c r="BG860" s="328"/>
    </row>
    <row r="861" spans="2:59">
      <c r="B861" s="332">
        <v>846</v>
      </c>
      <c r="C861" s="350">
        <v>4131042.8808815423</v>
      </c>
      <c r="D861" s="350">
        <v>4116155.9170721816</v>
      </c>
      <c r="E861" s="350">
        <v>4100056.3955683503</v>
      </c>
      <c r="F861" s="350">
        <v>4080741.5731681194</v>
      </c>
      <c r="G861" s="350">
        <v>4056437.2374988957</v>
      </c>
      <c r="H861" s="348">
        <v>20484434.004189089</v>
      </c>
      <c r="I861" s="369"/>
      <c r="J861" s="350">
        <v>13196542.187278003</v>
      </c>
      <c r="K861" s="350">
        <v>12909764.730741382</v>
      </c>
      <c r="L861" s="350">
        <v>12615280.604732251</v>
      </c>
      <c r="M861" s="350">
        <v>12293689.013951533</v>
      </c>
      <c r="N861" s="350">
        <v>11928725.776544373</v>
      </c>
      <c r="O861" s="348">
        <v>62944002.313247547</v>
      </c>
      <c r="P861" s="369"/>
      <c r="Q861" s="350">
        <f t="shared" si="357"/>
        <v>9065499.3063964602</v>
      </c>
      <c r="R861" s="350">
        <f t="shared" si="358"/>
        <v>8793608.813669201</v>
      </c>
      <c r="S861" s="350">
        <f t="shared" si="359"/>
        <v>8515224.2091639005</v>
      </c>
      <c r="T861" s="350">
        <f t="shared" si="360"/>
        <v>8212947.4407834131</v>
      </c>
      <c r="U861" s="350">
        <f t="shared" si="361"/>
        <v>7872288.5390454773</v>
      </c>
      <c r="V861" s="350">
        <f t="shared" si="362"/>
        <v>42459568.309058458</v>
      </c>
      <c r="W861" s="365"/>
      <c r="X861" s="377">
        <f t="shared" si="340"/>
        <v>0</v>
      </c>
      <c r="Y861" s="377">
        <f t="shared" si="341"/>
        <v>0</v>
      </c>
      <c r="Z861" s="377">
        <f t="shared" si="342"/>
        <v>0</v>
      </c>
      <c r="AA861" s="377">
        <f t="shared" si="343"/>
        <v>0</v>
      </c>
      <c r="AB861" s="377">
        <f t="shared" si="344"/>
        <v>0</v>
      </c>
      <c r="AC861" s="377">
        <f t="shared" si="345"/>
        <v>0</v>
      </c>
      <c r="AD861" s="376"/>
      <c r="AE861" s="332">
        <v>846</v>
      </c>
      <c r="AF861" s="350">
        <v>483629.93294723297</v>
      </c>
      <c r="AG861" s="350">
        <v>481887.08458750538</v>
      </c>
      <c r="AH861" s="350">
        <v>480002.27953224559</v>
      </c>
      <c r="AI861" s="350">
        <v>477741.05239622539</v>
      </c>
      <c r="AJ861" s="350">
        <v>474895.69238206709</v>
      </c>
      <c r="AK861" s="348">
        <v>2398156.0418452765</v>
      </c>
      <c r="AL861" s="369"/>
      <c r="AM861" s="350">
        <v>15755752.443661921</v>
      </c>
      <c r="AN861" s="350">
        <v>15619756.36051756</v>
      </c>
      <c r="AO861" s="350">
        <v>15470344.430177337</v>
      </c>
      <c r="AP861" s="350">
        <v>15277687.579478962</v>
      </c>
      <c r="AQ861" s="350">
        <v>15016254.6804254</v>
      </c>
      <c r="AR861" s="348">
        <v>77139795.49426119</v>
      </c>
      <c r="AS861" s="369"/>
      <c r="AT861" s="350">
        <f t="shared" si="363"/>
        <v>15272122.510714687</v>
      </c>
      <c r="AU861" s="350">
        <f t="shared" si="346"/>
        <v>15137869.275930054</v>
      </c>
      <c r="AV861" s="350">
        <f t="shared" si="347"/>
        <v>14990342.15064509</v>
      </c>
      <c r="AW861" s="350">
        <f t="shared" si="348"/>
        <v>14799946.527082738</v>
      </c>
      <c r="AX861" s="350">
        <f t="shared" si="349"/>
        <v>14541358.988043332</v>
      </c>
      <c r="AY861" s="350">
        <f t="shared" si="350"/>
        <v>74741639.452415913</v>
      </c>
      <c r="AZ861" s="365"/>
      <c r="BA861" s="377">
        <f t="shared" si="351"/>
        <v>0</v>
      </c>
      <c r="BB861" s="377">
        <f t="shared" si="352"/>
        <v>0</v>
      </c>
      <c r="BC861" s="377">
        <f t="shared" si="353"/>
        <v>0</v>
      </c>
      <c r="BD861" s="377">
        <f t="shared" si="354"/>
        <v>0</v>
      </c>
      <c r="BE861" s="377">
        <f t="shared" si="355"/>
        <v>0</v>
      </c>
      <c r="BF861" s="377">
        <f t="shared" si="356"/>
        <v>0</v>
      </c>
      <c r="BG861" s="328"/>
    </row>
    <row r="862" spans="2:59">
      <c r="B862" s="332">
        <v>847</v>
      </c>
      <c r="C862" s="350">
        <v>5817862.090691762</v>
      </c>
      <c r="D862" s="350">
        <v>5796896.3672922757</v>
      </c>
      <c r="E862" s="350">
        <v>5774222.9653121373</v>
      </c>
      <c r="F862" s="350">
        <v>5747021.3660378214</v>
      </c>
      <c r="G862" s="350">
        <v>5712792.8970514992</v>
      </c>
      <c r="H862" s="348">
        <v>28848795.686385497</v>
      </c>
      <c r="I862" s="369"/>
      <c r="J862" s="350">
        <v>20866970.335508592</v>
      </c>
      <c r="K862" s="350">
        <v>20446647.114314131</v>
      </c>
      <c r="L862" s="350">
        <v>20013460.991250079</v>
      </c>
      <c r="M862" s="350">
        <v>19535664.170312725</v>
      </c>
      <c r="N862" s="350">
        <v>18986557.416876163</v>
      </c>
      <c r="O862" s="348">
        <v>99849300.028261691</v>
      </c>
      <c r="P862" s="369"/>
      <c r="Q862" s="350">
        <f t="shared" si="357"/>
        <v>15049108.24481683</v>
      </c>
      <c r="R862" s="350">
        <f t="shared" si="358"/>
        <v>14649750.747021856</v>
      </c>
      <c r="S862" s="350">
        <f t="shared" si="359"/>
        <v>14239238.025937941</v>
      </c>
      <c r="T862" s="350">
        <f t="shared" si="360"/>
        <v>13788642.804274904</v>
      </c>
      <c r="U862" s="350">
        <f t="shared" si="361"/>
        <v>13273764.519824665</v>
      </c>
      <c r="V862" s="350">
        <f t="shared" si="362"/>
        <v>71000504.341876194</v>
      </c>
      <c r="W862" s="365"/>
      <c r="X862" s="377">
        <f t="shared" si="340"/>
        <v>0</v>
      </c>
      <c r="Y862" s="377">
        <f t="shared" si="341"/>
        <v>0</v>
      </c>
      <c r="Z862" s="377">
        <f t="shared" si="342"/>
        <v>0</v>
      </c>
      <c r="AA862" s="377">
        <f t="shared" si="343"/>
        <v>0</v>
      </c>
      <c r="AB862" s="377">
        <f t="shared" si="344"/>
        <v>0</v>
      </c>
      <c r="AC862" s="377">
        <f t="shared" si="345"/>
        <v>0</v>
      </c>
      <c r="AD862" s="376"/>
      <c r="AE862" s="332">
        <v>847</v>
      </c>
      <c r="AF862" s="350">
        <v>626970.5690968429</v>
      </c>
      <c r="AG862" s="350">
        <v>624711.16670359357</v>
      </c>
      <c r="AH862" s="350">
        <v>622267.73378592543</v>
      </c>
      <c r="AI862" s="350">
        <v>619336.31294584624</v>
      </c>
      <c r="AJ862" s="350">
        <v>615647.63103054208</v>
      </c>
      <c r="AK862" s="348">
        <v>3108933.4135627504</v>
      </c>
      <c r="AL862" s="369"/>
      <c r="AM862" s="350">
        <v>19868548.508768428</v>
      </c>
      <c r="AN862" s="350">
        <v>19696259.531665131</v>
      </c>
      <c r="AO862" s="350">
        <v>19507068.904945146</v>
      </c>
      <c r="AP862" s="350">
        <v>19263386.754216805</v>
      </c>
      <c r="AQ862" s="350">
        <v>18933040.937070251</v>
      </c>
      <c r="AR862" s="348">
        <v>97268304.636665761</v>
      </c>
      <c r="AS862" s="369"/>
      <c r="AT862" s="350">
        <f t="shared" si="363"/>
        <v>19241577.939671583</v>
      </c>
      <c r="AU862" s="350">
        <f t="shared" si="346"/>
        <v>19071548.364961538</v>
      </c>
      <c r="AV862" s="350">
        <f t="shared" si="347"/>
        <v>18884801.171159223</v>
      </c>
      <c r="AW862" s="350">
        <f t="shared" si="348"/>
        <v>18644050.441270959</v>
      </c>
      <c r="AX862" s="350">
        <f t="shared" si="349"/>
        <v>18317393.30603971</v>
      </c>
      <c r="AY862" s="350">
        <f t="shared" si="350"/>
        <v>94159371.223103017</v>
      </c>
      <c r="AZ862" s="365"/>
      <c r="BA862" s="377">
        <f t="shared" si="351"/>
        <v>0</v>
      </c>
      <c r="BB862" s="377">
        <f t="shared" si="352"/>
        <v>0</v>
      </c>
      <c r="BC862" s="377">
        <f t="shared" si="353"/>
        <v>0</v>
      </c>
      <c r="BD862" s="377">
        <f t="shared" si="354"/>
        <v>0</v>
      </c>
      <c r="BE862" s="377">
        <f t="shared" si="355"/>
        <v>0</v>
      </c>
      <c r="BF862" s="377">
        <f t="shared" si="356"/>
        <v>0</v>
      </c>
      <c r="BG862" s="328"/>
    </row>
    <row r="863" spans="2:59">
      <c r="B863" s="332">
        <v>848</v>
      </c>
      <c r="C863" s="350">
        <v>7092031.7259901576</v>
      </c>
      <c r="D863" s="350">
        <v>7066474.3007384688</v>
      </c>
      <c r="E863" s="350">
        <v>7038835.1983203236</v>
      </c>
      <c r="F863" s="350">
        <v>7005676.1783841588</v>
      </c>
      <c r="G863" s="350">
        <v>6963951.3344124425</v>
      </c>
      <c r="H863" s="348">
        <v>35166968.737845555</v>
      </c>
      <c r="I863" s="369"/>
      <c r="J863" s="350">
        <v>24961886.601771895</v>
      </c>
      <c r="K863" s="350">
        <v>24452933.050689064</v>
      </c>
      <c r="L863" s="350">
        <v>23928717.904028818</v>
      </c>
      <c r="M863" s="350">
        <v>23351461.714888997</v>
      </c>
      <c r="N863" s="350">
        <v>22689407.853377268</v>
      </c>
      <c r="O863" s="348">
        <v>119384407.12475605</v>
      </c>
      <c r="P863" s="369"/>
      <c r="Q863" s="350">
        <f t="shared" si="357"/>
        <v>17869854.875781737</v>
      </c>
      <c r="R863" s="350">
        <f t="shared" si="358"/>
        <v>17386458.749950595</v>
      </c>
      <c r="S863" s="350">
        <f t="shared" si="359"/>
        <v>16889882.705708496</v>
      </c>
      <c r="T863" s="350">
        <f t="shared" si="360"/>
        <v>16345785.536504839</v>
      </c>
      <c r="U863" s="350">
        <f t="shared" si="361"/>
        <v>15725456.518964825</v>
      </c>
      <c r="V863" s="350">
        <f t="shared" si="362"/>
        <v>84217438.386910498</v>
      </c>
      <c r="W863" s="365"/>
      <c r="X863" s="377">
        <f t="shared" si="340"/>
        <v>0</v>
      </c>
      <c r="Y863" s="377">
        <f t="shared" si="341"/>
        <v>0</v>
      </c>
      <c r="Z863" s="377">
        <f t="shared" si="342"/>
        <v>0</v>
      </c>
      <c r="AA863" s="377">
        <f t="shared" si="343"/>
        <v>0</v>
      </c>
      <c r="AB863" s="377">
        <f t="shared" si="344"/>
        <v>0</v>
      </c>
      <c r="AC863" s="377">
        <f t="shared" si="345"/>
        <v>0</v>
      </c>
      <c r="AD863" s="376"/>
      <c r="AE863" s="332">
        <v>848</v>
      </c>
      <c r="AF863" s="350">
        <v>573367.08510454011</v>
      </c>
      <c r="AG863" s="350">
        <v>571300.85260791483</v>
      </c>
      <c r="AH863" s="350">
        <v>569066.32346299838</v>
      </c>
      <c r="AI863" s="350">
        <v>566385.52741748036</v>
      </c>
      <c r="AJ863" s="350">
        <v>563012.21309954929</v>
      </c>
      <c r="AK863" s="348">
        <v>2843132.0016924832</v>
      </c>
      <c r="AL863" s="369"/>
      <c r="AM863" s="350">
        <v>16644573.420958126</v>
      </c>
      <c r="AN863" s="350">
        <v>16498007.808485448</v>
      </c>
      <c r="AO863" s="350">
        <v>16337328.697907483</v>
      </c>
      <c r="AP863" s="350">
        <v>16131117.868300969</v>
      </c>
      <c r="AQ863" s="350">
        <v>15852489.737246707</v>
      </c>
      <c r="AR863" s="348">
        <v>81463517.532898724</v>
      </c>
      <c r="AS863" s="369"/>
      <c r="AT863" s="350">
        <f t="shared" si="363"/>
        <v>16071206.335853586</v>
      </c>
      <c r="AU863" s="350">
        <f t="shared" si="346"/>
        <v>15926706.955877533</v>
      </c>
      <c r="AV863" s="350">
        <f t="shared" si="347"/>
        <v>15768262.374444485</v>
      </c>
      <c r="AW863" s="350">
        <f t="shared" si="348"/>
        <v>15564732.340883488</v>
      </c>
      <c r="AX863" s="350">
        <f t="shared" si="349"/>
        <v>15289477.524147158</v>
      </c>
      <c r="AY863" s="350">
        <f t="shared" si="350"/>
        <v>78620385.531206235</v>
      </c>
      <c r="AZ863" s="365"/>
      <c r="BA863" s="377">
        <f t="shared" si="351"/>
        <v>0</v>
      </c>
      <c r="BB863" s="377">
        <f t="shared" si="352"/>
        <v>0</v>
      </c>
      <c r="BC863" s="377">
        <f t="shared" si="353"/>
        <v>0</v>
      </c>
      <c r="BD863" s="377">
        <f t="shared" si="354"/>
        <v>0</v>
      </c>
      <c r="BE863" s="377">
        <f t="shared" si="355"/>
        <v>0</v>
      </c>
      <c r="BF863" s="377">
        <f t="shared" si="356"/>
        <v>0</v>
      </c>
      <c r="BG863" s="328"/>
    </row>
    <row r="864" spans="2:59">
      <c r="B864" s="332">
        <v>849</v>
      </c>
      <c r="C864" s="350">
        <v>5198295.3172311373</v>
      </c>
      <c r="D864" s="350">
        <v>5179562.3153017387</v>
      </c>
      <c r="E864" s="350">
        <v>5159303.4921289384</v>
      </c>
      <c r="F864" s="350">
        <v>5134998.6970126862</v>
      </c>
      <c r="G864" s="350">
        <v>5104415.3508841712</v>
      </c>
      <c r="H864" s="348">
        <v>25776575.172558673</v>
      </c>
      <c r="I864" s="369"/>
      <c r="J864" s="350">
        <v>15750006.682513755</v>
      </c>
      <c r="K864" s="350">
        <v>15395308.895513967</v>
      </c>
      <c r="L864" s="350">
        <v>15031667.065316822</v>
      </c>
      <c r="M864" s="350">
        <v>14636327.896642461</v>
      </c>
      <c r="N864" s="350">
        <v>14190248.318977391</v>
      </c>
      <c r="O864" s="348">
        <v>75003558.858964399</v>
      </c>
      <c r="P864" s="369"/>
      <c r="Q864" s="350">
        <f t="shared" si="357"/>
        <v>10551711.365282618</v>
      </c>
      <c r="R864" s="350">
        <f t="shared" si="358"/>
        <v>10215746.580212228</v>
      </c>
      <c r="S864" s="350">
        <f t="shared" si="359"/>
        <v>9872363.5731878839</v>
      </c>
      <c r="T864" s="350">
        <f t="shared" si="360"/>
        <v>9501329.1996297762</v>
      </c>
      <c r="U864" s="350">
        <f t="shared" si="361"/>
        <v>9085832.9680932201</v>
      </c>
      <c r="V864" s="350">
        <f t="shared" si="362"/>
        <v>49226983.686405726</v>
      </c>
      <c r="W864" s="365"/>
      <c r="X864" s="377">
        <f t="shared" si="340"/>
        <v>0</v>
      </c>
      <c r="Y864" s="377">
        <f t="shared" si="341"/>
        <v>0</v>
      </c>
      <c r="Z864" s="377">
        <f t="shared" si="342"/>
        <v>0</v>
      </c>
      <c r="AA864" s="377">
        <f t="shared" si="343"/>
        <v>0</v>
      </c>
      <c r="AB864" s="377">
        <f t="shared" si="344"/>
        <v>0</v>
      </c>
      <c r="AC864" s="377">
        <f t="shared" si="345"/>
        <v>0</v>
      </c>
      <c r="AD864" s="376"/>
      <c r="AE864" s="332">
        <v>849</v>
      </c>
      <c r="AF864" s="350">
        <v>486684.13390890649</v>
      </c>
      <c r="AG864" s="350">
        <v>484930.2791809339</v>
      </c>
      <c r="AH864" s="350">
        <v>483033.57127802097</v>
      </c>
      <c r="AI864" s="350">
        <v>480758.06412824889</v>
      </c>
      <c r="AJ864" s="350">
        <v>477894.7352070823</v>
      </c>
      <c r="AK864" s="348">
        <v>2413300.7837031926</v>
      </c>
      <c r="AL864" s="369"/>
      <c r="AM864" s="350">
        <v>14536808.141093101</v>
      </c>
      <c r="AN864" s="350">
        <v>14409455.728926685</v>
      </c>
      <c r="AO864" s="350">
        <v>14269763.72913749</v>
      </c>
      <c r="AP864" s="350">
        <v>14090271.437954193</v>
      </c>
      <c r="AQ864" s="350">
        <v>13847478.554807931</v>
      </c>
      <c r="AR864" s="348">
        <v>71153777.591919392</v>
      </c>
      <c r="AS864" s="369"/>
      <c r="AT864" s="350">
        <f t="shared" si="363"/>
        <v>14050124.007184194</v>
      </c>
      <c r="AU864" s="350">
        <f t="shared" si="346"/>
        <v>13924525.44974575</v>
      </c>
      <c r="AV864" s="350">
        <f t="shared" si="347"/>
        <v>13786730.157859469</v>
      </c>
      <c r="AW864" s="350">
        <f t="shared" si="348"/>
        <v>13609513.373825945</v>
      </c>
      <c r="AX864" s="350">
        <f t="shared" si="349"/>
        <v>13369583.819600848</v>
      </c>
      <c r="AY864" s="350">
        <f t="shared" si="350"/>
        <v>68740476.808216199</v>
      </c>
      <c r="AZ864" s="365"/>
      <c r="BA864" s="377">
        <f t="shared" si="351"/>
        <v>0</v>
      </c>
      <c r="BB864" s="377">
        <f t="shared" si="352"/>
        <v>0</v>
      </c>
      <c r="BC864" s="377">
        <f t="shared" si="353"/>
        <v>0</v>
      </c>
      <c r="BD864" s="377">
        <f t="shared" si="354"/>
        <v>0</v>
      </c>
      <c r="BE864" s="377">
        <f t="shared" si="355"/>
        <v>0</v>
      </c>
      <c r="BF864" s="377">
        <f t="shared" si="356"/>
        <v>0</v>
      </c>
      <c r="BG864" s="328"/>
    </row>
    <row r="865" spans="2:59">
      <c r="B865" s="332">
        <v>850</v>
      </c>
      <c r="C865" s="350">
        <v>5960012.0530958436</v>
      </c>
      <c r="D865" s="350">
        <v>5938534.0664720749</v>
      </c>
      <c r="E865" s="350">
        <v>5915306.6769293556</v>
      </c>
      <c r="F865" s="350">
        <v>5887440.4509839555</v>
      </c>
      <c r="G865" s="350">
        <v>5852375.6652366454</v>
      </c>
      <c r="H865" s="348">
        <v>29553668.912717875</v>
      </c>
      <c r="I865" s="369"/>
      <c r="J865" s="350">
        <v>21874419.8027585</v>
      </c>
      <c r="K865" s="350">
        <v>21440240.292163879</v>
      </c>
      <c r="L865" s="350">
        <v>20992445.42476188</v>
      </c>
      <c r="M865" s="350">
        <v>20497546.748223621</v>
      </c>
      <c r="N865" s="350">
        <v>19927365.361793812</v>
      </c>
      <c r="O865" s="348">
        <v>104732017.62970169</v>
      </c>
      <c r="P865" s="369"/>
      <c r="Q865" s="350">
        <f t="shared" si="357"/>
        <v>15914407.749662656</v>
      </c>
      <c r="R865" s="350">
        <f t="shared" si="358"/>
        <v>15501706.225691803</v>
      </c>
      <c r="S865" s="350">
        <f t="shared" si="359"/>
        <v>15077138.747832526</v>
      </c>
      <c r="T865" s="350">
        <f t="shared" si="360"/>
        <v>14610106.297239665</v>
      </c>
      <c r="U865" s="350">
        <f t="shared" si="361"/>
        <v>14074989.696557168</v>
      </c>
      <c r="V865" s="350">
        <f t="shared" si="362"/>
        <v>75178348.71698381</v>
      </c>
      <c r="W865" s="365"/>
      <c r="X865" s="377">
        <f t="shared" si="340"/>
        <v>0</v>
      </c>
      <c r="Y865" s="377">
        <f t="shared" si="341"/>
        <v>0</v>
      </c>
      <c r="Z865" s="377">
        <f t="shared" si="342"/>
        <v>0</v>
      </c>
      <c r="AA865" s="377">
        <f t="shared" si="343"/>
        <v>0</v>
      </c>
      <c r="AB865" s="377">
        <f t="shared" si="344"/>
        <v>0</v>
      </c>
      <c r="AC865" s="377">
        <f t="shared" si="345"/>
        <v>0</v>
      </c>
      <c r="AD865" s="376"/>
      <c r="AE865" s="332">
        <v>850</v>
      </c>
      <c r="AF865" s="350">
        <v>529408.67465477856</v>
      </c>
      <c r="AG865" s="350">
        <v>527500.85427934222</v>
      </c>
      <c r="AH865" s="350">
        <v>525437.64007709664</v>
      </c>
      <c r="AI865" s="350">
        <v>522962.37297797698</v>
      </c>
      <c r="AJ865" s="350">
        <v>519847.68099679291</v>
      </c>
      <c r="AK865" s="348">
        <v>2625157.2229859871</v>
      </c>
      <c r="AL865" s="369"/>
      <c r="AM865" s="350">
        <v>16531724.47212887</v>
      </c>
      <c r="AN865" s="350">
        <v>16388011.711450713</v>
      </c>
      <c r="AO865" s="350">
        <v>16230243.177228903</v>
      </c>
      <c r="AP865" s="350">
        <v>16027153.617739361</v>
      </c>
      <c r="AQ865" s="350">
        <v>15751984.670478731</v>
      </c>
      <c r="AR865" s="348">
        <v>80929117.649026573</v>
      </c>
      <c r="AS865" s="369"/>
      <c r="AT865" s="350">
        <f t="shared" si="363"/>
        <v>16002315.797474092</v>
      </c>
      <c r="AU865" s="350">
        <f t="shared" si="346"/>
        <v>15860510.85717137</v>
      </c>
      <c r="AV865" s="350">
        <f t="shared" si="347"/>
        <v>15704805.537151806</v>
      </c>
      <c r="AW865" s="350">
        <f t="shared" si="348"/>
        <v>15504191.244761383</v>
      </c>
      <c r="AX865" s="350">
        <f t="shared" si="349"/>
        <v>15232136.989481939</v>
      </c>
      <c r="AY865" s="350">
        <f t="shared" si="350"/>
        <v>78303960.42604059</v>
      </c>
      <c r="AZ865" s="365"/>
      <c r="BA865" s="377">
        <f t="shared" si="351"/>
        <v>0</v>
      </c>
      <c r="BB865" s="377">
        <f t="shared" si="352"/>
        <v>0</v>
      </c>
      <c r="BC865" s="377">
        <f t="shared" si="353"/>
        <v>0</v>
      </c>
      <c r="BD865" s="377">
        <f t="shared" si="354"/>
        <v>0</v>
      </c>
      <c r="BE865" s="377">
        <f t="shared" si="355"/>
        <v>0</v>
      </c>
      <c r="BF865" s="377">
        <f t="shared" si="356"/>
        <v>0</v>
      </c>
      <c r="BG865" s="328"/>
    </row>
    <row r="866" spans="2:59">
      <c r="B866" s="332">
        <v>851</v>
      </c>
      <c r="C866" s="350">
        <v>3149413.1956301378</v>
      </c>
      <c r="D866" s="350">
        <v>3138063.7127958992</v>
      </c>
      <c r="E866" s="350">
        <v>3125789.8035362884</v>
      </c>
      <c r="F866" s="350">
        <v>3111064.6219556117</v>
      </c>
      <c r="G866" s="350">
        <v>3092535.5488680569</v>
      </c>
      <c r="H866" s="348">
        <v>15616866.882785995</v>
      </c>
      <c r="I866" s="369"/>
      <c r="J866" s="350">
        <v>10506513.541422637</v>
      </c>
      <c r="K866" s="350">
        <v>10284668.10241187</v>
      </c>
      <c r="L866" s="350">
        <v>10056554.742243282</v>
      </c>
      <c r="M866" s="350">
        <v>9806518.2930172589</v>
      </c>
      <c r="N866" s="350">
        <v>9521418.1703667007</v>
      </c>
      <c r="O866" s="348">
        <v>50175672.849461749</v>
      </c>
      <c r="P866" s="369"/>
      <c r="Q866" s="350">
        <f t="shared" si="357"/>
        <v>7357100.3457924994</v>
      </c>
      <c r="R866" s="350">
        <f t="shared" si="358"/>
        <v>7146604.3896159707</v>
      </c>
      <c r="S866" s="350">
        <f t="shared" si="359"/>
        <v>6930764.9387069941</v>
      </c>
      <c r="T866" s="350">
        <f t="shared" si="360"/>
        <v>6695453.6710616471</v>
      </c>
      <c r="U866" s="350">
        <f t="shared" si="361"/>
        <v>6428882.6214986444</v>
      </c>
      <c r="V866" s="350">
        <f t="shared" si="362"/>
        <v>34558805.966675758</v>
      </c>
      <c r="W866" s="365"/>
      <c r="X866" s="377">
        <f t="shared" si="340"/>
        <v>0</v>
      </c>
      <c r="Y866" s="377">
        <f t="shared" si="341"/>
        <v>0</v>
      </c>
      <c r="Z866" s="377">
        <f t="shared" si="342"/>
        <v>0</v>
      </c>
      <c r="AA866" s="377">
        <f t="shared" si="343"/>
        <v>0</v>
      </c>
      <c r="AB866" s="377">
        <f t="shared" si="344"/>
        <v>0</v>
      </c>
      <c r="AC866" s="377">
        <f t="shared" si="345"/>
        <v>0</v>
      </c>
      <c r="AD866" s="376"/>
      <c r="AE866" s="332">
        <v>851</v>
      </c>
      <c r="AF866" s="350">
        <v>512700.76869791537</v>
      </c>
      <c r="AG866" s="350">
        <v>510853.15829813946</v>
      </c>
      <c r="AH866" s="350">
        <v>508855.05823268526</v>
      </c>
      <c r="AI866" s="350">
        <v>506457.90947935422</v>
      </c>
      <c r="AJ866" s="350">
        <v>503441.51581324835</v>
      </c>
      <c r="AK866" s="348">
        <v>2542308.4105213429</v>
      </c>
      <c r="AL866" s="369"/>
      <c r="AM866" s="350">
        <v>14333318.001217846</v>
      </c>
      <c r="AN866" s="350">
        <v>14206225.140387684</v>
      </c>
      <c r="AO866" s="350">
        <v>14066996.527828051</v>
      </c>
      <c r="AP866" s="350">
        <v>13888605.054853659</v>
      </c>
      <c r="AQ866" s="350">
        <v>13647924.495820744</v>
      </c>
      <c r="AR866" s="348">
        <v>70143069.220107988</v>
      </c>
      <c r="AS866" s="369"/>
      <c r="AT866" s="350">
        <f t="shared" si="363"/>
        <v>13820617.23251993</v>
      </c>
      <c r="AU866" s="350">
        <f t="shared" si="346"/>
        <v>13695371.982089546</v>
      </c>
      <c r="AV866" s="350">
        <f t="shared" si="347"/>
        <v>13558141.469595365</v>
      </c>
      <c r="AW866" s="350">
        <f t="shared" si="348"/>
        <v>13382147.145374306</v>
      </c>
      <c r="AX866" s="350">
        <f t="shared" si="349"/>
        <v>13144482.980007496</v>
      </c>
      <c r="AY866" s="350">
        <f t="shared" si="350"/>
        <v>67600760.809586644</v>
      </c>
      <c r="AZ866" s="365"/>
      <c r="BA866" s="377">
        <f t="shared" si="351"/>
        <v>0</v>
      </c>
      <c r="BB866" s="377">
        <f t="shared" si="352"/>
        <v>0</v>
      </c>
      <c r="BC866" s="377">
        <f t="shared" si="353"/>
        <v>0</v>
      </c>
      <c r="BD866" s="377">
        <f t="shared" si="354"/>
        <v>0</v>
      </c>
      <c r="BE866" s="377">
        <f t="shared" si="355"/>
        <v>0</v>
      </c>
      <c r="BF866" s="377">
        <f t="shared" si="356"/>
        <v>0</v>
      </c>
      <c r="BG866" s="328"/>
    </row>
    <row r="867" spans="2:59">
      <c r="B867" s="332">
        <v>852</v>
      </c>
      <c r="C867" s="350">
        <v>7013963.0420513973</v>
      </c>
      <c r="D867" s="350">
        <v>6988686.9514907179</v>
      </c>
      <c r="E867" s="350">
        <v>6961352.0987480395</v>
      </c>
      <c r="F867" s="350">
        <v>6928558.0914270356</v>
      </c>
      <c r="G867" s="350">
        <v>6887292.5521767698</v>
      </c>
      <c r="H867" s="348">
        <v>34779852.735893965</v>
      </c>
      <c r="I867" s="369"/>
      <c r="J867" s="350">
        <v>22236092.771504484</v>
      </c>
      <c r="K867" s="350">
        <v>21750407.106850185</v>
      </c>
      <c r="L867" s="350">
        <v>21251786.13588497</v>
      </c>
      <c r="M867" s="350">
        <v>20707619.325918827</v>
      </c>
      <c r="N867" s="350">
        <v>20090574.707190391</v>
      </c>
      <c r="O867" s="348">
        <v>106036480.04734886</v>
      </c>
      <c r="P867" s="369"/>
      <c r="Q867" s="350">
        <f t="shared" si="357"/>
        <v>15222129.729453087</v>
      </c>
      <c r="R867" s="350">
        <f t="shared" si="358"/>
        <v>14761720.155359466</v>
      </c>
      <c r="S867" s="350">
        <f t="shared" si="359"/>
        <v>14290434.037136931</v>
      </c>
      <c r="T867" s="350">
        <f t="shared" si="360"/>
        <v>13779061.234491792</v>
      </c>
      <c r="U867" s="350">
        <f t="shared" si="361"/>
        <v>13203282.155013621</v>
      </c>
      <c r="V867" s="350">
        <f t="shared" si="362"/>
        <v>71256627.311454892</v>
      </c>
      <c r="W867" s="365"/>
      <c r="X867" s="377">
        <f t="shared" si="340"/>
        <v>0</v>
      </c>
      <c r="Y867" s="377">
        <f t="shared" si="341"/>
        <v>0</v>
      </c>
      <c r="Z867" s="377">
        <f t="shared" si="342"/>
        <v>0</v>
      </c>
      <c r="AA867" s="377">
        <f t="shared" si="343"/>
        <v>0</v>
      </c>
      <c r="AB867" s="377">
        <f t="shared" si="344"/>
        <v>0</v>
      </c>
      <c r="AC867" s="377">
        <f t="shared" si="345"/>
        <v>0</v>
      </c>
      <c r="AD867" s="376"/>
      <c r="AE867" s="332">
        <v>852</v>
      </c>
      <c r="AF867" s="350">
        <v>530488.36437271454</v>
      </c>
      <c r="AG867" s="350">
        <v>528576.65313915373</v>
      </c>
      <c r="AH867" s="350">
        <v>526509.23116460163</v>
      </c>
      <c r="AI867" s="350">
        <v>524028.91594186018</v>
      </c>
      <c r="AJ867" s="350">
        <v>520907.8717774431</v>
      </c>
      <c r="AK867" s="348">
        <v>2630511.0363957733</v>
      </c>
      <c r="AL867" s="369"/>
      <c r="AM867" s="350">
        <v>17178272.963851914</v>
      </c>
      <c r="AN867" s="350">
        <v>17029850.199554823</v>
      </c>
      <c r="AO867" s="350">
        <v>16866803.353320565</v>
      </c>
      <c r="AP867" s="350">
        <v>16656614.995916</v>
      </c>
      <c r="AQ867" s="350">
        <v>16371453.289616553</v>
      </c>
      <c r="AR867" s="348">
        <v>84102994.802259848</v>
      </c>
      <c r="AS867" s="369"/>
      <c r="AT867" s="350">
        <f t="shared" si="363"/>
        <v>16647784.599479198</v>
      </c>
      <c r="AU867" s="350">
        <f t="shared" si="346"/>
        <v>16501273.54641567</v>
      </c>
      <c r="AV867" s="350">
        <f t="shared" si="347"/>
        <v>16340294.122155964</v>
      </c>
      <c r="AW867" s="350">
        <f t="shared" si="348"/>
        <v>16132586.079974139</v>
      </c>
      <c r="AX867" s="350">
        <f t="shared" si="349"/>
        <v>15850545.41783911</v>
      </c>
      <c r="AY867" s="350">
        <f t="shared" si="350"/>
        <v>81472483.765864074</v>
      </c>
      <c r="AZ867" s="365"/>
      <c r="BA867" s="377">
        <f t="shared" si="351"/>
        <v>0</v>
      </c>
      <c r="BB867" s="377">
        <f t="shared" si="352"/>
        <v>0</v>
      </c>
      <c r="BC867" s="377">
        <f t="shared" si="353"/>
        <v>0</v>
      </c>
      <c r="BD867" s="377">
        <f t="shared" si="354"/>
        <v>0</v>
      </c>
      <c r="BE867" s="377">
        <f t="shared" si="355"/>
        <v>0</v>
      </c>
      <c r="BF867" s="377">
        <f t="shared" si="356"/>
        <v>0</v>
      </c>
      <c r="BG867" s="328"/>
    </row>
    <row r="868" spans="2:59">
      <c r="B868" s="332">
        <v>853</v>
      </c>
      <c r="C868" s="350">
        <v>2953493.0233349563</v>
      </c>
      <c r="D868" s="350">
        <v>2942849.5744487024</v>
      </c>
      <c r="E868" s="350">
        <v>2931339.2062894516</v>
      </c>
      <c r="F868" s="350">
        <v>2917530.0557066659</v>
      </c>
      <c r="G868" s="350">
        <v>2900153.6478828564</v>
      </c>
      <c r="H868" s="348">
        <v>14645365.507662632</v>
      </c>
      <c r="I868" s="369"/>
      <c r="J868" s="350">
        <v>10868077.969046367</v>
      </c>
      <c r="K868" s="350">
        <v>10652716.578448886</v>
      </c>
      <c r="L868" s="350">
        <v>10430583.266148787</v>
      </c>
      <c r="M868" s="350">
        <v>10185028.139434118</v>
      </c>
      <c r="N868" s="350">
        <v>9902040.2554771788</v>
      </c>
      <c r="O868" s="348">
        <v>52038446.208555341</v>
      </c>
      <c r="P868" s="369"/>
      <c r="Q868" s="350">
        <f t="shared" si="357"/>
        <v>7914584.9457114115</v>
      </c>
      <c r="R868" s="350">
        <f t="shared" si="358"/>
        <v>7709867.0040001832</v>
      </c>
      <c r="S868" s="350">
        <f t="shared" si="359"/>
        <v>7499244.0598593354</v>
      </c>
      <c r="T868" s="350">
        <f t="shared" si="360"/>
        <v>7267498.083727452</v>
      </c>
      <c r="U868" s="350">
        <f t="shared" si="361"/>
        <v>7001886.6075943224</v>
      </c>
      <c r="V868" s="350">
        <f t="shared" si="362"/>
        <v>37393080.700892709</v>
      </c>
      <c r="W868" s="365"/>
      <c r="X868" s="377">
        <f t="shared" si="340"/>
        <v>0</v>
      </c>
      <c r="Y868" s="377">
        <f t="shared" si="341"/>
        <v>0</v>
      </c>
      <c r="Z868" s="377">
        <f t="shared" si="342"/>
        <v>0</v>
      </c>
      <c r="AA868" s="377">
        <f t="shared" si="343"/>
        <v>0</v>
      </c>
      <c r="AB868" s="377">
        <f t="shared" si="344"/>
        <v>0</v>
      </c>
      <c r="AC868" s="377">
        <f t="shared" si="345"/>
        <v>0</v>
      </c>
      <c r="AD868" s="376"/>
      <c r="AE868" s="332">
        <v>853</v>
      </c>
      <c r="AF868" s="350">
        <v>405933.12750114652</v>
      </c>
      <c r="AG868" s="350">
        <v>404470.27370069391</v>
      </c>
      <c r="AH868" s="350">
        <v>402888.26903413184</v>
      </c>
      <c r="AI868" s="350">
        <v>400990.31578355178</v>
      </c>
      <c r="AJ868" s="350">
        <v>398602.07260270626</v>
      </c>
      <c r="AK868" s="348">
        <v>2012884.0586222305</v>
      </c>
      <c r="AL868" s="369"/>
      <c r="AM868" s="350">
        <v>15544339.4616022</v>
      </c>
      <c r="AN868" s="350">
        <v>15413471.954378214</v>
      </c>
      <c r="AO868" s="350">
        <v>15269301.152806692</v>
      </c>
      <c r="AP868" s="350">
        <v>15082291.534690501</v>
      </c>
      <c r="AQ868" s="350">
        <v>14827156.705104815</v>
      </c>
      <c r="AR868" s="348">
        <v>76136560.808582425</v>
      </c>
      <c r="AS868" s="369"/>
      <c r="AT868" s="350">
        <f t="shared" si="363"/>
        <v>15138406.334101053</v>
      </c>
      <c r="AU868" s="350">
        <f t="shared" si="346"/>
        <v>15009001.68067752</v>
      </c>
      <c r="AV868" s="350">
        <f t="shared" si="347"/>
        <v>14866412.883772559</v>
      </c>
      <c r="AW868" s="350">
        <f t="shared" si="348"/>
        <v>14681301.21890695</v>
      </c>
      <c r="AX868" s="350">
        <f t="shared" si="349"/>
        <v>14428554.632502109</v>
      </c>
      <c r="AY868" s="350">
        <f t="shared" si="350"/>
        <v>74123676.749960199</v>
      </c>
      <c r="AZ868" s="365"/>
      <c r="BA868" s="377">
        <f t="shared" si="351"/>
        <v>0</v>
      </c>
      <c r="BB868" s="377">
        <f t="shared" si="352"/>
        <v>0</v>
      </c>
      <c r="BC868" s="377">
        <f t="shared" si="353"/>
        <v>0</v>
      </c>
      <c r="BD868" s="377">
        <f t="shared" si="354"/>
        <v>0</v>
      </c>
      <c r="BE868" s="377">
        <f t="shared" si="355"/>
        <v>0</v>
      </c>
      <c r="BF868" s="377">
        <f t="shared" si="356"/>
        <v>0</v>
      </c>
      <c r="BG868" s="328"/>
    </row>
    <row r="869" spans="2:59">
      <c r="B869" s="332">
        <v>854</v>
      </c>
      <c r="C869" s="350">
        <v>3269322.1265778691</v>
      </c>
      <c r="D869" s="350">
        <v>3257540.5301183518</v>
      </c>
      <c r="E869" s="350">
        <v>3244799.3111580294</v>
      </c>
      <c r="F869" s="350">
        <v>3229513.491556339</v>
      </c>
      <c r="G869" s="350">
        <v>3210278.9532892825</v>
      </c>
      <c r="H869" s="348">
        <v>16211454.412699871</v>
      </c>
      <c r="I869" s="369"/>
      <c r="J869" s="350">
        <v>12646212.20846419</v>
      </c>
      <c r="K869" s="350">
        <v>12403381.850487459</v>
      </c>
      <c r="L869" s="350">
        <v>12152513.020072432</v>
      </c>
      <c r="M869" s="350">
        <v>11873980.893605953</v>
      </c>
      <c r="N869" s="350">
        <v>11551252.168461906</v>
      </c>
      <c r="O869" s="348">
        <v>60627340.141091943</v>
      </c>
      <c r="P869" s="369"/>
      <c r="Q869" s="350">
        <f t="shared" si="357"/>
        <v>9376890.0818863213</v>
      </c>
      <c r="R869" s="350">
        <f t="shared" si="358"/>
        <v>9145841.3203691076</v>
      </c>
      <c r="S869" s="350">
        <f t="shared" si="359"/>
        <v>8907713.7089144029</v>
      </c>
      <c r="T869" s="350">
        <f t="shared" si="360"/>
        <v>8644467.4020496141</v>
      </c>
      <c r="U869" s="350">
        <f t="shared" si="361"/>
        <v>8340973.2151726233</v>
      </c>
      <c r="V869" s="350">
        <f t="shared" si="362"/>
        <v>44415885.728392072</v>
      </c>
      <c r="W869" s="365"/>
      <c r="X869" s="377">
        <f t="shared" si="340"/>
        <v>0</v>
      </c>
      <c r="Y869" s="377">
        <f t="shared" si="341"/>
        <v>0</v>
      </c>
      <c r="Z869" s="377">
        <f t="shared" si="342"/>
        <v>0</v>
      </c>
      <c r="AA869" s="377">
        <f t="shared" si="343"/>
        <v>0</v>
      </c>
      <c r="AB869" s="377">
        <f t="shared" si="344"/>
        <v>0</v>
      </c>
      <c r="AC869" s="377">
        <f t="shared" si="345"/>
        <v>0</v>
      </c>
      <c r="AD869" s="376"/>
      <c r="AE869" s="332">
        <v>854</v>
      </c>
      <c r="AF869" s="350">
        <v>454139.97172731883</v>
      </c>
      <c r="AG869" s="350">
        <v>452503.39580244099</v>
      </c>
      <c r="AH869" s="350">
        <v>450733.51917530393</v>
      </c>
      <c r="AI869" s="350">
        <v>448610.17329105886</v>
      </c>
      <c r="AJ869" s="350">
        <v>445938.3127870796</v>
      </c>
      <c r="AK869" s="348">
        <v>2251925.3727832022</v>
      </c>
      <c r="AL869" s="369"/>
      <c r="AM869" s="350">
        <v>15293023.30818633</v>
      </c>
      <c r="AN869" s="350">
        <v>15161730.507743035</v>
      </c>
      <c r="AO869" s="350">
        <v>15017401.386341929</v>
      </c>
      <c r="AP869" s="350">
        <v>14831060.012369512</v>
      </c>
      <c r="AQ869" s="350">
        <v>14577904.073854253</v>
      </c>
      <c r="AR869" s="348">
        <v>74881119.288495064</v>
      </c>
      <c r="AS869" s="369"/>
      <c r="AT869" s="350">
        <f t="shared" si="363"/>
        <v>14838883.336459011</v>
      </c>
      <c r="AU869" s="350">
        <f t="shared" si="346"/>
        <v>14709227.111940594</v>
      </c>
      <c r="AV869" s="350">
        <f t="shared" si="347"/>
        <v>14566667.867166625</v>
      </c>
      <c r="AW869" s="350">
        <f t="shared" si="348"/>
        <v>14382449.839078452</v>
      </c>
      <c r="AX869" s="350">
        <f t="shared" si="349"/>
        <v>14131965.761067173</v>
      </c>
      <c r="AY869" s="350">
        <f t="shared" si="350"/>
        <v>72629193.915711865</v>
      </c>
      <c r="AZ869" s="365"/>
      <c r="BA869" s="377">
        <f t="shared" si="351"/>
        <v>0</v>
      </c>
      <c r="BB869" s="377">
        <f t="shared" si="352"/>
        <v>0</v>
      </c>
      <c r="BC869" s="377">
        <f t="shared" si="353"/>
        <v>0</v>
      </c>
      <c r="BD869" s="377">
        <f t="shared" si="354"/>
        <v>0</v>
      </c>
      <c r="BE869" s="377">
        <f t="shared" si="355"/>
        <v>0</v>
      </c>
      <c r="BF869" s="377">
        <f t="shared" si="356"/>
        <v>0</v>
      </c>
      <c r="BG869" s="328"/>
    </row>
    <row r="870" spans="2:59">
      <c r="B870" s="332">
        <v>855</v>
      </c>
      <c r="C870" s="350">
        <v>4383523.5083804745</v>
      </c>
      <c r="D870" s="350">
        <v>4367726.6847433355</v>
      </c>
      <c r="E870" s="350">
        <v>4350643.194443021</v>
      </c>
      <c r="F870" s="350">
        <v>4330147.8908373751</v>
      </c>
      <c r="G870" s="350">
        <v>4304358.1254358422</v>
      </c>
      <c r="H870" s="348">
        <v>21736399.40384005</v>
      </c>
      <c r="I870" s="369"/>
      <c r="J870" s="350">
        <v>13468052.999366902</v>
      </c>
      <c r="K870" s="350">
        <v>13167604.494170008</v>
      </c>
      <c r="L870" s="350">
        <v>12859449.439102022</v>
      </c>
      <c r="M870" s="350">
        <v>12524038.848184135</v>
      </c>
      <c r="N870" s="350">
        <v>12145004.060676577</v>
      </c>
      <c r="O870" s="348">
        <v>64164149.841499642</v>
      </c>
      <c r="P870" s="369"/>
      <c r="Q870" s="350">
        <f t="shared" si="357"/>
        <v>9084529.4909864273</v>
      </c>
      <c r="R870" s="350">
        <f t="shared" si="358"/>
        <v>8799877.8094266728</v>
      </c>
      <c r="S870" s="350">
        <f t="shared" si="359"/>
        <v>8508806.244659001</v>
      </c>
      <c r="T870" s="350">
        <f t="shared" si="360"/>
        <v>8193890.9573467597</v>
      </c>
      <c r="U870" s="350">
        <f t="shared" si="361"/>
        <v>7840645.9352407344</v>
      </c>
      <c r="V870" s="350">
        <f t="shared" si="362"/>
        <v>42427750.437659591</v>
      </c>
      <c r="W870" s="365"/>
      <c r="X870" s="377">
        <f t="shared" si="340"/>
        <v>0</v>
      </c>
      <c r="Y870" s="377">
        <f t="shared" si="341"/>
        <v>0</v>
      </c>
      <c r="Z870" s="377">
        <f t="shared" si="342"/>
        <v>0</v>
      </c>
      <c r="AA870" s="377">
        <f t="shared" si="343"/>
        <v>0</v>
      </c>
      <c r="AB870" s="377">
        <f t="shared" si="344"/>
        <v>0</v>
      </c>
      <c r="AC870" s="377">
        <f t="shared" si="345"/>
        <v>0</v>
      </c>
      <c r="AD870" s="376"/>
      <c r="AE870" s="332">
        <v>855</v>
      </c>
      <c r="AF870" s="350">
        <v>526186.92364601395</v>
      </c>
      <c r="AG870" s="350">
        <v>524290.71343586827</v>
      </c>
      <c r="AH870" s="350">
        <v>522240.05505817878</v>
      </c>
      <c r="AI870" s="350">
        <v>519779.85135838611</v>
      </c>
      <c r="AJ870" s="350">
        <v>516684.11403834174</v>
      </c>
      <c r="AK870" s="348">
        <v>2609181.6575367888</v>
      </c>
      <c r="AL870" s="369"/>
      <c r="AM870" s="350">
        <v>18509989.319567133</v>
      </c>
      <c r="AN870" s="350">
        <v>18352167.962447073</v>
      </c>
      <c r="AO870" s="350">
        <v>18178545.778458521</v>
      </c>
      <c r="AP870" s="350">
        <v>17954016.411013413</v>
      </c>
      <c r="AQ870" s="350">
        <v>17648527.985012662</v>
      </c>
      <c r="AR870" s="348">
        <v>90643247.456498802</v>
      </c>
      <c r="AS870" s="369"/>
      <c r="AT870" s="350">
        <f t="shared" si="363"/>
        <v>17983802.395921119</v>
      </c>
      <c r="AU870" s="350">
        <f t="shared" si="346"/>
        <v>17827877.249011204</v>
      </c>
      <c r="AV870" s="350">
        <f t="shared" si="347"/>
        <v>17656305.723400343</v>
      </c>
      <c r="AW870" s="350">
        <f t="shared" si="348"/>
        <v>17434236.559655026</v>
      </c>
      <c r="AX870" s="350">
        <f t="shared" si="349"/>
        <v>17131843.870974321</v>
      </c>
      <c r="AY870" s="350">
        <f t="shared" si="350"/>
        <v>88034065.798962012</v>
      </c>
      <c r="AZ870" s="365"/>
      <c r="BA870" s="377">
        <f t="shared" si="351"/>
        <v>0</v>
      </c>
      <c r="BB870" s="377">
        <f t="shared" si="352"/>
        <v>0</v>
      </c>
      <c r="BC870" s="377">
        <f t="shared" si="353"/>
        <v>0</v>
      </c>
      <c r="BD870" s="377">
        <f t="shared" si="354"/>
        <v>0</v>
      </c>
      <c r="BE870" s="377">
        <f t="shared" si="355"/>
        <v>0</v>
      </c>
      <c r="BF870" s="377">
        <f t="shared" si="356"/>
        <v>0</v>
      </c>
      <c r="BG870" s="328"/>
    </row>
    <row r="871" spans="2:59">
      <c r="B871" s="332">
        <v>856</v>
      </c>
      <c r="C871" s="350">
        <v>5078279.2984621506</v>
      </c>
      <c r="D871" s="350">
        <v>5059978.7960684542</v>
      </c>
      <c r="E871" s="350">
        <v>5040187.6999395732</v>
      </c>
      <c r="F871" s="350">
        <v>5016444.0435368503</v>
      </c>
      <c r="G871" s="350">
        <v>4986566.7926220521</v>
      </c>
      <c r="H871" s="348">
        <v>25181456.630629081</v>
      </c>
      <c r="I871" s="369"/>
      <c r="J871" s="350">
        <v>15348094.68053088</v>
      </c>
      <c r="K871" s="350">
        <v>15001861.920821507</v>
      </c>
      <c r="L871" s="350">
        <v>14646925.324659972</v>
      </c>
      <c r="M871" s="350">
        <v>14261131.153208043</v>
      </c>
      <c r="N871" s="350">
        <v>13825939.643277276</v>
      </c>
      <c r="O871" s="348">
        <v>73083952.722497672</v>
      </c>
      <c r="P871" s="369"/>
      <c r="Q871" s="350">
        <f t="shared" si="357"/>
        <v>10269815.382068729</v>
      </c>
      <c r="R871" s="350">
        <f t="shared" si="358"/>
        <v>9941883.1247530524</v>
      </c>
      <c r="S871" s="350">
        <f t="shared" si="359"/>
        <v>9606737.6247203983</v>
      </c>
      <c r="T871" s="350">
        <f t="shared" si="360"/>
        <v>9244687.1096711941</v>
      </c>
      <c r="U871" s="350">
        <f t="shared" si="361"/>
        <v>8839372.8506552242</v>
      </c>
      <c r="V871" s="350">
        <f t="shared" si="362"/>
        <v>47902496.091868594</v>
      </c>
      <c r="W871" s="365"/>
      <c r="X871" s="377">
        <f t="shared" si="340"/>
        <v>0</v>
      </c>
      <c r="Y871" s="377">
        <f t="shared" si="341"/>
        <v>0</v>
      </c>
      <c r="Z871" s="377">
        <f t="shared" si="342"/>
        <v>0</v>
      </c>
      <c r="AA871" s="377">
        <f t="shared" si="343"/>
        <v>0</v>
      </c>
      <c r="AB871" s="377">
        <f t="shared" si="344"/>
        <v>0</v>
      </c>
      <c r="AC871" s="377">
        <f t="shared" si="345"/>
        <v>0</v>
      </c>
      <c r="AD871" s="376"/>
      <c r="AE871" s="332">
        <v>856</v>
      </c>
      <c r="AF871" s="350">
        <v>619823.34075008286</v>
      </c>
      <c r="AG871" s="350">
        <v>617589.69469313987</v>
      </c>
      <c r="AH871" s="350">
        <v>615174.1159904435</v>
      </c>
      <c r="AI871" s="350">
        <v>612276.11224385654</v>
      </c>
      <c r="AJ871" s="350">
        <v>608629.47991308896</v>
      </c>
      <c r="AK871" s="348">
        <v>3073492.7435906115</v>
      </c>
      <c r="AL871" s="369"/>
      <c r="AM871" s="350">
        <v>15626065.939576248</v>
      </c>
      <c r="AN871" s="350">
        <v>15484685.681513121</v>
      </c>
      <c r="AO871" s="350">
        <v>15330132.805989744</v>
      </c>
      <c r="AP871" s="350">
        <v>15133033.807053251</v>
      </c>
      <c r="AQ871" s="350">
        <v>14868260.32071029</v>
      </c>
      <c r="AR871" s="348">
        <v>76442178.554842651</v>
      </c>
      <c r="AS871" s="369"/>
      <c r="AT871" s="350">
        <f t="shared" si="363"/>
        <v>15006242.598826164</v>
      </c>
      <c r="AU871" s="350">
        <f t="shared" si="346"/>
        <v>14867095.986819981</v>
      </c>
      <c r="AV871" s="350">
        <f t="shared" si="347"/>
        <v>14714958.689999301</v>
      </c>
      <c r="AW871" s="350">
        <f t="shared" si="348"/>
        <v>14520757.694809394</v>
      </c>
      <c r="AX871" s="350">
        <f t="shared" si="349"/>
        <v>14259630.840797201</v>
      </c>
      <c r="AY871" s="350">
        <f t="shared" si="350"/>
        <v>73368685.811252043</v>
      </c>
      <c r="AZ871" s="365"/>
      <c r="BA871" s="377">
        <f t="shared" si="351"/>
        <v>0</v>
      </c>
      <c r="BB871" s="377">
        <f t="shared" si="352"/>
        <v>0</v>
      </c>
      <c r="BC871" s="377">
        <f t="shared" si="353"/>
        <v>0</v>
      </c>
      <c r="BD871" s="377">
        <f t="shared" si="354"/>
        <v>0</v>
      </c>
      <c r="BE871" s="377">
        <f t="shared" si="355"/>
        <v>0</v>
      </c>
      <c r="BF871" s="377">
        <f t="shared" si="356"/>
        <v>0</v>
      </c>
      <c r="BG871" s="328"/>
    </row>
    <row r="872" spans="2:59">
      <c r="B872" s="332">
        <v>857</v>
      </c>
      <c r="C872" s="350">
        <v>5236208.2032959871</v>
      </c>
      <c r="D872" s="350">
        <v>5217338.5753912497</v>
      </c>
      <c r="E872" s="350">
        <v>5196931.997924421</v>
      </c>
      <c r="F872" s="350">
        <v>5172449.939903345</v>
      </c>
      <c r="G872" s="350">
        <v>5141643.5393220726</v>
      </c>
      <c r="H872" s="348">
        <v>25964572.255837075</v>
      </c>
      <c r="I872" s="369"/>
      <c r="J872" s="350">
        <v>21512090.24188406</v>
      </c>
      <c r="K872" s="350">
        <v>21114104.005907331</v>
      </c>
      <c r="L872" s="350">
        <v>20702135.727136388</v>
      </c>
      <c r="M872" s="350">
        <v>20242315.012024529</v>
      </c>
      <c r="N872" s="350">
        <v>19706070.781462915</v>
      </c>
      <c r="O872" s="348">
        <v>103276715.76841521</v>
      </c>
      <c r="P872" s="369"/>
      <c r="Q872" s="350">
        <f t="shared" si="357"/>
        <v>16275882.038588073</v>
      </c>
      <c r="R872" s="350">
        <f t="shared" si="358"/>
        <v>15896765.430516081</v>
      </c>
      <c r="S872" s="350">
        <f t="shared" si="359"/>
        <v>15505203.729211967</v>
      </c>
      <c r="T872" s="350">
        <f t="shared" si="360"/>
        <v>15069865.072121184</v>
      </c>
      <c r="U872" s="350">
        <f t="shared" si="361"/>
        <v>14564427.242140843</v>
      </c>
      <c r="V872" s="350">
        <f t="shared" si="362"/>
        <v>77312143.51257813</v>
      </c>
      <c r="W872" s="365"/>
      <c r="X872" s="377">
        <f t="shared" si="340"/>
        <v>0</v>
      </c>
      <c r="Y872" s="377">
        <f t="shared" si="341"/>
        <v>0</v>
      </c>
      <c r="Z872" s="377">
        <f t="shared" si="342"/>
        <v>0</v>
      </c>
      <c r="AA872" s="377">
        <f t="shared" si="343"/>
        <v>0</v>
      </c>
      <c r="AB872" s="377">
        <f t="shared" si="344"/>
        <v>0</v>
      </c>
      <c r="AC872" s="377">
        <f t="shared" si="345"/>
        <v>0</v>
      </c>
      <c r="AD872" s="376"/>
      <c r="AE872" s="332">
        <v>857</v>
      </c>
      <c r="AF872" s="350">
        <v>286155.85467129573</v>
      </c>
      <c r="AG872" s="350">
        <v>285124.64004216576</v>
      </c>
      <c r="AH872" s="350">
        <v>284009.43197762384</v>
      </c>
      <c r="AI872" s="350">
        <v>282671.50117633829</v>
      </c>
      <c r="AJ872" s="350">
        <v>280987.9485853372</v>
      </c>
      <c r="AK872" s="348">
        <v>1418949.376452761</v>
      </c>
      <c r="AL872" s="369"/>
      <c r="AM872" s="350">
        <v>13388817.465329897</v>
      </c>
      <c r="AN872" s="350">
        <v>13279042.813105267</v>
      </c>
      <c r="AO872" s="350">
        <v>13157749.47609997</v>
      </c>
      <c r="AP872" s="350">
        <v>12999402.469920572</v>
      </c>
      <c r="AQ872" s="350">
        <v>12782134.606861416</v>
      </c>
      <c r="AR872" s="348">
        <v>65607146.831317112</v>
      </c>
      <c r="AS872" s="369"/>
      <c r="AT872" s="350">
        <f t="shared" si="363"/>
        <v>13102661.610658601</v>
      </c>
      <c r="AU872" s="350">
        <f t="shared" si="346"/>
        <v>12993918.173063101</v>
      </c>
      <c r="AV872" s="350">
        <f t="shared" si="347"/>
        <v>12873740.044122346</v>
      </c>
      <c r="AW872" s="350">
        <f t="shared" si="348"/>
        <v>12716730.968744233</v>
      </c>
      <c r="AX872" s="350">
        <f t="shared" si="349"/>
        <v>12501146.658276079</v>
      </c>
      <c r="AY872" s="350">
        <f t="shared" si="350"/>
        <v>64188197.454864353</v>
      </c>
      <c r="AZ872" s="365"/>
      <c r="BA872" s="377">
        <f t="shared" si="351"/>
        <v>0</v>
      </c>
      <c r="BB872" s="377">
        <f t="shared" si="352"/>
        <v>0</v>
      </c>
      <c r="BC872" s="377">
        <f t="shared" si="353"/>
        <v>0</v>
      </c>
      <c r="BD872" s="377">
        <f t="shared" si="354"/>
        <v>0</v>
      </c>
      <c r="BE872" s="377">
        <f t="shared" si="355"/>
        <v>0</v>
      </c>
      <c r="BF872" s="377">
        <f t="shared" si="356"/>
        <v>0</v>
      </c>
      <c r="BG872" s="328"/>
    </row>
    <row r="873" spans="2:59">
      <c r="B873" s="332">
        <v>858</v>
      </c>
      <c r="C873" s="350">
        <v>5603854.3123023016</v>
      </c>
      <c r="D873" s="350">
        <v>5583659.8048266573</v>
      </c>
      <c r="E873" s="350">
        <v>5561820.4350581206</v>
      </c>
      <c r="F873" s="350">
        <v>5535619.4359593671</v>
      </c>
      <c r="G873" s="350">
        <v>5502650.0477988273</v>
      </c>
      <c r="H873" s="348">
        <v>27787604.035945274</v>
      </c>
      <c r="I873" s="369"/>
      <c r="J873" s="350">
        <v>19987777.210868116</v>
      </c>
      <c r="K873" s="350">
        <v>19583719.827092957</v>
      </c>
      <c r="L873" s="350">
        <v>19167370.978509195</v>
      </c>
      <c r="M873" s="350">
        <v>18708367.134537738</v>
      </c>
      <c r="N873" s="350">
        <v>18181176.745147705</v>
      </c>
      <c r="O873" s="348">
        <v>95628411.896155715</v>
      </c>
      <c r="P873" s="369"/>
      <c r="Q873" s="350">
        <f t="shared" si="357"/>
        <v>14383922.898565814</v>
      </c>
      <c r="R873" s="350">
        <f t="shared" si="358"/>
        <v>14000060.022266299</v>
      </c>
      <c r="S873" s="350">
        <f t="shared" si="359"/>
        <v>13605550.543451075</v>
      </c>
      <c r="T873" s="350">
        <f t="shared" si="360"/>
        <v>13172747.698578371</v>
      </c>
      <c r="U873" s="350">
        <f t="shared" si="361"/>
        <v>12678526.697348878</v>
      </c>
      <c r="V873" s="350">
        <f t="shared" si="362"/>
        <v>67840807.860210449</v>
      </c>
      <c r="W873" s="365"/>
      <c r="X873" s="377">
        <f t="shared" si="340"/>
        <v>0</v>
      </c>
      <c r="Y873" s="377">
        <f t="shared" si="341"/>
        <v>0</v>
      </c>
      <c r="Z873" s="377">
        <f t="shared" si="342"/>
        <v>0</v>
      </c>
      <c r="AA873" s="377">
        <f t="shared" si="343"/>
        <v>0</v>
      </c>
      <c r="AB873" s="377">
        <f t="shared" si="344"/>
        <v>0</v>
      </c>
      <c r="AC873" s="377">
        <f t="shared" si="345"/>
        <v>0</v>
      </c>
      <c r="AD873" s="376"/>
      <c r="AE873" s="332">
        <v>858</v>
      </c>
      <c r="AF873" s="350">
        <v>581783.47897744807</v>
      </c>
      <c r="AG873" s="350">
        <v>579686.91647588101</v>
      </c>
      <c r="AH873" s="350">
        <v>577419.58691759466</v>
      </c>
      <c r="AI873" s="350">
        <v>574699.43975479389</v>
      </c>
      <c r="AJ873" s="350">
        <v>571276.60891822341</v>
      </c>
      <c r="AK873" s="348">
        <v>2884866.0310439412</v>
      </c>
      <c r="AL873" s="369"/>
      <c r="AM873" s="350">
        <v>16551349.734580534</v>
      </c>
      <c r="AN873" s="350">
        <v>16405065.529412366</v>
      </c>
      <c r="AO873" s="350">
        <v>16244757.889952548</v>
      </c>
      <c r="AP873" s="350">
        <v>16039201.987326963</v>
      </c>
      <c r="AQ873" s="350">
        <v>15761678.79898742</v>
      </c>
      <c r="AR873" s="348">
        <v>81002053.940259829</v>
      </c>
      <c r="AS873" s="369"/>
      <c r="AT873" s="350">
        <f t="shared" si="363"/>
        <v>15969566.255603086</v>
      </c>
      <c r="AU873" s="350">
        <f t="shared" si="346"/>
        <v>15825378.612936486</v>
      </c>
      <c r="AV873" s="350">
        <f t="shared" si="347"/>
        <v>15667338.303034954</v>
      </c>
      <c r="AW873" s="350">
        <f t="shared" si="348"/>
        <v>15464502.547572169</v>
      </c>
      <c r="AX873" s="350">
        <f t="shared" si="349"/>
        <v>15190402.190069197</v>
      </c>
      <c r="AY873" s="350">
        <f t="shared" si="350"/>
        <v>78117187.909215882</v>
      </c>
      <c r="AZ873" s="365"/>
      <c r="BA873" s="377">
        <f t="shared" si="351"/>
        <v>0</v>
      </c>
      <c r="BB873" s="377">
        <f t="shared" si="352"/>
        <v>0</v>
      </c>
      <c r="BC873" s="377">
        <f t="shared" si="353"/>
        <v>0</v>
      </c>
      <c r="BD873" s="377">
        <f t="shared" si="354"/>
        <v>0</v>
      </c>
      <c r="BE873" s="377">
        <f t="shared" si="355"/>
        <v>0</v>
      </c>
      <c r="BF873" s="377">
        <f t="shared" si="356"/>
        <v>0</v>
      </c>
      <c r="BG873" s="328"/>
    </row>
    <row r="874" spans="2:59">
      <c r="B874" s="332">
        <v>859</v>
      </c>
      <c r="C874" s="350">
        <v>5055207.9799787179</v>
      </c>
      <c r="D874" s="350">
        <v>5036990.6192742279</v>
      </c>
      <c r="E874" s="350">
        <v>5017289.4368060743</v>
      </c>
      <c r="F874" s="350">
        <v>4993653.6510868315</v>
      </c>
      <c r="G874" s="350">
        <v>4963912.1366155706</v>
      </c>
      <c r="H874" s="348">
        <v>25067053.823761422</v>
      </c>
      <c r="I874" s="369"/>
      <c r="J874" s="350">
        <v>15150470.240470592</v>
      </c>
      <c r="K874" s="350">
        <v>14806732.256169409</v>
      </c>
      <c r="L874" s="350">
        <v>14454442.599488571</v>
      </c>
      <c r="M874" s="350">
        <v>14071796.196559547</v>
      </c>
      <c r="N874" s="350">
        <v>13640550.154121272</v>
      </c>
      <c r="O874" s="348">
        <v>72123991.446809381</v>
      </c>
      <c r="P874" s="369"/>
      <c r="Q874" s="350">
        <f t="shared" si="357"/>
        <v>10095262.260491874</v>
      </c>
      <c r="R874" s="350">
        <f t="shared" si="358"/>
        <v>9769741.6368951797</v>
      </c>
      <c r="S874" s="350">
        <f t="shared" si="359"/>
        <v>9437153.162682496</v>
      </c>
      <c r="T874" s="350">
        <f t="shared" si="360"/>
        <v>9078142.545472715</v>
      </c>
      <c r="U874" s="350">
        <f t="shared" si="361"/>
        <v>8676638.0175057016</v>
      </c>
      <c r="V874" s="350">
        <f t="shared" si="362"/>
        <v>47056937.623047963</v>
      </c>
      <c r="W874" s="365"/>
      <c r="X874" s="377">
        <f t="shared" si="340"/>
        <v>0</v>
      </c>
      <c r="Y874" s="377">
        <f t="shared" si="341"/>
        <v>0</v>
      </c>
      <c r="Z874" s="377">
        <f t="shared" si="342"/>
        <v>0</v>
      </c>
      <c r="AA874" s="377">
        <f t="shared" si="343"/>
        <v>0</v>
      </c>
      <c r="AB874" s="377">
        <f t="shared" si="344"/>
        <v>0</v>
      </c>
      <c r="AC874" s="377">
        <f t="shared" si="345"/>
        <v>0</v>
      </c>
      <c r="AD874" s="376"/>
      <c r="AE874" s="332">
        <v>859</v>
      </c>
      <c r="AF874" s="350">
        <v>364890.63845258264</v>
      </c>
      <c r="AG874" s="350">
        <v>363575.68872060144</v>
      </c>
      <c r="AH874" s="350">
        <v>362153.63505286974</v>
      </c>
      <c r="AI874" s="350">
        <v>360447.57726541959</v>
      </c>
      <c r="AJ874" s="350">
        <v>358300.80106017808</v>
      </c>
      <c r="AK874" s="348">
        <v>1809368.3405516515</v>
      </c>
      <c r="AL874" s="369"/>
      <c r="AM874" s="350">
        <v>10611763.621741461</v>
      </c>
      <c r="AN874" s="350">
        <v>10518351.201901525</v>
      </c>
      <c r="AO874" s="350">
        <v>10415940.082534423</v>
      </c>
      <c r="AP874" s="350">
        <v>10284498.557888806</v>
      </c>
      <c r="AQ874" s="350">
        <v>10106884.792267488</v>
      </c>
      <c r="AR874" s="348">
        <v>51937438.256333701</v>
      </c>
      <c r="AS874" s="369"/>
      <c r="AT874" s="350">
        <f t="shared" si="363"/>
        <v>10246872.983288879</v>
      </c>
      <c r="AU874" s="350">
        <f t="shared" si="346"/>
        <v>10154775.513180925</v>
      </c>
      <c r="AV874" s="350">
        <f t="shared" si="347"/>
        <v>10053786.447481554</v>
      </c>
      <c r="AW874" s="350">
        <f t="shared" si="348"/>
        <v>9924050.9806233868</v>
      </c>
      <c r="AX874" s="350">
        <f t="shared" si="349"/>
        <v>9748583.9912073109</v>
      </c>
      <c r="AY874" s="350">
        <f t="shared" si="350"/>
        <v>50128069.915782049</v>
      </c>
      <c r="AZ874" s="365"/>
      <c r="BA874" s="377">
        <f t="shared" si="351"/>
        <v>0</v>
      </c>
      <c r="BB874" s="377">
        <f t="shared" si="352"/>
        <v>0</v>
      </c>
      <c r="BC874" s="377">
        <f t="shared" si="353"/>
        <v>0</v>
      </c>
      <c r="BD874" s="377">
        <f t="shared" si="354"/>
        <v>0</v>
      </c>
      <c r="BE874" s="377">
        <f t="shared" si="355"/>
        <v>0</v>
      </c>
      <c r="BF874" s="377">
        <f t="shared" si="356"/>
        <v>0</v>
      </c>
      <c r="BG874" s="328"/>
    </row>
    <row r="875" spans="2:59">
      <c r="B875" s="332">
        <v>860</v>
      </c>
      <c r="C875" s="350">
        <v>5067976.49269184</v>
      </c>
      <c r="D875" s="350">
        <v>5049713.1183312014</v>
      </c>
      <c r="E875" s="350">
        <v>5029962.1743498119</v>
      </c>
      <c r="F875" s="350">
        <v>5006266.6890432052</v>
      </c>
      <c r="G875" s="350">
        <v>4976450.0530522885</v>
      </c>
      <c r="H875" s="348">
        <v>25130368.527468346</v>
      </c>
      <c r="I875" s="369"/>
      <c r="J875" s="350">
        <v>17879266.247221448</v>
      </c>
      <c r="K875" s="350">
        <v>17515268.426240996</v>
      </c>
      <c r="L875" s="350">
        <v>17140328.133629128</v>
      </c>
      <c r="M875" s="350">
        <v>16727367.711161263</v>
      </c>
      <c r="N875" s="350">
        <v>16253624.883880561</v>
      </c>
      <c r="O875" s="348">
        <v>85515855.40213339</v>
      </c>
      <c r="P875" s="369"/>
      <c r="Q875" s="350">
        <f t="shared" si="357"/>
        <v>12811289.754529607</v>
      </c>
      <c r="R875" s="350">
        <f t="shared" si="358"/>
        <v>12465555.307909794</v>
      </c>
      <c r="S875" s="350">
        <f t="shared" si="359"/>
        <v>12110365.959279317</v>
      </c>
      <c r="T875" s="350">
        <f t="shared" si="360"/>
        <v>11721101.022118058</v>
      </c>
      <c r="U875" s="350">
        <f t="shared" si="361"/>
        <v>11277174.830828272</v>
      </c>
      <c r="V875" s="350">
        <f t="shared" si="362"/>
        <v>60385486.874665044</v>
      </c>
      <c r="W875" s="365"/>
      <c r="X875" s="377">
        <f t="shared" si="340"/>
        <v>0</v>
      </c>
      <c r="Y875" s="377">
        <f t="shared" si="341"/>
        <v>0</v>
      </c>
      <c r="Z875" s="377">
        <f t="shared" si="342"/>
        <v>0</v>
      </c>
      <c r="AA875" s="377">
        <f t="shared" si="343"/>
        <v>0</v>
      </c>
      <c r="AB875" s="377">
        <f t="shared" si="344"/>
        <v>0</v>
      </c>
      <c r="AC875" s="377">
        <f t="shared" si="345"/>
        <v>0</v>
      </c>
      <c r="AD875" s="376"/>
      <c r="AE875" s="332">
        <v>860</v>
      </c>
      <c r="AF875" s="350">
        <v>424238.04953933554</v>
      </c>
      <c r="AG875" s="350">
        <v>422709.23062552698</v>
      </c>
      <c r="AH875" s="350">
        <v>421055.88792291016</v>
      </c>
      <c r="AI875" s="350">
        <v>419072.3494270512</v>
      </c>
      <c r="AJ875" s="350">
        <v>416576.41214027564</v>
      </c>
      <c r="AK875" s="348">
        <v>2103651.9296550993</v>
      </c>
      <c r="AL875" s="369"/>
      <c r="AM875" s="350">
        <v>11774338.940992583</v>
      </c>
      <c r="AN875" s="350">
        <v>11669793.916874453</v>
      </c>
      <c r="AO875" s="350">
        <v>11555282.690720586</v>
      </c>
      <c r="AP875" s="350">
        <v>11408608.003835483</v>
      </c>
      <c r="AQ875" s="350">
        <v>11210776.659954704</v>
      </c>
      <c r="AR875" s="348">
        <v>57618800.212377809</v>
      </c>
      <c r="AS875" s="369"/>
      <c r="AT875" s="350">
        <f t="shared" si="363"/>
        <v>11350100.891453248</v>
      </c>
      <c r="AU875" s="350">
        <f t="shared" si="346"/>
        <v>11247084.686248926</v>
      </c>
      <c r="AV875" s="350">
        <f t="shared" si="347"/>
        <v>11134226.802797675</v>
      </c>
      <c r="AW875" s="350">
        <f t="shared" si="348"/>
        <v>10989535.654408431</v>
      </c>
      <c r="AX875" s="350">
        <f t="shared" si="349"/>
        <v>10794200.247814428</v>
      </c>
      <c r="AY875" s="350">
        <f t="shared" si="350"/>
        <v>55515148.282722712</v>
      </c>
      <c r="AZ875" s="365"/>
      <c r="BA875" s="377">
        <f t="shared" si="351"/>
        <v>0</v>
      </c>
      <c r="BB875" s="377">
        <f t="shared" si="352"/>
        <v>0</v>
      </c>
      <c r="BC875" s="377">
        <f t="shared" si="353"/>
        <v>0</v>
      </c>
      <c r="BD875" s="377">
        <f t="shared" si="354"/>
        <v>0</v>
      </c>
      <c r="BE875" s="377">
        <f t="shared" si="355"/>
        <v>0</v>
      </c>
      <c r="BF875" s="377">
        <f t="shared" si="356"/>
        <v>0</v>
      </c>
      <c r="BG875" s="328"/>
    </row>
    <row r="876" spans="2:59">
      <c r="B876" s="332">
        <v>861</v>
      </c>
      <c r="C876" s="350">
        <v>5817098.1465329807</v>
      </c>
      <c r="D876" s="350">
        <v>5796135.1761451103</v>
      </c>
      <c r="E876" s="350">
        <v>5773464.7514120666</v>
      </c>
      <c r="F876" s="350">
        <v>5746266.7239829674</v>
      </c>
      <c r="G876" s="350">
        <v>5712042.749540953</v>
      </c>
      <c r="H876" s="348">
        <v>28845007.547614075</v>
      </c>
      <c r="I876" s="369"/>
      <c r="J876" s="350">
        <v>20633559.759030901</v>
      </c>
      <c r="K876" s="350">
        <v>20214954.256898906</v>
      </c>
      <c r="L876" s="350">
        <v>19783690.663513497</v>
      </c>
      <c r="M876" s="350">
        <v>19308472.671014246</v>
      </c>
      <c r="N876" s="350">
        <v>18762988.06609308</v>
      </c>
      <c r="O876" s="348">
        <v>98703665.416550636</v>
      </c>
      <c r="P876" s="369"/>
      <c r="Q876" s="350">
        <f t="shared" si="357"/>
        <v>14816461.61249792</v>
      </c>
      <c r="R876" s="350">
        <f t="shared" si="358"/>
        <v>14418819.080753796</v>
      </c>
      <c r="S876" s="350">
        <f t="shared" si="359"/>
        <v>14010225.912101429</v>
      </c>
      <c r="T876" s="350">
        <f t="shared" si="360"/>
        <v>13562205.947031278</v>
      </c>
      <c r="U876" s="350">
        <f t="shared" si="361"/>
        <v>13050945.316552127</v>
      </c>
      <c r="V876" s="350">
        <f t="shared" si="362"/>
        <v>69858657.868936568</v>
      </c>
      <c r="W876" s="365"/>
      <c r="X876" s="377">
        <f t="shared" si="340"/>
        <v>0</v>
      </c>
      <c r="Y876" s="377">
        <f t="shared" si="341"/>
        <v>0</v>
      </c>
      <c r="Z876" s="377">
        <f t="shared" si="342"/>
        <v>0</v>
      </c>
      <c r="AA876" s="377">
        <f t="shared" si="343"/>
        <v>0</v>
      </c>
      <c r="AB876" s="377">
        <f t="shared" si="344"/>
        <v>0</v>
      </c>
      <c r="AC876" s="377">
        <f t="shared" si="345"/>
        <v>0</v>
      </c>
      <c r="AD876" s="376"/>
      <c r="AE876" s="332">
        <v>861</v>
      </c>
      <c r="AF876" s="350">
        <v>398577.15332079888</v>
      </c>
      <c r="AG876" s="350">
        <v>397140.80811020208</v>
      </c>
      <c r="AH876" s="350">
        <v>395587.47118394496</v>
      </c>
      <c r="AI876" s="350">
        <v>393723.91102464258</v>
      </c>
      <c r="AJ876" s="350">
        <v>391378.94555134175</v>
      </c>
      <c r="AK876" s="348">
        <v>1976408.2891909303</v>
      </c>
      <c r="AL876" s="369"/>
      <c r="AM876" s="350">
        <v>10408034.357665565</v>
      </c>
      <c r="AN876" s="350">
        <v>10314527.358419765</v>
      </c>
      <c r="AO876" s="350">
        <v>10212232.972664781</v>
      </c>
      <c r="AP876" s="350">
        <v>10081565.046290865</v>
      </c>
      <c r="AQ876" s="350">
        <v>9905766.7554134391</v>
      </c>
      <c r="AR876" s="348">
        <v>50922126.49045442</v>
      </c>
      <c r="AS876" s="369"/>
      <c r="AT876" s="350">
        <f t="shared" si="363"/>
        <v>10009457.204344766</v>
      </c>
      <c r="AU876" s="350">
        <f t="shared" si="346"/>
        <v>9917386.5503095631</v>
      </c>
      <c r="AV876" s="350">
        <f t="shared" si="347"/>
        <v>9816645.5014808364</v>
      </c>
      <c r="AW876" s="350">
        <f t="shared" si="348"/>
        <v>9687841.1352662221</v>
      </c>
      <c r="AX876" s="350">
        <f t="shared" si="349"/>
        <v>9514387.8098620977</v>
      </c>
      <c r="AY876" s="350">
        <f t="shared" si="350"/>
        <v>48945718.201263487</v>
      </c>
      <c r="AZ876" s="365"/>
      <c r="BA876" s="377">
        <f t="shared" si="351"/>
        <v>0</v>
      </c>
      <c r="BB876" s="377">
        <f t="shared" si="352"/>
        <v>0</v>
      </c>
      <c r="BC876" s="377">
        <f t="shared" si="353"/>
        <v>0</v>
      </c>
      <c r="BD876" s="377">
        <f t="shared" si="354"/>
        <v>0</v>
      </c>
      <c r="BE876" s="377">
        <f t="shared" si="355"/>
        <v>0</v>
      </c>
      <c r="BF876" s="377">
        <f t="shared" si="356"/>
        <v>0</v>
      </c>
      <c r="BG876" s="328"/>
    </row>
    <row r="877" spans="2:59">
      <c r="B877" s="332">
        <v>862</v>
      </c>
      <c r="C877" s="350">
        <v>3756245.5869183387</v>
      </c>
      <c r="D877" s="350">
        <v>3742709.2732745577</v>
      </c>
      <c r="E877" s="350">
        <v>3728070.4137071259</v>
      </c>
      <c r="F877" s="350">
        <v>3710507.9679773217</v>
      </c>
      <c r="G877" s="350">
        <v>3688408.6927499902</v>
      </c>
      <c r="H877" s="348">
        <v>18625941.934627332</v>
      </c>
      <c r="I877" s="369"/>
      <c r="J877" s="350">
        <v>12124611.217380371</v>
      </c>
      <c r="K877" s="350">
        <v>11862948.771508278</v>
      </c>
      <c r="L877" s="350">
        <v>11594168.478029273</v>
      </c>
      <c r="M877" s="350">
        <v>11300386.633655492</v>
      </c>
      <c r="N877" s="350">
        <v>10966606.245553033</v>
      </c>
      <c r="O877" s="348">
        <v>57848721.346126452</v>
      </c>
      <c r="P877" s="369"/>
      <c r="Q877" s="350">
        <f t="shared" si="357"/>
        <v>8368365.6304620318</v>
      </c>
      <c r="R877" s="350">
        <f t="shared" si="358"/>
        <v>8120239.4982337207</v>
      </c>
      <c r="S877" s="350">
        <f t="shared" si="359"/>
        <v>7866098.0643221475</v>
      </c>
      <c r="T877" s="350">
        <f t="shared" si="360"/>
        <v>7589878.6656781705</v>
      </c>
      <c r="U877" s="350">
        <f t="shared" si="361"/>
        <v>7278197.5528030433</v>
      </c>
      <c r="V877" s="350">
        <f t="shared" si="362"/>
        <v>39222779.41149912</v>
      </c>
      <c r="W877" s="365"/>
      <c r="X877" s="377">
        <f t="shared" si="340"/>
        <v>0</v>
      </c>
      <c r="Y877" s="377">
        <f t="shared" si="341"/>
        <v>0</v>
      </c>
      <c r="Z877" s="377">
        <f t="shared" si="342"/>
        <v>0</v>
      </c>
      <c r="AA877" s="377">
        <f t="shared" si="343"/>
        <v>0</v>
      </c>
      <c r="AB877" s="377">
        <f t="shared" si="344"/>
        <v>0</v>
      </c>
      <c r="AC877" s="377">
        <f t="shared" si="345"/>
        <v>0</v>
      </c>
      <c r="AD877" s="376"/>
      <c r="AE877" s="332">
        <v>862</v>
      </c>
      <c r="AF877" s="350">
        <v>398490.05861264665</v>
      </c>
      <c r="AG877" s="350">
        <v>397054.02726365946</v>
      </c>
      <c r="AH877" s="350">
        <v>395501.02976334578</v>
      </c>
      <c r="AI877" s="350">
        <v>393637.87681812176</v>
      </c>
      <c r="AJ877" s="350">
        <v>391293.42375272448</v>
      </c>
      <c r="AK877" s="348">
        <v>1975976.416210498</v>
      </c>
      <c r="AL877" s="369"/>
      <c r="AM877" s="350">
        <v>11712003.753564715</v>
      </c>
      <c r="AN877" s="350">
        <v>11609102.61378186</v>
      </c>
      <c r="AO877" s="350">
        <v>11496265.768437682</v>
      </c>
      <c r="AP877" s="350">
        <v>11351378.25827563</v>
      </c>
      <c r="AQ877" s="350">
        <v>11155515.145453006</v>
      </c>
      <c r="AR877" s="348">
        <v>57324265.539512895</v>
      </c>
      <c r="AS877" s="369"/>
      <c r="AT877" s="350">
        <f t="shared" si="363"/>
        <v>11313513.694952069</v>
      </c>
      <c r="AU877" s="350">
        <f t="shared" si="346"/>
        <v>11212048.5865182</v>
      </c>
      <c r="AV877" s="350">
        <f t="shared" si="347"/>
        <v>11100764.738674335</v>
      </c>
      <c r="AW877" s="350">
        <f t="shared" si="348"/>
        <v>10957740.381457508</v>
      </c>
      <c r="AX877" s="350">
        <f t="shared" si="349"/>
        <v>10764221.721700281</v>
      </c>
      <c r="AY877" s="350">
        <f t="shared" si="350"/>
        <v>55348289.1233024</v>
      </c>
      <c r="AZ877" s="365"/>
      <c r="BA877" s="377">
        <f t="shared" si="351"/>
        <v>0</v>
      </c>
      <c r="BB877" s="377">
        <f t="shared" si="352"/>
        <v>0</v>
      </c>
      <c r="BC877" s="377">
        <f t="shared" si="353"/>
        <v>0</v>
      </c>
      <c r="BD877" s="377">
        <f t="shared" si="354"/>
        <v>0</v>
      </c>
      <c r="BE877" s="377">
        <f t="shared" si="355"/>
        <v>0</v>
      </c>
      <c r="BF877" s="377">
        <f t="shared" si="356"/>
        <v>0</v>
      </c>
      <c r="BG877" s="328"/>
    </row>
    <row r="878" spans="2:59">
      <c r="B878" s="332">
        <v>863</v>
      </c>
      <c r="C878" s="350">
        <v>4822251.2539723981</v>
      </c>
      <c r="D878" s="350">
        <v>4804873.3951683249</v>
      </c>
      <c r="E878" s="350">
        <v>4786080.0928476173</v>
      </c>
      <c r="F878" s="350">
        <v>4763533.5037112953</v>
      </c>
      <c r="G878" s="350">
        <v>4735162.5531941047</v>
      </c>
      <c r="H878" s="348">
        <v>23911900.798893742</v>
      </c>
      <c r="I878" s="369"/>
      <c r="J878" s="350">
        <v>14705751.607932203</v>
      </c>
      <c r="K878" s="350">
        <v>14376027.206864621</v>
      </c>
      <c r="L878" s="350">
        <v>14037922.032689905</v>
      </c>
      <c r="M878" s="350">
        <v>13670144.344471425</v>
      </c>
      <c r="N878" s="350">
        <v>13254870.533252155</v>
      </c>
      <c r="O878" s="348">
        <v>70044715.725210309</v>
      </c>
      <c r="P878" s="369"/>
      <c r="Q878" s="350">
        <f t="shared" si="357"/>
        <v>9883500.3539598044</v>
      </c>
      <c r="R878" s="350">
        <f t="shared" si="358"/>
        <v>9571153.8116962966</v>
      </c>
      <c r="S878" s="350">
        <f t="shared" si="359"/>
        <v>9251841.9398422875</v>
      </c>
      <c r="T878" s="350">
        <f t="shared" si="360"/>
        <v>8906610.8407601304</v>
      </c>
      <c r="U878" s="350">
        <f t="shared" si="361"/>
        <v>8519707.9800580516</v>
      </c>
      <c r="V878" s="350">
        <f t="shared" si="362"/>
        <v>46132814.926316567</v>
      </c>
      <c r="W878" s="365"/>
      <c r="X878" s="377">
        <f t="shared" si="340"/>
        <v>0</v>
      </c>
      <c r="Y878" s="377">
        <f t="shared" si="341"/>
        <v>0</v>
      </c>
      <c r="Z878" s="377">
        <f t="shared" si="342"/>
        <v>0</v>
      </c>
      <c r="AA878" s="377">
        <f t="shared" si="343"/>
        <v>0</v>
      </c>
      <c r="AB878" s="377">
        <f t="shared" si="344"/>
        <v>0</v>
      </c>
      <c r="AC878" s="377">
        <f t="shared" si="345"/>
        <v>0</v>
      </c>
      <c r="AD878" s="376"/>
      <c r="AE878" s="332">
        <v>863</v>
      </c>
      <c r="AF878" s="350">
        <v>520749.71973813721</v>
      </c>
      <c r="AG878" s="350">
        <v>518873.10348044749</v>
      </c>
      <c r="AH878" s="350">
        <v>516843.63500171562</v>
      </c>
      <c r="AI878" s="350">
        <v>514408.85312175454</v>
      </c>
      <c r="AJ878" s="350">
        <v>511345.1047286446</v>
      </c>
      <c r="AK878" s="348">
        <v>2582220.4160706992</v>
      </c>
      <c r="AL878" s="369"/>
      <c r="AM878" s="350">
        <v>14377545.533043362</v>
      </c>
      <c r="AN878" s="350">
        <v>14249760.466621147</v>
      </c>
      <c r="AO878" s="350">
        <v>14109808.328721289</v>
      </c>
      <c r="AP878" s="350">
        <v>13930588.304903051</v>
      </c>
      <c r="AQ878" s="350">
        <v>13688911.696532579</v>
      </c>
      <c r="AR878" s="348">
        <v>70356614.329821438</v>
      </c>
      <c r="AS878" s="369"/>
      <c r="AT878" s="350">
        <f t="shared" si="363"/>
        <v>13856795.813305225</v>
      </c>
      <c r="AU878" s="350">
        <f t="shared" si="346"/>
        <v>13730887.3631407</v>
      </c>
      <c r="AV878" s="350">
        <f t="shared" si="347"/>
        <v>13592964.693719573</v>
      </c>
      <c r="AW878" s="350">
        <f t="shared" si="348"/>
        <v>13416179.451781297</v>
      </c>
      <c r="AX878" s="350">
        <f t="shared" si="349"/>
        <v>13177566.591803934</v>
      </c>
      <c r="AY878" s="350">
        <f t="shared" si="350"/>
        <v>67774393.913750738</v>
      </c>
      <c r="AZ878" s="365"/>
      <c r="BA878" s="377">
        <f t="shared" si="351"/>
        <v>0</v>
      </c>
      <c r="BB878" s="377">
        <f t="shared" si="352"/>
        <v>0</v>
      </c>
      <c r="BC878" s="377">
        <f t="shared" si="353"/>
        <v>0</v>
      </c>
      <c r="BD878" s="377">
        <f t="shared" si="354"/>
        <v>0</v>
      </c>
      <c r="BE878" s="377">
        <f t="shared" si="355"/>
        <v>0</v>
      </c>
      <c r="BF878" s="377">
        <f t="shared" si="356"/>
        <v>0</v>
      </c>
      <c r="BG878" s="328"/>
    </row>
    <row r="879" spans="2:59">
      <c r="B879" s="332">
        <v>864</v>
      </c>
      <c r="C879" s="350">
        <v>4892035.1859677434</v>
      </c>
      <c r="D879" s="350">
        <v>4874405.8480819836</v>
      </c>
      <c r="E879" s="350">
        <v>4855340.5834635776</v>
      </c>
      <c r="F879" s="350">
        <v>4832467.7173333457</v>
      </c>
      <c r="G879" s="350">
        <v>4803686.2041189298</v>
      </c>
      <c r="H879" s="348">
        <v>24257935.538965579</v>
      </c>
      <c r="I879" s="369"/>
      <c r="J879" s="350">
        <v>14128491.060274787</v>
      </c>
      <c r="K879" s="350">
        <v>13799689.468282208</v>
      </c>
      <c r="L879" s="350">
        <v>13463081.535934523</v>
      </c>
      <c r="M879" s="350">
        <v>13098599.520481165</v>
      </c>
      <c r="N879" s="350">
        <v>12689475.464213556</v>
      </c>
      <c r="O879" s="348">
        <v>67179337.04918623</v>
      </c>
      <c r="P879" s="369"/>
      <c r="Q879" s="350">
        <f t="shared" si="357"/>
        <v>9236455.8743070439</v>
      </c>
      <c r="R879" s="350">
        <f t="shared" si="358"/>
        <v>8925283.6202002242</v>
      </c>
      <c r="S879" s="350">
        <f t="shared" si="359"/>
        <v>8607740.9524709452</v>
      </c>
      <c r="T879" s="350">
        <f t="shared" si="360"/>
        <v>8266131.8031478198</v>
      </c>
      <c r="U879" s="350">
        <f t="shared" si="361"/>
        <v>7885789.2600946259</v>
      </c>
      <c r="V879" s="350">
        <f t="shared" si="362"/>
        <v>42921401.510220647</v>
      </c>
      <c r="W879" s="365"/>
      <c r="X879" s="377">
        <f t="shared" si="340"/>
        <v>0</v>
      </c>
      <c r="Y879" s="377">
        <f t="shared" si="341"/>
        <v>0</v>
      </c>
      <c r="Z879" s="377">
        <f t="shared" si="342"/>
        <v>0</v>
      </c>
      <c r="AA879" s="377">
        <f t="shared" si="343"/>
        <v>0</v>
      </c>
      <c r="AB879" s="377">
        <f t="shared" si="344"/>
        <v>0</v>
      </c>
      <c r="AC879" s="377">
        <f t="shared" si="345"/>
        <v>0</v>
      </c>
      <c r="AD879" s="376"/>
      <c r="AE879" s="332">
        <v>864</v>
      </c>
      <c r="AF879" s="350">
        <v>602732.83374160889</v>
      </c>
      <c r="AG879" s="350">
        <v>600560.77643275098</v>
      </c>
      <c r="AH879" s="350">
        <v>598211.80294162675</v>
      </c>
      <c r="AI879" s="350">
        <v>595393.70640421589</v>
      </c>
      <c r="AJ879" s="350">
        <v>591847.62336113898</v>
      </c>
      <c r="AK879" s="348">
        <v>2988746.7428813414</v>
      </c>
      <c r="AL879" s="369"/>
      <c r="AM879" s="350">
        <v>21804744.15880188</v>
      </c>
      <c r="AN879" s="350">
        <v>21619624.857552182</v>
      </c>
      <c r="AO879" s="350">
        <v>21415875.987383056</v>
      </c>
      <c r="AP879" s="350">
        <v>21152116.659023192</v>
      </c>
      <c r="AQ879" s="350">
        <v>20792922.283757661</v>
      </c>
      <c r="AR879" s="348">
        <v>106785283.94651797</v>
      </c>
      <c r="AS879" s="369"/>
      <c r="AT879" s="350">
        <f t="shared" si="363"/>
        <v>21202011.325060271</v>
      </c>
      <c r="AU879" s="350">
        <f t="shared" si="346"/>
        <v>21019064.081119429</v>
      </c>
      <c r="AV879" s="350">
        <f t="shared" si="347"/>
        <v>20817664.184441429</v>
      </c>
      <c r="AW879" s="350">
        <f t="shared" si="348"/>
        <v>20556722.952618975</v>
      </c>
      <c r="AX879" s="350">
        <f t="shared" si="349"/>
        <v>20201074.66039652</v>
      </c>
      <c r="AY879" s="350">
        <f t="shared" si="350"/>
        <v>103796537.20363663</v>
      </c>
      <c r="AZ879" s="365"/>
      <c r="BA879" s="377">
        <f t="shared" si="351"/>
        <v>0</v>
      </c>
      <c r="BB879" s="377">
        <f t="shared" si="352"/>
        <v>0</v>
      </c>
      <c r="BC879" s="377">
        <f t="shared" si="353"/>
        <v>0</v>
      </c>
      <c r="BD879" s="377">
        <f t="shared" si="354"/>
        <v>0</v>
      </c>
      <c r="BE879" s="377">
        <f t="shared" si="355"/>
        <v>0</v>
      </c>
      <c r="BF879" s="377">
        <f t="shared" si="356"/>
        <v>0</v>
      </c>
      <c r="BG879" s="328"/>
    </row>
    <row r="880" spans="2:59">
      <c r="B880" s="332">
        <v>865</v>
      </c>
      <c r="C880" s="350">
        <v>8446422.0472640842</v>
      </c>
      <c r="D880" s="350">
        <v>8415983.8303387333</v>
      </c>
      <c r="E880" s="350">
        <v>8383066.3910137396</v>
      </c>
      <c r="F880" s="350">
        <v>8343574.8760465793</v>
      </c>
      <c r="G880" s="350">
        <v>8293881.691405314</v>
      </c>
      <c r="H880" s="348">
        <v>41882928.836068451</v>
      </c>
      <c r="I880" s="369"/>
      <c r="J880" s="350">
        <v>24894642.979533546</v>
      </c>
      <c r="K880" s="350">
        <v>24323335.353288271</v>
      </c>
      <c r="L880" s="350">
        <v>23738108.513826396</v>
      </c>
      <c r="M880" s="350">
        <v>23103342.884422172</v>
      </c>
      <c r="N880" s="350">
        <v>22389254.726720899</v>
      </c>
      <c r="O880" s="348">
        <v>118448684.45779128</v>
      </c>
      <c r="P880" s="369"/>
      <c r="Q880" s="350">
        <f t="shared" si="357"/>
        <v>16448220.932269461</v>
      </c>
      <c r="R880" s="350">
        <f t="shared" si="358"/>
        <v>15907351.522949537</v>
      </c>
      <c r="S880" s="350">
        <f t="shared" si="359"/>
        <v>15355042.122812657</v>
      </c>
      <c r="T880" s="350">
        <f t="shared" si="360"/>
        <v>14759768.008375593</v>
      </c>
      <c r="U880" s="350">
        <f t="shared" si="361"/>
        <v>14095373.035315584</v>
      </c>
      <c r="V880" s="350">
        <f t="shared" si="362"/>
        <v>76565755.621722832</v>
      </c>
      <c r="W880" s="365"/>
      <c r="X880" s="377">
        <f t="shared" si="340"/>
        <v>0</v>
      </c>
      <c r="Y880" s="377">
        <f t="shared" si="341"/>
        <v>0</v>
      </c>
      <c r="Z880" s="377">
        <f t="shared" si="342"/>
        <v>0</v>
      </c>
      <c r="AA880" s="377">
        <f t="shared" si="343"/>
        <v>0</v>
      </c>
      <c r="AB880" s="377">
        <f t="shared" si="344"/>
        <v>0</v>
      </c>
      <c r="AC880" s="377">
        <f t="shared" si="345"/>
        <v>0</v>
      </c>
      <c r="AD880" s="376"/>
      <c r="AE880" s="332">
        <v>865</v>
      </c>
      <c r="AF880" s="350">
        <v>557848.14118843083</v>
      </c>
      <c r="AG880" s="350">
        <v>555837.83402666659</v>
      </c>
      <c r="AH880" s="350">
        <v>553663.78538957774</v>
      </c>
      <c r="AI880" s="350">
        <v>551055.54866000556</v>
      </c>
      <c r="AJ880" s="350">
        <v>547773.53758753685</v>
      </c>
      <c r="AK880" s="348">
        <v>2766178.8468522178</v>
      </c>
      <c r="AL880" s="369"/>
      <c r="AM880" s="350">
        <v>19405622.515042257</v>
      </c>
      <c r="AN880" s="350">
        <v>19239877.040006794</v>
      </c>
      <c r="AO880" s="350">
        <v>19057572.066548873</v>
      </c>
      <c r="AP880" s="350">
        <v>18821911.856766012</v>
      </c>
      <c r="AQ880" s="350">
        <v>18501398.951903977</v>
      </c>
      <c r="AR880" s="348">
        <v>95026382.4302679</v>
      </c>
      <c r="AS880" s="369"/>
      <c r="AT880" s="350">
        <f t="shared" si="363"/>
        <v>18847774.373853825</v>
      </c>
      <c r="AU880" s="350">
        <f t="shared" si="346"/>
        <v>18684039.205980126</v>
      </c>
      <c r="AV880" s="350">
        <f t="shared" si="347"/>
        <v>18503908.281159297</v>
      </c>
      <c r="AW880" s="350">
        <f t="shared" si="348"/>
        <v>18270856.308106005</v>
      </c>
      <c r="AX880" s="350">
        <f t="shared" si="349"/>
        <v>17953625.414316438</v>
      </c>
      <c r="AY880" s="350">
        <f t="shared" si="350"/>
        <v>92260203.583415687</v>
      </c>
      <c r="AZ880" s="365"/>
      <c r="BA880" s="377">
        <f t="shared" si="351"/>
        <v>0</v>
      </c>
      <c r="BB880" s="377">
        <f t="shared" si="352"/>
        <v>0</v>
      </c>
      <c r="BC880" s="377">
        <f t="shared" si="353"/>
        <v>0</v>
      </c>
      <c r="BD880" s="377">
        <f t="shared" si="354"/>
        <v>0</v>
      </c>
      <c r="BE880" s="377">
        <f t="shared" si="355"/>
        <v>0</v>
      </c>
      <c r="BF880" s="377">
        <f t="shared" si="356"/>
        <v>0</v>
      </c>
      <c r="BG880" s="328"/>
    </row>
    <row r="881" spans="2:59">
      <c r="B881" s="332">
        <v>866</v>
      </c>
      <c r="C881" s="350">
        <v>7220077.6633027662</v>
      </c>
      <c r="D881" s="350">
        <v>7194058.8012445178</v>
      </c>
      <c r="E881" s="350">
        <v>7165920.6775427181</v>
      </c>
      <c r="F881" s="350">
        <v>7132162.9747534394</v>
      </c>
      <c r="G881" s="350">
        <v>7089684.7928156806</v>
      </c>
      <c r="H881" s="348">
        <v>35801904.909659117</v>
      </c>
      <c r="I881" s="369"/>
      <c r="J881" s="350">
        <v>23306312.335169666</v>
      </c>
      <c r="K881" s="350">
        <v>22803350.249545205</v>
      </c>
      <c r="L881" s="350">
        <v>22286705.730272144</v>
      </c>
      <c r="M881" s="350">
        <v>21722001.710837625</v>
      </c>
      <c r="N881" s="350">
        <v>21080410.088039212</v>
      </c>
      <c r="O881" s="348">
        <v>111198780.11386386</v>
      </c>
      <c r="P881" s="369"/>
      <c r="Q881" s="350">
        <f t="shared" si="357"/>
        <v>16086234.671866899</v>
      </c>
      <c r="R881" s="350">
        <f t="shared" si="358"/>
        <v>15609291.448300688</v>
      </c>
      <c r="S881" s="350">
        <f t="shared" si="359"/>
        <v>15120785.052729426</v>
      </c>
      <c r="T881" s="350">
        <f t="shared" si="360"/>
        <v>14589838.736084186</v>
      </c>
      <c r="U881" s="350">
        <f t="shared" si="361"/>
        <v>13990725.29522353</v>
      </c>
      <c r="V881" s="350">
        <f t="shared" si="362"/>
        <v>75396875.204204738</v>
      </c>
      <c r="W881" s="365"/>
      <c r="X881" s="377">
        <f t="shared" si="340"/>
        <v>0</v>
      </c>
      <c r="Y881" s="377">
        <f t="shared" si="341"/>
        <v>0</v>
      </c>
      <c r="Z881" s="377">
        <f t="shared" si="342"/>
        <v>0</v>
      </c>
      <c r="AA881" s="377">
        <f t="shared" si="343"/>
        <v>0</v>
      </c>
      <c r="AB881" s="377">
        <f t="shared" si="344"/>
        <v>0</v>
      </c>
      <c r="AC881" s="377">
        <f t="shared" si="345"/>
        <v>0</v>
      </c>
      <c r="AD881" s="376"/>
      <c r="AE881" s="332">
        <v>866</v>
      </c>
      <c r="AF881" s="350">
        <v>398439.4151565879</v>
      </c>
      <c r="AG881" s="350">
        <v>397003.56631049857</v>
      </c>
      <c r="AH881" s="350">
        <v>395450.76617812173</v>
      </c>
      <c r="AI881" s="350">
        <v>393587.85001798742</v>
      </c>
      <c r="AJ881" s="350">
        <v>391243.69490533258</v>
      </c>
      <c r="AK881" s="348">
        <v>1975725.2925685281</v>
      </c>
      <c r="AL881" s="369"/>
      <c r="AM881" s="350">
        <v>9732847.8773093708</v>
      </c>
      <c r="AN881" s="350">
        <v>9644213.582992021</v>
      </c>
      <c r="AO881" s="350">
        <v>9547386.320736181</v>
      </c>
      <c r="AP881" s="350">
        <v>9424089.0605625194</v>
      </c>
      <c r="AQ881" s="350">
        <v>9258687.3620040901</v>
      </c>
      <c r="AR881" s="348">
        <v>47607224.203604177</v>
      </c>
      <c r="AS881" s="369"/>
      <c r="AT881" s="350">
        <f t="shared" si="363"/>
        <v>9334408.4621527828</v>
      </c>
      <c r="AU881" s="350">
        <f t="shared" si="346"/>
        <v>9247210.0166815221</v>
      </c>
      <c r="AV881" s="350">
        <f t="shared" si="347"/>
        <v>9151935.5545580592</v>
      </c>
      <c r="AW881" s="350">
        <f t="shared" si="348"/>
        <v>9030501.2105445322</v>
      </c>
      <c r="AX881" s="350">
        <f t="shared" si="349"/>
        <v>8867443.6670987569</v>
      </c>
      <c r="AY881" s="350">
        <f t="shared" si="350"/>
        <v>45631498.911035649</v>
      </c>
      <c r="AZ881" s="365"/>
      <c r="BA881" s="377">
        <f t="shared" si="351"/>
        <v>0</v>
      </c>
      <c r="BB881" s="377">
        <f t="shared" si="352"/>
        <v>0</v>
      </c>
      <c r="BC881" s="377">
        <f t="shared" si="353"/>
        <v>0</v>
      </c>
      <c r="BD881" s="377">
        <f t="shared" si="354"/>
        <v>0</v>
      </c>
      <c r="BE881" s="377">
        <f t="shared" si="355"/>
        <v>0</v>
      </c>
      <c r="BF881" s="377">
        <f t="shared" si="356"/>
        <v>0</v>
      </c>
      <c r="BG881" s="328"/>
    </row>
    <row r="882" spans="2:59">
      <c r="B882" s="332">
        <v>867</v>
      </c>
      <c r="C882" s="350">
        <v>4306223.8173539909</v>
      </c>
      <c r="D882" s="350">
        <v>4290705.5572021445</v>
      </c>
      <c r="E882" s="350">
        <v>4273923.3196541741</v>
      </c>
      <c r="F882" s="350">
        <v>4253789.433212867</v>
      </c>
      <c r="G882" s="350">
        <v>4228454.4482849352</v>
      </c>
      <c r="H882" s="348">
        <v>21353096.57570811</v>
      </c>
      <c r="I882" s="369"/>
      <c r="J882" s="350">
        <v>13940917.921341609</v>
      </c>
      <c r="K882" s="350">
        <v>13640647.727838308</v>
      </c>
      <c r="L882" s="350">
        <v>13332181.358842086</v>
      </c>
      <c r="M882" s="350">
        <v>12994937.013659542</v>
      </c>
      <c r="N882" s="350">
        <v>12611653.622115161</v>
      </c>
      <c r="O882" s="348">
        <v>66520337.643796712</v>
      </c>
      <c r="P882" s="369"/>
      <c r="Q882" s="350">
        <f t="shared" si="357"/>
        <v>9634694.1039876193</v>
      </c>
      <c r="R882" s="350">
        <f t="shared" si="358"/>
        <v>9349942.1706361622</v>
      </c>
      <c r="S882" s="350">
        <f t="shared" si="359"/>
        <v>9058258.0391879119</v>
      </c>
      <c r="T882" s="350">
        <f t="shared" si="360"/>
        <v>8741147.5804466754</v>
      </c>
      <c r="U882" s="350">
        <f t="shared" si="361"/>
        <v>8383199.1738302261</v>
      </c>
      <c r="V882" s="350">
        <f t="shared" si="362"/>
        <v>45167241.068088606</v>
      </c>
      <c r="W882" s="365"/>
      <c r="X882" s="377">
        <f t="shared" si="340"/>
        <v>0</v>
      </c>
      <c r="Y882" s="377">
        <f t="shared" si="341"/>
        <v>0</v>
      </c>
      <c r="Z882" s="377">
        <f t="shared" si="342"/>
        <v>0</v>
      </c>
      <c r="AA882" s="377">
        <f t="shared" si="343"/>
        <v>0</v>
      </c>
      <c r="AB882" s="377">
        <f t="shared" si="344"/>
        <v>0</v>
      </c>
      <c r="AC882" s="377">
        <f t="shared" si="345"/>
        <v>0</v>
      </c>
      <c r="AD882" s="376"/>
      <c r="AE882" s="332">
        <v>867</v>
      </c>
      <c r="AF882" s="350">
        <v>374461.56722287758</v>
      </c>
      <c r="AG882" s="350">
        <v>373112.12690962339</v>
      </c>
      <c r="AH882" s="350">
        <v>371652.77336919808</v>
      </c>
      <c r="AI882" s="350">
        <v>369901.96639982593</v>
      </c>
      <c r="AJ882" s="350">
        <v>367698.88115296786</v>
      </c>
      <c r="AK882" s="348">
        <v>1856827.3150544928</v>
      </c>
      <c r="AL882" s="369"/>
      <c r="AM882" s="350">
        <v>9530814.8942331895</v>
      </c>
      <c r="AN882" s="350">
        <v>9444749.2089248821</v>
      </c>
      <c r="AO882" s="350">
        <v>9350645.7429224402</v>
      </c>
      <c r="AP882" s="350">
        <v>9230583.3219424617</v>
      </c>
      <c r="AQ882" s="350">
        <v>9069230.4594608843</v>
      </c>
      <c r="AR882" s="348">
        <v>46626023.62748386</v>
      </c>
      <c r="AS882" s="369"/>
      <c r="AT882" s="350">
        <f t="shared" si="363"/>
        <v>9156353.3270103112</v>
      </c>
      <c r="AU882" s="350">
        <f t="shared" si="346"/>
        <v>9071637.0820152592</v>
      </c>
      <c r="AV882" s="350">
        <f t="shared" si="347"/>
        <v>8978992.9695532415</v>
      </c>
      <c r="AW882" s="350">
        <f t="shared" si="348"/>
        <v>8860681.3555426355</v>
      </c>
      <c r="AX882" s="350">
        <f t="shared" si="349"/>
        <v>8701531.5783079173</v>
      </c>
      <c r="AY882" s="350">
        <f t="shared" si="350"/>
        <v>44769196.312429368</v>
      </c>
      <c r="AZ882" s="365"/>
      <c r="BA882" s="377">
        <f t="shared" si="351"/>
        <v>0</v>
      </c>
      <c r="BB882" s="377">
        <f t="shared" si="352"/>
        <v>0</v>
      </c>
      <c r="BC882" s="377">
        <f t="shared" si="353"/>
        <v>0</v>
      </c>
      <c r="BD882" s="377">
        <f t="shared" si="354"/>
        <v>0</v>
      </c>
      <c r="BE882" s="377">
        <f t="shared" si="355"/>
        <v>0</v>
      </c>
      <c r="BF882" s="377">
        <f t="shared" si="356"/>
        <v>0</v>
      </c>
      <c r="BG882" s="328"/>
    </row>
    <row r="883" spans="2:59">
      <c r="B883" s="332">
        <v>868</v>
      </c>
      <c r="C883" s="350">
        <v>5198358.8206540048</v>
      </c>
      <c r="D883" s="350">
        <v>5179625.5898784781</v>
      </c>
      <c r="E883" s="350">
        <v>5159366.5192198139</v>
      </c>
      <c r="F883" s="350">
        <v>5135061.4271912882</v>
      </c>
      <c r="G883" s="350">
        <v>5104477.7074504569</v>
      </c>
      <c r="H883" s="348">
        <v>25776890.064394042</v>
      </c>
      <c r="I883" s="369"/>
      <c r="J883" s="350">
        <v>17252014.343722533</v>
      </c>
      <c r="K883" s="350">
        <v>16886488.095224645</v>
      </c>
      <c r="L883" s="350">
        <v>16510695.240569571</v>
      </c>
      <c r="M883" s="350">
        <v>16098969.866578139</v>
      </c>
      <c r="N883" s="350">
        <v>15629771.735056369</v>
      </c>
      <c r="O883" s="348">
        <v>82377939.28115125</v>
      </c>
      <c r="P883" s="369"/>
      <c r="Q883" s="350">
        <f t="shared" si="357"/>
        <v>12053655.523068529</v>
      </c>
      <c r="R883" s="350">
        <f t="shared" si="358"/>
        <v>11706862.505346168</v>
      </c>
      <c r="S883" s="350">
        <f t="shared" si="359"/>
        <v>11351328.721349757</v>
      </c>
      <c r="T883" s="350">
        <f t="shared" si="360"/>
        <v>10963908.439386852</v>
      </c>
      <c r="U883" s="350">
        <f t="shared" si="361"/>
        <v>10525294.027605912</v>
      </c>
      <c r="V883" s="350">
        <f t="shared" si="362"/>
        <v>56601049.216757208</v>
      </c>
      <c r="W883" s="365"/>
      <c r="X883" s="377">
        <f t="shared" si="340"/>
        <v>0</v>
      </c>
      <c r="Y883" s="377">
        <f t="shared" si="341"/>
        <v>0</v>
      </c>
      <c r="Z883" s="377">
        <f t="shared" si="342"/>
        <v>0</v>
      </c>
      <c r="AA883" s="377">
        <f t="shared" si="343"/>
        <v>0</v>
      </c>
      <c r="AB883" s="377">
        <f t="shared" si="344"/>
        <v>0</v>
      </c>
      <c r="AC883" s="377">
        <f t="shared" si="345"/>
        <v>0</v>
      </c>
      <c r="AD883" s="376"/>
      <c r="AE883" s="332">
        <v>868</v>
      </c>
      <c r="AF883" s="350">
        <v>422841.91868151631</v>
      </c>
      <c r="AG883" s="350">
        <v>421318.13097899093</v>
      </c>
      <c r="AH883" s="350">
        <v>419670.22928471415</v>
      </c>
      <c r="AI883" s="350">
        <v>417693.21844309272</v>
      </c>
      <c r="AJ883" s="350">
        <v>415205.49507081404</v>
      </c>
      <c r="AK883" s="348">
        <v>2096728.9924591281</v>
      </c>
      <c r="AL883" s="369"/>
      <c r="AM883" s="350">
        <v>10469303.691464426</v>
      </c>
      <c r="AN883" s="350">
        <v>10374229.306083281</v>
      </c>
      <c r="AO883" s="350">
        <v>10270336.571047388</v>
      </c>
      <c r="AP883" s="350">
        <v>10137956.877203273</v>
      </c>
      <c r="AQ883" s="350">
        <v>9960264.8762186654</v>
      </c>
      <c r="AR883" s="348">
        <v>51212091.322017029</v>
      </c>
      <c r="AS883" s="369"/>
      <c r="AT883" s="350">
        <f t="shared" si="363"/>
        <v>10046461.772782911</v>
      </c>
      <c r="AU883" s="350">
        <f t="shared" si="346"/>
        <v>9952911.1751042902</v>
      </c>
      <c r="AV883" s="350">
        <f t="shared" si="347"/>
        <v>9850666.3417626731</v>
      </c>
      <c r="AW883" s="350">
        <f t="shared" si="348"/>
        <v>9720263.6587601807</v>
      </c>
      <c r="AX883" s="350">
        <f t="shared" si="349"/>
        <v>9545059.3811478522</v>
      </c>
      <c r="AY883" s="350">
        <f t="shared" si="350"/>
        <v>49115362.329557903</v>
      </c>
      <c r="AZ883" s="365"/>
      <c r="BA883" s="377">
        <f t="shared" si="351"/>
        <v>0</v>
      </c>
      <c r="BB883" s="377">
        <f t="shared" si="352"/>
        <v>0</v>
      </c>
      <c r="BC883" s="377">
        <f t="shared" si="353"/>
        <v>0</v>
      </c>
      <c r="BD883" s="377">
        <f t="shared" si="354"/>
        <v>0</v>
      </c>
      <c r="BE883" s="377">
        <f t="shared" si="355"/>
        <v>0</v>
      </c>
      <c r="BF883" s="377">
        <f t="shared" si="356"/>
        <v>0</v>
      </c>
      <c r="BG883" s="328"/>
    </row>
    <row r="884" spans="2:59">
      <c r="B884" s="332">
        <v>869</v>
      </c>
      <c r="C884" s="350">
        <v>6500593.6071271962</v>
      </c>
      <c r="D884" s="350">
        <v>6477167.5366265634</v>
      </c>
      <c r="E884" s="350">
        <v>6451833.3898787862</v>
      </c>
      <c r="F884" s="350">
        <v>6421439.6576813236</v>
      </c>
      <c r="G884" s="350">
        <v>6383194.4460888691</v>
      </c>
      <c r="H884" s="348">
        <v>32234228.637402739</v>
      </c>
      <c r="I884" s="369"/>
      <c r="J884" s="350">
        <v>20641868.843433194</v>
      </c>
      <c r="K884" s="350">
        <v>20191491.781792723</v>
      </c>
      <c r="L884" s="350">
        <v>19729096.865982287</v>
      </c>
      <c r="M884" s="350">
        <v>19224395.85089574</v>
      </c>
      <c r="N884" s="350">
        <v>18652001.911564987</v>
      </c>
      <c r="O884" s="348">
        <v>98438855.253668934</v>
      </c>
      <c r="P884" s="369"/>
      <c r="Q884" s="350">
        <f t="shared" si="357"/>
        <v>14141275.236305997</v>
      </c>
      <c r="R884" s="350">
        <f t="shared" si="358"/>
        <v>13714324.24516616</v>
      </c>
      <c r="S884" s="350">
        <f t="shared" si="359"/>
        <v>13277263.4761035</v>
      </c>
      <c r="T884" s="350">
        <f t="shared" si="360"/>
        <v>12802956.193214417</v>
      </c>
      <c r="U884" s="350">
        <f t="shared" si="361"/>
        <v>12268807.465476118</v>
      </c>
      <c r="V884" s="350">
        <f t="shared" si="362"/>
        <v>66204626.616266191</v>
      </c>
      <c r="W884" s="365"/>
      <c r="X884" s="377">
        <f t="shared" si="340"/>
        <v>0</v>
      </c>
      <c r="Y884" s="377">
        <f t="shared" si="341"/>
        <v>0</v>
      </c>
      <c r="Z884" s="377">
        <f t="shared" si="342"/>
        <v>0</v>
      </c>
      <c r="AA884" s="377">
        <f t="shared" si="343"/>
        <v>0</v>
      </c>
      <c r="AB884" s="377">
        <f t="shared" si="344"/>
        <v>0</v>
      </c>
      <c r="AC884" s="377">
        <f t="shared" si="345"/>
        <v>0</v>
      </c>
      <c r="AD884" s="376"/>
      <c r="AE884" s="332">
        <v>869</v>
      </c>
      <c r="AF884" s="350">
        <v>694663.26906043128</v>
      </c>
      <c r="AG884" s="350">
        <v>692159.92372018925</v>
      </c>
      <c r="AH884" s="350">
        <v>689452.67846502189</v>
      </c>
      <c r="AI884" s="350">
        <v>686204.75825292175</v>
      </c>
      <c r="AJ884" s="350">
        <v>682117.81707241246</v>
      </c>
      <c r="AK884" s="348">
        <v>3444598.4465709762</v>
      </c>
      <c r="AL884" s="369"/>
      <c r="AM884" s="350">
        <v>15980147.047191257</v>
      </c>
      <c r="AN884" s="350">
        <v>15832742.500749815</v>
      </c>
      <c r="AO884" s="350">
        <v>15671924.448057823</v>
      </c>
      <c r="AP884" s="350">
        <v>15467744.887433203</v>
      </c>
      <c r="AQ884" s="350">
        <v>15194589.594484601</v>
      </c>
      <c r="AR884" s="348">
        <v>78147148.477916703</v>
      </c>
      <c r="AS884" s="369"/>
      <c r="AT884" s="350">
        <f t="shared" si="363"/>
        <v>15285483.778130826</v>
      </c>
      <c r="AU884" s="350">
        <f t="shared" si="346"/>
        <v>15140582.577029627</v>
      </c>
      <c r="AV884" s="350">
        <f t="shared" si="347"/>
        <v>14982471.769592801</v>
      </c>
      <c r="AW884" s="350">
        <f t="shared" si="348"/>
        <v>14781540.12918028</v>
      </c>
      <c r="AX884" s="350">
        <f t="shared" si="349"/>
        <v>14512471.777412189</v>
      </c>
      <c r="AY884" s="350">
        <f t="shared" si="350"/>
        <v>74702550.031345725</v>
      </c>
      <c r="AZ884" s="365"/>
      <c r="BA884" s="377">
        <f t="shared" si="351"/>
        <v>0</v>
      </c>
      <c r="BB884" s="377">
        <f t="shared" si="352"/>
        <v>0</v>
      </c>
      <c r="BC884" s="377">
        <f t="shared" si="353"/>
        <v>0</v>
      </c>
      <c r="BD884" s="377">
        <f t="shared" si="354"/>
        <v>0</v>
      </c>
      <c r="BE884" s="377">
        <f t="shared" si="355"/>
        <v>0</v>
      </c>
      <c r="BF884" s="377">
        <f t="shared" si="356"/>
        <v>0</v>
      </c>
      <c r="BG884" s="328"/>
    </row>
    <row r="885" spans="2:59">
      <c r="B885" s="332">
        <v>870</v>
      </c>
      <c r="C885" s="350">
        <v>9438475.3420546073</v>
      </c>
      <c r="D885" s="350">
        <v>9404462.0807827394</v>
      </c>
      <c r="E885" s="350">
        <v>9367678.4062689636</v>
      </c>
      <c r="F885" s="350">
        <v>9323548.5145642683</v>
      </c>
      <c r="G885" s="350">
        <v>9268018.7416876368</v>
      </c>
      <c r="H885" s="348">
        <v>46802183.085358217</v>
      </c>
      <c r="I885" s="369"/>
      <c r="J885" s="350">
        <v>37641758.406690262</v>
      </c>
      <c r="K885" s="350">
        <v>36932550.065770596</v>
      </c>
      <c r="L885" s="350">
        <v>36199137.668304406</v>
      </c>
      <c r="M885" s="350">
        <v>35382668.79405003</v>
      </c>
      <c r="N885" s="350">
        <v>34433529.404091775</v>
      </c>
      <c r="O885" s="348">
        <v>180589644.33890709</v>
      </c>
      <c r="P885" s="369"/>
      <c r="Q885" s="350">
        <f t="shared" si="357"/>
        <v>28203283.064635657</v>
      </c>
      <c r="R885" s="350">
        <f t="shared" si="358"/>
        <v>27528087.984987855</v>
      </c>
      <c r="S885" s="350">
        <f t="shared" si="359"/>
        <v>26831459.262035444</v>
      </c>
      <c r="T885" s="350">
        <f t="shared" si="360"/>
        <v>26059120.279485762</v>
      </c>
      <c r="U885" s="350">
        <f t="shared" si="361"/>
        <v>25165510.662404139</v>
      </c>
      <c r="V885" s="350">
        <f t="shared" si="362"/>
        <v>133787461.25354888</v>
      </c>
      <c r="W885" s="365"/>
      <c r="X885" s="377">
        <f t="shared" si="340"/>
        <v>0</v>
      </c>
      <c r="Y885" s="377">
        <f t="shared" si="341"/>
        <v>0</v>
      </c>
      <c r="Z885" s="377">
        <f t="shared" si="342"/>
        <v>0</v>
      </c>
      <c r="AA885" s="377">
        <f t="shared" si="343"/>
        <v>0</v>
      </c>
      <c r="AB885" s="377">
        <f t="shared" si="344"/>
        <v>0</v>
      </c>
      <c r="AC885" s="377">
        <f t="shared" si="345"/>
        <v>0</v>
      </c>
      <c r="AD885" s="376"/>
      <c r="AE885" s="332">
        <v>870</v>
      </c>
      <c r="AF885" s="350">
        <v>518788.2730602129</v>
      </c>
      <c r="AG885" s="350">
        <v>516918.72523210611</v>
      </c>
      <c r="AH885" s="350">
        <v>514896.90091342799</v>
      </c>
      <c r="AI885" s="350">
        <v>512471.28983980423</v>
      </c>
      <c r="AJ885" s="350">
        <v>509419.08130716806</v>
      </c>
      <c r="AK885" s="348">
        <v>2572494.2703527194</v>
      </c>
      <c r="AL885" s="369"/>
      <c r="AM885" s="350">
        <v>16477571.598710328</v>
      </c>
      <c r="AN885" s="350">
        <v>16334741.885007106</v>
      </c>
      <c r="AO885" s="350">
        <v>16177894.021237351</v>
      </c>
      <c r="AP885" s="350">
        <v>15975851.855625395</v>
      </c>
      <c r="AQ885" s="350">
        <v>15701932.467167953</v>
      </c>
      <c r="AR885" s="348">
        <v>80667991.827748135</v>
      </c>
      <c r="AS885" s="369"/>
      <c r="AT885" s="350">
        <f t="shared" si="363"/>
        <v>15958783.325650115</v>
      </c>
      <c r="AU885" s="350">
        <f t="shared" si="346"/>
        <v>15817823.159775</v>
      </c>
      <c r="AV885" s="350">
        <f t="shared" si="347"/>
        <v>15662997.120323922</v>
      </c>
      <c r="AW885" s="350">
        <f t="shared" si="348"/>
        <v>15463380.565785591</v>
      </c>
      <c r="AX885" s="350">
        <f t="shared" si="349"/>
        <v>15192513.385860786</v>
      </c>
      <c r="AY885" s="350">
        <f t="shared" si="350"/>
        <v>78095497.557395414</v>
      </c>
      <c r="AZ885" s="365"/>
      <c r="BA885" s="377">
        <f t="shared" si="351"/>
        <v>0</v>
      </c>
      <c r="BB885" s="377">
        <f t="shared" si="352"/>
        <v>0</v>
      </c>
      <c r="BC885" s="377">
        <f t="shared" si="353"/>
        <v>0</v>
      </c>
      <c r="BD885" s="377">
        <f t="shared" si="354"/>
        <v>0</v>
      </c>
      <c r="BE885" s="377">
        <f t="shared" si="355"/>
        <v>0</v>
      </c>
      <c r="BF885" s="377">
        <f t="shared" si="356"/>
        <v>0</v>
      </c>
      <c r="BG885" s="328"/>
    </row>
    <row r="886" spans="2:59">
      <c r="B886" s="332">
        <v>871</v>
      </c>
      <c r="C886" s="350">
        <v>4346050.0467146058</v>
      </c>
      <c r="D886" s="350">
        <v>4330388.2655071206</v>
      </c>
      <c r="E886" s="350">
        <v>4313450.8169738138</v>
      </c>
      <c r="F886" s="350">
        <v>4293130.7217302378</v>
      </c>
      <c r="G886" s="350">
        <v>4267561.4254976949</v>
      </c>
      <c r="H886" s="348">
        <v>21550581.276423477</v>
      </c>
      <c r="I886" s="369"/>
      <c r="J886" s="350">
        <v>13632063.342284877</v>
      </c>
      <c r="K886" s="350">
        <v>13332171.38558476</v>
      </c>
      <c r="L886" s="350">
        <v>13024392.953482235</v>
      </c>
      <c r="M886" s="350">
        <v>12688804.857305935</v>
      </c>
      <c r="N886" s="350">
        <v>12308714.257921278</v>
      </c>
      <c r="O886" s="348">
        <v>64986146.796579085</v>
      </c>
      <c r="P886" s="369"/>
      <c r="Q886" s="350">
        <f t="shared" si="357"/>
        <v>9286013.2955702711</v>
      </c>
      <c r="R886" s="350">
        <f t="shared" si="358"/>
        <v>9001783.1200776398</v>
      </c>
      <c r="S886" s="350">
        <f t="shared" si="359"/>
        <v>8710942.1365084201</v>
      </c>
      <c r="T886" s="350">
        <f t="shared" si="360"/>
        <v>8395674.1355756968</v>
      </c>
      <c r="U886" s="350">
        <f t="shared" si="361"/>
        <v>8041152.8324235836</v>
      </c>
      <c r="V886" s="350">
        <f t="shared" si="362"/>
        <v>43435565.520155609</v>
      </c>
      <c r="W886" s="365"/>
      <c r="X886" s="377">
        <f t="shared" si="340"/>
        <v>0</v>
      </c>
      <c r="Y886" s="377">
        <f t="shared" si="341"/>
        <v>0</v>
      </c>
      <c r="Z886" s="377">
        <f t="shared" si="342"/>
        <v>0</v>
      </c>
      <c r="AA886" s="377">
        <f t="shared" si="343"/>
        <v>0</v>
      </c>
      <c r="AB886" s="377">
        <f t="shared" si="344"/>
        <v>0</v>
      </c>
      <c r="AC886" s="377">
        <f t="shared" si="345"/>
        <v>0</v>
      </c>
      <c r="AD886" s="376"/>
      <c r="AE886" s="332">
        <v>871</v>
      </c>
      <c r="AF886" s="350">
        <v>403691.55394029611</v>
      </c>
      <c r="AG886" s="350">
        <v>402236.77805756044</v>
      </c>
      <c r="AH886" s="350">
        <v>400663.50926297688</v>
      </c>
      <c r="AI886" s="350">
        <v>398776.03656088619</v>
      </c>
      <c r="AJ886" s="350">
        <v>396400.98132260656</v>
      </c>
      <c r="AK886" s="348">
        <v>2001768.8591443263</v>
      </c>
      <c r="AL886" s="369"/>
      <c r="AM886" s="350">
        <v>13741738.918801581</v>
      </c>
      <c r="AN886" s="350">
        <v>13623967.409669938</v>
      </c>
      <c r="AO886" s="350">
        <v>13494477.798735699</v>
      </c>
      <c r="AP886" s="350">
        <v>13327226.831675356</v>
      </c>
      <c r="AQ886" s="350">
        <v>13099922.057448078</v>
      </c>
      <c r="AR886" s="348">
        <v>67287333.016330659</v>
      </c>
      <c r="AS886" s="369"/>
      <c r="AT886" s="350">
        <f t="shared" si="363"/>
        <v>13338047.364861285</v>
      </c>
      <c r="AU886" s="350">
        <f t="shared" si="346"/>
        <v>13221730.631612377</v>
      </c>
      <c r="AV886" s="350">
        <f t="shared" si="347"/>
        <v>13093814.289472722</v>
      </c>
      <c r="AW886" s="350">
        <f t="shared" si="348"/>
        <v>12928450.795114471</v>
      </c>
      <c r="AX886" s="350">
        <f t="shared" si="349"/>
        <v>12703521.076125471</v>
      </c>
      <c r="AY886" s="350">
        <f t="shared" si="350"/>
        <v>65285564.157186329</v>
      </c>
      <c r="AZ886" s="365"/>
      <c r="BA886" s="377">
        <f t="shared" si="351"/>
        <v>0</v>
      </c>
      <c r="BB886" s="377">
        <f t="shared" si="352"/>
        <v>0</v>
      </c>
      <c r="BC886" s="377">
        <f t="shared" si="353"/>
        <v>0</v>
      </c>
      <c r="BD886" s="377">
        <f t="shared" si="354"/>
        <v>0</v>
      </c>
      <c r="BE886" s="377">
        <f t="shared" si="355"/>
        <v>0</v>
      </c>
      <c r="BF886" s="377">
        <f t="shared" si="356"/>
        <v>0</v>
      </c>
      <c r="BG886" s="328"/>
    </row>
    <row r="887" spans="2:59">
      <c r="B887" s="332">
        <v>872</v>
      </c>
      <c r="C887" s="350">
        <v>3103465.514666853</v>
      </c>
      <c r="D887" s="350">
        <v>3092281.6126516345</v>
      </c>
      <c r="E887" s="350">
        <v>3080186.7709299442</v>
      </c>
      <c r="F887" s="350">
        <v>3065676.419193231</v>
      </c>
      <c r="G887" s="350">
        <v>3047417.6720000226</v>
      </c>
      <c r="H887" s="348">
        <v>15389027.989441685</v>
      </c>
      <c r="I887" s="369"/>
      <c r="J887" s="350">
        <v>10897043.409761801</v>
      </c>
      <c r="K887" s="350">
        <v>10674515.083266918</v>
      </c>
      <c r="L887" s="350">
        <v>10445331.415146565</v>
      </c>
      <c r="M887" s="350">
        <v>10193011.067063369</v>
      </c>
      <c r="N887" s="350">
        <v>9903701.0177545659</v>
      </c>
      <c r="O887" s="348">
        <v>52113601.992993221</v>
      </c>
      <c r="P887" s="369"/>
      <c r="Q887" s="350">
        <f t="shared" si="357"/>
        <v>7793577.8950949479</v>
      </c>
      <c r="R887" s="350">
        <f t="shared" si="358"/>
        <v>7582233.4706152827</v>
      </c>
      <c r="S887" s="350">
        <f t="shared" si="359"/>
        <v>7365144.6442166213</v>
      </c>
      <c r="T887" s="350">
        <f t="shared" si="360"/>
        <v>7127334.6478701383</v>
      </c>
      <c r="U887" s="350">
        <f t="shared" si="361"/>
        <v>6856283.3457545433</v>
      </c>
      <c r="V887" s="350">
        <f t="shared" si="362"/>
        <v>36724574.003551535</v>
      </c>
      <c r="W887" s="365"/>
      <c r="X887" s="377">
        <f t="shared" si="340"/>
        <v>0</v>
      </c>
      <c r="Y887" s="377">
        <f t="shared" si="341"/>
        <v>0</v>
      </c>
      <c r="Z887" s="377">
        <f t="shared" si="342"/>
        <v>0</v>
      </c>
      <c r="AA887" s="377">
        <f t="shared" si="343"/>
        <v>0</v>
      </c>
      <c r="AB887" s="377">
        <f t="shared" si="344"/>
        <v>0</v>
      </c>
      <c r="AC887" s="377">
        <f t="shared" si="345"/>
        <v>0</v>
      </c>
      <c r="AD887" s="376"/>
      <c r="AE887" s="332">
        <v>872</v>
      </c>
      <c r="AF887" s="350">
        <v>423072.66059159313</v>
      </c>
      <c r="AG887" s="350">
        <v>421548.04136865906</v>
      </c>
      <c r="AH887" s="350">
        <v>419899.24042582692</v>
      </c>
      <c r="AI887" s="350">
        <v>417921.1507430647</v>
      </c>
      <c r="AJ887" s="350">
        <v>415432.06983735034</v>
      </c>
      <c r="AK887" s="348">
        <v>2097873.162966494</v>
      </c>
      <c r="AL887" s="369"/>
      <c r="AM887" s="350">
        <v>14834626.96071877</v>
      </c>
      <c r="AN887" s="350">
        <v>14708079.398227172</v>
      </c>
      <c r="AO887" s="350">
        <v>14568869.731287066</v>
      </c>
      <c r="AP887" s="350">
        <v>14388864.404072532</v>
      </c>
      <c r="AQ887" s="350">
        <v>14143980.549430812</v>
      </c>
      <c r="AR887" s="348">
        <v>72644421.043736354</v>
      </c>
      <c r="AS887" s="369"/>
      <c r="AT887" s="350">
        <f t="shared" si="363"/>
        <v>14411554.300127177</v>
      </c>
      <c r="AU887" s="350">
        <f t="shared" si="346"/>
        <v>14286531.356858512</v>
      </c>
      <c r="AV887" s="350">
        <f t="shared" si="347"/>
        <v>14148970.490861239</v>
      </c>
      <c r="AW887" s="350">
        <f t="shared" si="348"/>
        <v>13970943.253329467</v>
      </c>
      <c r="AX887" s="350">
        <f t="shared" si="349"/>
        <v>13728548.479593461</v>
      </c>
      <c r="AY887" s="350">
        <f t="shared" si="350"/>
        <v>70546547.880769864</v>
      </c>
      <c r="AZ887" s="365"/>
      <c r="BA887" s="377">
        <f t="shared" si="351"/>
        <v>0</v>
      </c>
      <c r="BB887" s="377">
        <f t="shared" si="352"/>
        <v>0</v>
      </c>
      <c r="BC887" s="377">
        <f t="shared" si="353"/>
        <v>0</v>
      </c>
      <c r="BD887" s="377">
        <f t="shared" si="354"/>
        <v>0</v>
      </c>
      <c r="BE887" s="377">
        <f t="shared" si="355"/>
        <v>0</v>
      </c>
      <c r="BF887" s="377">
        <f t="shared" si="356"/>
        <v>0</v>
      </c>
      <c r="BG887" s="328"/>
    </row>
    <row r="888" spans="2:59">
      <c r="B888" s="332">
        <v>873</v>
      </c>
      <c r="C888" s="350">
        <v>5160109.3159650024</v>
      </c>
      <c r="D888" s="350">
        <v>5141513.9242312033</v>
      </c>
      <c r="E888" s="350">
        <v>5121403.9197383961</v>
      </c>
      <c r="F888" s="350">
        <v>5097277.6644857824</v>
      </c>
      <c r="G888" s="350">
        <v>5066918.9796399996</v>
      </c>
      <c r="H888" s="348">
        <v>25587223.804060385</v>
      </c>
      <c r="I888" s="369"/>
      <c r="J888" s="350">
        <v>18000994.613306392</v>
      </c>
      <c r="K888" s="350">
        <v>17631844.827954512</v>
      </c>
      <c r="L888" s="350">
        <v>17251732.668618456</v>
      </c>
      <c r="M888" s="350">
        <v>16833482.475181323</v>
      </c>
      <c r="N888" s="350">
        <v>16354256.187057467</v>
      </c>
      <c r="O888" s="348">
        <v>86072310.772118151</v>
      </c>
      <c r="P888" s="369"/>
      <c r="Q888" s="350">
        <f t="shared" si="357"/>
        <v>12840885.29734139</v>
      </c>
      <c r="R888" s="350">
        <f t="shared" si="358"/>
        <v>12490330.903723309</v>
      </c>
      <c r="S888" s="350">
        <f t="shared" si="359"/>
        <v>12130328.748880059</v>
      </c>
      <c r="T888" s="350">
        <f t="shared" si="360"/>
        <v>11736204.81069554</v>
      </c>
      <c r="U888" s="350">
        <f t="shared" si="361"/>
        <v>11287337.207417468</v>
      </c>
      <c r="V888" s="350">
        <f t="shared" si="362"/>
        <v>60485086.968057767</v>
      </c>
      <c r="W888" s="365"/>
      <c r="X888" s="377">
        <f t="shared" si="340"/>
        <v>0</v>
      </c>
      <c r="Y888" s="377">
        <f t="shared" si="341"/>
        <v>0</v>
      </c>
      <c r="Z888" s="377">
        <f t="shared" si="342"/>
        <v>0</v>
      </c>
      <c r="AA888" s="377">
        <f t="shared" si="343"/>
        <v>0</v>
      </c>
      <c r="AB888" s="377">
        <f t="shared" si="344"/>
        <v>0</v>
      </c>
      <c r="AC888" s="377">
        <f t="shared" si="345"/>
        <v>0</v>
      </c>
      <c r="AD888" s="376"/>
      <c r="AE888" s="332">
        <v>873</v>
      </c>
      <c r="AF888" s="350">
        <v>405871.50487959251</v>
      </c>
      <c r="AG888" s="350">
        <v>404408.87314745627</v>
      </c>
      <c r="AH888" s="350">
        <v>402827.10863689095</v>
      </c>
      <c r="AI888" s="350">
        <v>400929.44350483804</v>
      </c>
      <c r="AJ888" s="350">
        <v>398541.56287091417</v>
      </c>
      <c r="AK888" s="348">
        <v>2012578.4930396918</v>
      </c>
      <c r="AL888" s="369"/>
      <c r="AM888" s="350">
        <v>10010556.174637921</v>
      </c>
      <c r="AN888" s="350">
        <v>9919575.5140785519</v>
      </c>
      <c r="AO888" s="350">
        <v>9820164.3852142263</v>
      </c>
      <c r="AP888" s="350">
        <v>9693518.3590034842</v>
      </c>
      <c r="AQ888" s="350">
        <v>9523551.4865853079</v>
      </c>
      <c r="AR888" s="348">
        <v>48967365.919519484</v>
      </c>
      <c r="AS888" s="369"/>
      <c r="AT888" s="350">
        <f t="shared" si="363"/>
        <v>9604684.6697583292</v>
      </c>
      <c r="AU888" s="350">
        <f t="shared" si="346"/>
        <v>9515166.6409310959</v>
      </c>
      <c r="AV888" s="350">
        <f t="shared" si="347"/>
        <v>9417337.2765773349</v>
      </c>
      <c r="AW888" s="350">
        <f t="shared" si="348"/>
        <v>9292588.915498646</v>
      </c>
      <c r="AX888" s="350">
        <f t="shared" si="349"/>
        <v>9125009.9237143937</v>
      </c>
      <c r="AY888" s="350">
        <f t="shared" si="350"/>
        <v>46954787.426479794</v>
      </c>
      <c r="AZ888" s="365"/>
      <c r="BA888" s="377">
        <f t="shared" si="351"/>
        <v>0</v>
      </c>
      <c r="BB888" s="377">
        <f t="shared" si="352"/>
        <v>0</v>
      </c>
      <c r="BC888" s="377">
        <f t="shared" si="353"/>
        <v>0</v>
      </c>
      <c r="BD888" s="377">
        <f t="shared" si="354"/>
        <v>0</v>
      </c>
      <c r="BE888" s="377">
        <f t="shared" si="355"/>
        <v>0</v>
      </c>
      <c r="BF888" s="377">
        <f t="shared" si="356"/>
        <v>0</v>
      </c>
      <c r="BG888" s="328"/>
    </row>
    <row r="889" spans="2:59">
      <c r="B889" s="332">
        <v>874</v>
      </c>
      <c r="C889" s="350">
        <v>4956519.3540172167</v>
      </c>
      <c r="D889" s="350">
        <v>4938657.6357123451</v>
      </c>
      <c r="E889" s="350">
        <v>4919341.0630634716</v>
      </c>
      <c r="F889" s="350">
        <v>4896166.6991542503</v>
      </c>
      <c r="G889" s="350">
        <v>4867005.8035633201</v>
      </c>
      <c r="H889" s="348">
        <v>24577690.555510603</v>
      </c>
      <c r="I889" s="369"/>
      <c r="J889" s="350">
        <v>15428430.058439003</v>
      </c>
      <c r="K889" s="350">
        <v>15087267.505593684</v>
      </c>
      <c r="L889" s="350">
        <v>14737215.01816852</v>
      </c>
      <c r="M889" s="350">
        <v>14355780.620125886</v>
      </c>
      <c r="N889" s="350">
        <v>13924123.669290207</v>
      </c>
      <c r="O889" s="348">
        <v>73532816.871617317</v>
      </c>
      <c r="P889" s="369"/>
      <c r="Q889" s="350">
        <f t="shared" si="357"/>
        <v>10471910.704421787</v>
      </c>
      <c r="R889" s="350">
        <f t="shared" si="358"/>
        <v>10148609.869881339</v>
      </c>
      <c r="S889" s="350">
        <f t="shared" si="359"/>
        <v>9817873.9551050477</v>
      </c>
      <c r="T889" s="350">
        <f t="shared" si="360"/>
        <v>9459613.9209716357</v>
      </c>
      <c r="U889" s="350">
        <f t="shared" si="361"/>
        <v>9057117.8657268882</v>
      </c>
      <c r="V889" s="350">
        <f t="shared" si="362"/>
        <v>48955126.316106714</v>
      </c>
      <c r="W889" s="365"/>
      <c r="X889" s="377">
        <f t="shared" si="340"/>
        <v>0</v>
      </c>
      <c r="Y889" s="377">
        <f t="shared" si="341"/>
        <v>0</v>
      </c>
      <c r="Z889" s="377">
        <f t="shared" si="342"/>
        <v>0</v>
      </c>
      <c r="AA889" s="377">
        <f t="shared" si="343"/>
        <v>0</v>
      </c>
      <c r="AB889" s="377">
        <f t="shared" si="344"/>
        <v>0</v>
      </c>
      <c r="AC889" s="377">
        <f t="shared" si="345"/>
        <v>0</v>
      </c>
      <c r="AD889" s="376"/>
      <c r="AE889" s="332">
        <v>874</v>
      </c>
      <c r="AF889" s="350">
        <v>400759.41021587979</v>
      </c>
      <c r="AG889" s="350">
        <v>399315.20084595151</v>
      </c>
      <c r="AH889" s="350">
        <v>397753.35921693005</v>
      </c>
      <c r="AI889" s="350">
        <v>395879.59584609576</v>
      </c>
      <c r="AJ889" s="350">
        <v>393521.7914104255</v>
      </c>
      <c r="AK889" s="348">
        <v>1987229.3575352826</v>
      </c>
      <c r="AL889" s="369"/>
      <c r="AM889" s="350">
        <v>14432081.630649462</v>
      </c>
      <c r="AN889" s="350">
        <v>14309470.611337036</v>
      </c>
      <c r="AO889" s="350">
        <v>14174530.817074204</v>
      </c>
      <c r="AP889" s="350">
        <v>13999875.878214175</v>
      </c>
      <c r="AQ889" s="350">
        <v>13762061.542997919</v>
      </c>
      <c r="AR889" s="348">
        <v>70678020.4802728</v>
      </c>
      <c r="AS889" s="369"/>
      <c r="AT889" s="350">
        <f t="shared" si="363"/>
        <v>14031322.220433582</v>
      </c>
      <c r="AU889" s="350">
        <f t="shared" si="346"/>
        <v>13910155.410491085</v>
      </c>
      <c r="AV889" s="350">
        <f t="shared" si="347"/>
        <v>13776777.457857274</v>
      </c>
      <c r="AW889" s="350">
        <f t="shared" si="348"/>
        <v>13603996.282368079</v>
      </c>
      <c r="AX889" s="350">
        <f t="shared" si="349"/>
        <v>13368539.751587493</v>
      </c>
      <c r="AY889" s="350">
        <f t="shared" si="350"/>
        <v>68690791.122737512</v>
      </c>
      <c r="AZ889" s="365"/>
      <c r="BA889" s="377">
        <f t="shared" si="351"/>
        <v>0</v>
      </c>
      <c r="BB889" s="377">
        <f t="shared" si="352"/>
        <v>0</v>
      </c>
      <c r="BC889" s="377">
        <f t="shared" si="353"/>
        <v>0</v>
      </c>
      <c r="BD889" s="377">
        <f t="shared" si="354"/>
        <v>0</v>
      </c>
      <c r="BE889" s="377">
        <f t="shared" si="355"/>
        <v>0</v>
      </c>
      <c r="BF889" s="377">
        <f t="shared" si="356"/>
        <v>0</v>
      </c>
      <c r="BG889" s="328"/>
    </row>
    <row r="890" spans="2:59">
      <c r="B890" s="332">
        <v>875</v>
      </c>
      <c r="C890" s="350">
        <v>3015449.8622536352</v>
      </c>
      <c r="D890" s="350">
        <v>3004583.1406381154</v>
      </c>
      <c r="E890" s="350">
        <v>2992831.3139684494</v>
      </c>
      <c r="F890" s="350">
        <v>2978732.4822144196</v>
      </c>
      <c r="G890" s="350">
        <v>2960991.5611542426</v>
      </c>
      <c r="H890" s="348">
        <v>14952588.360228863</v>
      </c>
      <c r="I890" s="369"/>
      <c r="J890" s="350">
        <v>10695745.577077966</v>
      </c>
      <c r="K890" s="350">
        <v>10478751.67945314</v>
      </c>
      <c r="L890" s="350">
        <v>10255196.309722599</v>
      </c>
      <c r="M890" s="350">
        <v>10008856.602926686</v>
      </c>
      <c r="N890" s="350">
        <v>9726093.2740041576</v>
      </c>
      <c r="O890" s="348">
        <v>51164643.443184555</v>
      </c>
      <c r="P890" s="369"/>
      <c r="Q890" s="350">
        <f t="shared" si="357"/>
        <v>7680295.714824331</v>
      </c>
      <c r="R890" s="350">
        <f t="shared" si="358"/>
        <v>7474168.5388150252</v>
      </c>
      <c r="S890" s="350">
        <f t="shared" si="359"/>
        <v>7262364.9957541488</v>
      </c>
      <c r="T890" s="350">
        <f t="shared" si="360"/>
        <v>7030124.1207122672</v>
      </c>
      <c r="U890" s="350">
        <f t="shared" si="361"/>
        <v>6765101.712849915</v>
      </c>
      <c r="V890" s="350">
        <f t="shared" si="362"/>
        <v>36212055.082955688</v>
      </c>
      <c r="W890" s="365"/>
      <c r="X890" s="377">
        <f t="shared" si="340"/>
        <v>0</v>
      </c>
      <c r="Y890" s="377">
        <f t="shared" si="341"/>
        <v>0</v>
      </c>
      <c r="Z890" s="377">
        <f t="shared" si="342"/>
        <v>0</v>
      </c>
      <c r="AA890" s="377">
        <f t="shared" si="343"/>
        <v>0</v>
      </c>
      <c r="AB890" s="377">
        <f t="shared" si="344"/>
        <v>0</v>
      </c>
      <c r="AC890" s="377">
        <f t="shared" si="345"/>
        <v>0</v>
      </c>
      <c r="AD890" s="376"/>
      <c r="AE890" s="332">
        <v>875</v>
      </c>
      <c r="AF890" s="350">
        <v>403731.14571154129</v>
      </c>
      <c r="AG890" s="350">
        <v>402276.22715266212</v>
      </c>
      <c r="AH890" s="350">
        <v>400702.80406082468</v>
      </c>
      <c r="AI890" s="350">
        <v>398815.14624614816</v>
      </c>
      <c r="AJ890" s="350">
        <v>396439.858075961</v>
      </c>
      <c r="AK890" s="348">
        <v>2001965.1812471375</v>
      </c>
      <c r="AL890" s="369"/>
      <c r="AM890" s="350">
        <v>10770218.171899531</v>
      </c>
      <c r="AN890" s="350">
        <v>10673861.65598454</v>
      </c>
      <c r="AO890" s="350">
        <v>10568403.708271191</v>
      </c>
      <c r="AP890" s="350">
        <v>10433563.545963112</v>
      </c>
      <c r="AQ890" s="350">
        <v>10251989.256457405</v>
      </c>
      <c r="AR890" s="348">
        <v>52698036.33857578</v>
      </c>
      <c r="AS890" s="369"/>
      <c r="AT890" s="350">
        <f t="shared" si="363"/>
        <v>10366487.02618799</v>
      </c>
      <c r="AU890" s="350">
        <f t="shared" si="346"/>
        <v>10271585.428831877</v>
      </c>
      <c r="AV890" s="350">
        <f t="shared" si="347"/>
        <v>10167700.904210366</v>
      </c>
      <c r="AW890" s="350">
        <f t="shared" si="348"/>
        <v>10034748.399716964</v>
      </c>
      <c r="AX890" s="350">
        <f t="shared" si="349"/>
        <v>9855549.3983814437</v>
      </c>
      <c r="AY890" s="350">
        <f t="shared" si="350"/>
        <v>50696071.157328643</v>
      </c>
      <c r="AZ890" s="365"/>
      <c r="BA890" s="377">
        <f t="shared" si="351"/>
        <v>0</v>
      </c>
      <c r="BB890" s="377">
        <f t="shared" si="352"/>
        <v>0</v>
      </c>
      <c r="BC890" s="377">
        <f t="shared" si="353"/>
        <v>0</v>
      </c>
      <c r="BD890" s="377">
        <f t="shared" si="354"/>
        <v>0</v>
      </c>
      <c r="BE890" s="377">
        <f t="shared" si="355"/>
        <v>0</v>
      </c>
      <c r="BF890" s="377">
        <f t="shared" si="356"/>
        <v>0</v>
      </c>
      <c r="BG890" s="328"/>
    </row>
    <row r="891" spans="2:59">
      <c r="B891" s="332">
        <v>876</v>
      </c>
      <c r="C891" s="350">
        <v>4743670.7980842404</v>
      </c>
      <c r="D891" s="350">
        <v>4726576.1182344062</v>
      </c>
      <c r="E891" s="350">
        <v>4708089.0600694334</v>
      </c>
      <c r="F891" s="350">
        <v>4685909.8763543013</v>
      </c>
      <c r="G891" s="350">
        <v>4658001.241487667</v>
      </c>
      <c r="H891" s="348">
        <v>23522247.094230048</v>
      </c>
      <c r="I891" s="369"/>
      <c r="J891" s="350">
        <v>17461318.470803224</v>
      </c>
      <c r="K891" s="350">
        <v>17115379.541585144</v>
      </c>
      <c r="L891" s="350">
        <v>16758558.921013007</v>
      </c>
      <c r="M891" s="350">
        <v>16364103.488595149</v>
      </c>
      <c r="N891" s="350">
        <v>15909500.219928153</v>
      </c>
      <c r="O891" s="348">
        <v>83608860.641924679</v>
      </c>
      <c r="P891" s="369"/>
      <c r="Q891" s="350">
        <f t="shared" si="357"/>
        <v>12717647.672718983</v>
      </c>
      <c r="R891" s="350">
        <f t="shared" si="358"/>
        <v>12388803.423350736</v>
      </c>
      <c r="S891" s="350">
        <f t="shared" si="359"/>
        <v>12050469.860943574</v>
      </c>
      <c r="T891" s="350">
        <f t="shared" si="360"/>
        <v>11678193.612240847</v>
      </c>
      <c r="U891" s="350">
        <f t="shared" si="361"/>
        <v>11251498.978440486</v>
      </c>
      <c r="V891" s="350">
        <f t="shared" si="362"/>
        <v>60086613.547694631</v>
      </c>
      <c r="W891" s="365"/>
      <c r="X891" s="377">
        <f t="shared" si="340"/>
        <v>0</v>
      </c>
      <c r="Y891" s="377">
        <f t="shared" si="341"/>
        <v>0</v>
      </c>
      <c r="Z891" s="377">
        <f t="shared" si="342"/>
        <v>0</v>
      </c>
      <c r="AA891" s="377">
        <f t="shared" si="343"/>
        <v>0</v>
      </c>
      <c r="AB891" s="377">
        <f t="shared" si="344"/>
        <v>0</v>
      </c>
      <c r="AC891" s="377">
        <f t="shared" si="345"/>
        <v>0</v>
      </c>
      <c r="AD891" s="376"/>
      <c r="AE891" s="332">
        <v>876</v>
      </c>
      <c r="AF891" s="350">
        <v>633414.16714577808</v>
      </c>
      <c r="AG891" s="350">
        <v>631131.54407588055</v>
      </c>
      <c r="AH891" s="350">
        <v>628662.99913484638</v>
      </c>
      <c r="AI891" s="350">
        <v>625701.45104711503</v>
      </c>
      <c r="AJ891" s="350">
        <v>621974.8592445465</v>
      </c>
      <c r="AK891" s="348">
        <v>3140885.0206481665</v>
      </c>
      <c r="AL891" s="369"/>
      <c r="AM891" s="350">
        <v>15081152.826750154</v>
      </c>
      <c r="AN891" s="350">
        <v>14943069.391252613</v>
      </c>
      <c r="AO891" s="350">
        <v>14792306.048672883</v>
      </c>
      <c r="AP891" s="350">
        <v>14600566.36076534</v>
      </c>
      <c r="AQ891" s="350">
        <v>14343646.617640153</v>
      </c>
      <c r="AR891" s="348">
        <v>73760741.245081142</v>
      </c>
      <c r="AS891" s="369"/>
      <c r="AT891" s="350">
        <f t="shared" si="363"/>
        <v>14447738.659604376</v>
      </c>
      <c r="AU891" s="350">
        <f t="shared" si="346"/>
        <v>14311937.847176732</v>
      </c>
      <c r="AV891" s="350">
        <f t="shared" si="347"/>
        <v>14163643.049538037</v>
      </c>
      <c r="AW891" s="350">
        <f t="shared" si="348"/>
        <v>13974864.909718225</v>
      </c>
      <c r="AX891" s="350">
        <f t="shared" si="349"/>
        <v>13721671.758395607</v>
      </c>
      <c r="AY891" s="350">
        <f t="shared" si="350"/>
        <v>70619856.224432975</v>
      </c>
      <c r="AZ891" s="365"/>
      <c r="BA891" s="377">
        <f t="shared" si="351"/>
        <v>0</v>
      </c>
      <c r="BB891" s="377">
        <f t="shared" si="352"/>
        <v>0</v>
      </c>
      <c r="BC891" s="377">
        <f t="shared" si="353"/>
        <v>0</v>
      </c>
      <c r="BD891" s="377">
        <f t="shared" si="354"/>
        <v>0</v>
      </c>
      <c r="BE891" s="377">
        <f t="shared" si="355"/>
        <v>0</v>
      </c>
      <c r="BF891" s="377">
        <f t="shared" si="356"/>
        <v>0</v>
      </c>
      <c r="BG891" s="328"/>
    </row>
    <row r="892" spans="2:59">
      <c r="B892" s="332">
        <v>877</v>
      </c>
      <c r="C892" s="350">
        <v>4374549.5560440086</v>
      </c>
      <c r="D892" s="350">
        <v>4358785.0716750659</v>
      </c>
      <c r="E892" s="350">
        <v>4341736.5547078243</v>
      </c>
      <c r="F892" s="350">
        <v>4321283.2091017943</v>
      </c>
      <c r="G892" s="350">
        <v>4295546.2405257011</v>
      </c>
      <c r="H892" s="348">
        <v>21691900.632054396</v>
      </c>
      <c r="I892" s="369"/>
      <c r="J892" s="350">
        <v>15400740.61444946</v>
      </c>
      <c r="K892" s="350">
        <v>15086778.88545442</v>
      </c>
      <c r="L892" s="350">
        <v>14763400.237492621</v>
      </c>
      <c r="M892" s="350">
        <v>14407294.344371775</v>
      </c>
      <c r="N892" s="350">
        <v>13998866.905777872</v>
      </c>
      <c r="O892" s="348">
        <v>73657080.987546146</v>
      </c>
      <c r="P892" s="369"/>
      <c r="Q892" s="350">
        <f t="shared" si="357"/>
        <v>11026191.058405451</v>
      </c>
      <c r="R892" s="350">
        <f t="shared" si="358"/>
        <v>10727993.813779354</v>
      </c>
      <c r="S892" s="350">
        <f t="shared" si="359"/>
        <v>10421663.682784796</v>
      </c>
      <c r="T892" s="350">
        <f t="shared" si="360"/>
        <v>10086011.135269981</v>
      </c>
      <c r="U892" s="350">
        <f t="shared" si="361"/>
        <v>9703320.6652521715</v>
      </c>
      <c r="V892" s="350">
        <f t="shared" si="362"/>
        <v>51965180.35549175</v>
      </c>
      <c r="W892" s="365"/>
      <c r="X892" s="377">
        <f t="shared" si="340"/>
        <v>0</v>
      </c>
      <c r="Y892" s="377">
        <f t="shared" si="341"/>
        <v>0</v>
      </c>
      <c r="Z892" s="377">
        <f t="shared" si="342"/>
        <v>0</v>
      </c>
      <c r="AA892" s="377">
        <f t="shared" si="343"/>
        <v>0</v>
      </c>
      <c r="AB892" s="377">
        <f t="shared" si="344"/>
        <v>0</v>
      </c>
      <c r="AC892" s="377">
        <f t="shared" si="345"/>
        <v>0</v>
      </c>
      <c r="AD892" s="376"/>
      <c r="AE892" s="332">
        <v>877</v>
      </c>
      <c r="AF892" s="350">
        <v>391839.20541516296</v>
      </c>
      <c r="AG892" s="350">
        <v>390427.14162441879</v>
      </c>
      <c r="AH892" s="350">
        <v>388900.06386329909</v>
      </c>
      <c r="AI892" s="350">
        <v>387068.00719376717</v>
      </c>
      <c r="AJ892" s="350">
        <v>384762.68336843338</v>
      </c>
      <c r="AK892" s="348">
        <v>1942997.1014650813</v>
      </c>
      <c r="AL892" s="369"/>
      <c r="AM892" s="350">
        <v>9368879.587162137</v>
      </c>
      <c r="AN892" s="350">
        <v>9283174.7700409796</v>
      </c>
      <c r="AO892" s="350">
        <v>9189591.2314588204</v>
      </c>
      <c r="AP892" s="350">
        <v>9070547.8635345623</v>
      </c>
      <c r="AQ892" s="350">
        <v>8911006.2941367384</v>
      </c>
      <c r="AR892" s="348">
        <v>45823199.746333241</v>
      </c>
      <c r="AS892" s="369"/>
      <c r="AT892" s="350">
        <f t="shared" si="363"/>
        <v>8977040.3817469738</v>
      </c>
      <c r="AU892" s="350">
        <f t="shared" si="346"/>
        <v>8892747.6284165606</v>
      </c>
      <c r="AV892" s="350">
        <f t="shared" si="347"/>
        <v>8800691.1675955206</v>
      </c>
      <c r="AW892" s="350">
        <f t="shared" si="348"/>
        <v>8683479.8563407958</v>
      </c>
      <c r="AX892" s="350">
        <f t="shared" si="349"/>
        <v>8526243.6107683051</v>
      </c>
      <c r="AY892" s="350">
        <f t="shared" si="350"/>
        <v>43880202.644868158</v>
      </c>
      <c r="AZ892" s="365"/>
      <c r="BA892" s="377">
        <f t="shared" si="351"/>
        <v>0</v>
      </c>
      <c r="BB892" s="377">
        <f t="shared" si="352"/>
        <v>0</v>
      </c>
      <c r="BC892" s="377">
        <f t="shared" si="353"/>
        <v>0</v>
      </c>
      <c r="BD892" s="377">
        <f t="shared" si="354"/>
        <v>0</v>
      </c>
      <c r="BE892" s="377">
        <f t="shared" si="355"/>
        <v>0</v>
      </c>
      <c r="BF892" s="377">
        <f t="shared" si="356"/>
        <v>0</v>
      </c>
      <c r="BG892" s="328"/>
    </row>
    <row r="893" spans="2:59">
      <c r="B893" s="332">
        <v>878</v>
      </c>
      <c r="C893" s="350">
        <v>5817563.517673159</v>
      </c>
      <c r="D893" s="350">
        <v>5796598.8702358091</v>
      </c>
      <c r="E893" s="350">
        <v>5773926.6318559702</v>
      </c>
      <c r="F893" s="350">
        <v>5746726.428569301</v>
      </c>
      <c r="G893" s="350">
        <v>5712499.7161899842</v>
      </c>
      <c r="H893" s="348">
        <v>28847315.164524224</v>
      </c>
      <c r="I893" s="369"/>
      <c r="J893" s="350">
        <v>22849946.784580536</v>
      </c>
      <c r="K893" s="350">
        <v>22415345.384022254</v>
      </c>
      <c r="L893" s="350">
        <v>21966134.648836244</v>
      </c>
      <c r="M893" s="350">
        <v>21466720.921557002</v>
      </c>
      <c r="N893" s="350">
        <v>20887107.638190769</v>
      </c>
      <c r="O893" s="348">
        <v>109585255.37718681</v>
      </c>
      <c r="P893" s="369"/>
      <c r="Q893" s="350">
        <f t="shared" si="357"/>
        <v>17032383.266907379</v>
      </c>
      <c r="R893" s="350">
        <f t="shared" si="358"/>
        <v>16618746.513786446</v>
      </c>
      <c r="S893" s="350">
        <f t="shared" si="359"/>
        <v>16192208.016980274</v>
      </c>
      <c r="T893" s="350">
        <f t="shared" si="360"/>
        <v>15719994.4929877</v>
      </c>
      <c r="U893" s="350">
        <f t="shared" si="361"/>
        <v>15174607.922000784</v>
      </c>
      <c r="V893" s="350">
        <f t="shared" si="362"/>
        <v>80737940.212662578</v>
      </c>
      <c r="W893" s="365"/>
      <c r="X893" s="377">
        <f t="shared" si="340"/>
        <v>0</v>
      </c>
      <c r="Y893" s="377">
        <f t="shared" si="341"/>
        <v>0</v>
      </c>
      <c r="Z893" s="377">
        <f t="shared" si="342"/>
        <v>0</v>
      </c>
      <c r="AA893" s="377">
        <f t="shared" si="343"/>
        <v>0</v>
      </c>
      <c r="AB893" s="377">
        <f t="shared" si="344"/>
        <v>0</v>
      </c>
      <c r="AC893" s="377">
        <f t="shared" si="345"/>
        <v>0</v>
      </c>
      <c r="AD893" s="376"/>
      <c r="AE893" s="332">
        <v>878</v>
      </c>
      <c r="AF893" s="350">
        <v>266077.15783702332</v>
      </c>
      <c r="AG893" s="350">
        <v>265118.30044109822</v>
      </c>
      <c r="AH893" s="350">
        <v>264081.34317684401</v>
      </c>
      <c r="AI893" s="350">
        <v>262837.29096132115</v>
      </c>
      <c r="AJ893" s="350">
        <v>261271.8681989692</v>
      </c>
      <c r="AK893" s="348">
        <v>1319385.9606152559</v>
      </c>
      <c r="AL893" s="369"/>
      <c r="AM893" s="350">
        <v>8189111.6227508131</v>
      </c>
      <c r="AN893" s="350">
        <v>8117744.7181623857</v>
      </c>
      <c r="AO893" s="350">
        <v>8039418.8117325138</v>
      </c>
      <c r="AP893" s="350">
        <v>7938652.1704871263</v>
      </c>
      <c r="AQ893" s="350">
        <v>7802195.1060299566</v>
      </c>
      <c r="AR893" s="348">
        <v>40087122.4291628</v>
      </c>
      <c r="AS893" s="369"/>
      <c r="AT893" s="350">
        <f t="shared" si="363"/>
        <v>7923034.4649137901</v>
      </c>
      <c r="AU893" s="350">
        <f t="shared" si="346"/>
        <v>7852626.4177212873</v>
      </c>
      <c r="AV893" s="350">
        <f t="shared" si="347"/>
        <v>7775337.4685556702</v>
      </c>
      <c r="AW893" s="350">
        <f t="shared" si="348"/>
        <v>7675814.8795258049</v>
      </c>
      <c r="AX893" s="350">
        <f t="shared" si="349"/>
        <v>7540923.2378309872</v>
      </c>
      <c r="AY893" s="350">
        <f t="shared" si="350"/>
        <v>38767736.468547545</v>
      </c>
      <c r="AZ893" s="365"/>
      <c r="BA893" s="377">
        <f t="shared" si="351"/>
        <v>0</v>
      </c>
      <c r="BB893" s="377">
        <f t="shared" si="352"/>
        <v>0</v>
      </c>
      <c r="BC893" s="377">
        <f t="shared" si="353"/>
        <v>0</v>
      </c>
      <c r="BD893" s="377">
        <f t="shared" si="354"/>
        <v>0</v>
      </c>
      <c r="BE893" s="377">
        <f t="shared" si="355"/>
        <v>0</v>
      </c>
      <c r="BF893" s="377">
        <f t="shared" si="356"/>
        <v>0</v>
      </c>
      <c r="BG893" s="328"/>
    </row>
    <row r="894" spans="2:59">
      <c r="B894" s="332">
        <v>879</v>
      </c>
      <c r="C894" s="350">
        <v>2969369.7313378425</v>
      </c>
      <c r="D894" s="350">
        <v>2958669.0678488188</v>
      </c>
      <c r="E894" s="350">
        <v>2947096.8249017065</v>
      </c>
      <c r="F894" s="350">
        <v>2933213.4422656074</v>
      </c>
      <c r="G894" s="350">
        <v>2915743.6263480666</v>
      </c>
      <c r="H894" s="348">
        <v>14724092.692702044</v>
      </c>
      <c r="I894" s="369"/>
      <c r="J894" s="350">
        <v>8975201.5632130355</v>
      </c>
      <c r="K894" s="350">
        <v>8772746.200109072</v>
      </c>
      <c r="L894" s="350">
        <v>8565200.7676092163</v>
      </c>
      <c r="M894" s="350">
        <v>8339609.8541473886</v>
      </c>
      <c r="N894" s="350">
        <v>8085131.4511006903</v>
      </c>
      <c r="O894" s="348">
        <v>42737889.836179405</v>
      </c>
      <c r="P894" s="369"/>
      <c r="Q894" s="350">
        <f t="shared" si="357"/>
        <v>6005831.8318751929</v>
      </c>
      <c r="R894" s="350">
        <f t="shared" si="358"/>
        <v>5814077.1322602537</v>
      </c>
      <c r="S894" s="350">
        <f t="shared" si="359"/>
        <v>5618103.9427075097</v>
      </c>
      <c r="T894" s="350">
        <f t="shared" si="360"/>
        <v>5406396.4118817812</v>
      </c>
      <c r="U894" s="350">
        <f t="shared" si="361"/>
        <v>5169387.8247526232</v>
      </c>
      <c r="V894" s="350">
        <f t="shared" si="362"/>
        <v>28013797.143477362</v>
      </c>
      <c r="W894" s="365"/>
      <c r="X894" s="377">
        <f t="shared" si="340"/>
        <v>0</v>
      </c>
      <c r="Y894" s="377">
        <f t="shared" si="341"/>
        <v>0</v>
      </c>
      <c r="Z894" s="377">
        <f t="shared" si="342"/>
        <v>0</v>
      </c>
      <c r="AA894" s="377">
        <f t="shared" si="343"/>
        <v>0</v>
      </c>
      <c r="AB894" s="377">
        <f t="shared" si="344"/>
        <v>0</v>
      </c>
      <c r="AC894" s="377">
        <f t="shared" si="345"/>
        <v>0</v>
      </c>
      <c r="AD894" s="376"/>
      <c r="AE894" s="332">
        <v>879</v>
      </c>
      <c r="AF894" s="350">
        <v>418878.98596262385</v>
      </c>
      <c r="AG894" s="350">
        <v>417369.47940838616</v>
      </c>
      <c r="AH894" s="350">
        <v>415737.0220758277</v>
      </c>
      <c r="AI894" s="350">
        <v>413778.54005219624</v>
      </c>
      <c r="AJ894" s="350">
        <v>411314.13196610846</v>
      </c>
      <c r="AK894" s="348">
        <v>2077078.1594651423</v>
      </c>
      <c r="AL894" s="369"/>
      <c r="AM894" s="350">
        <v>10161216.486709975</v>
      </c>
      <c r="AN894" s="350">
        <v>10068546.463286534</v>
      </c>
      <c r="AO894" s="350">
        <v>9967325.6280652992</v>
      </c>
      <c r="AP894" s="350">
        <v>9838476.8804507591</v>
      </c>
      <c r="AQ894" s="350">
        <v>9665681.655849658</v>
      </c>
      <c r="AR894" s="348">
        <v>49701247.114362225</v>
      </c>
      <c r="AS894" s="369"/>
      <c r="AT894" s="350">
        <f t="shared" si="363"/>
        <v>9742337.500747351</v>
      </c>
      <c r="AU894" s="350">
        <f t="shared" si="346"/>
        <v>9651176.9838781469</v>
      </c>
      <c r="AV894" s="350">
        <f t="shared" si="347"/>
        <v>9551588.6059894711</v>
      </c>
      <c r="AW894" s="350">
        <f t="shared" si="348"/>
        <v>9424698.3403985631</v>
      </c>
      <c r="AX894" s="350">
        <f t="shared" si="349"/>
        <v>9254367.5238835495</v>
      </c>
      <c r="AY894" s="350">
        <f t="shared" si="350"/>
        <v>47624168.954897083</v>
      </c>
      <c r="AZ894" s="365"/>
      <c r="BA894" s="377">
        <f t="shared" si="351"/>
        <v>0</v>
      </c>
      <c r="BB894" s="377">
        <f t="shared" si="352"/>
        <v>0</v>
      </c>
      <c r="BC894" s="377">
        <f t="shared" si="353"/>
        <v>0</v>
      </c>
      <c r="BD894" s="377">
        <f t="shared" si="354"/>
        <v>0</v>
      </c>
      <c r="BE894" s="377">
        <f t="shared" si="355"/>
        <v>0</v>
      </c>
      <c r="BF894" s="377">
        <f t="shared" si="356"/>
        <v>0</v>
      </c>
      <c r="BG894" s="328"/>
    </row>
    <row r="895" spans="2:59">
      <c r="B895" s="332">
        <v>880</v>
      </c>
      <c r="C895" s="350">
        <v>6284394.2689293921</v>
      </c>
      <c r="D895" s="350">
        <v>6261747.3120366707</v>
      </c>
      <c r="E895" s="350">
        <v>6237255.7384586222</v>
      </c>
      <c r="F895" s="350">
        <v>6207872.8531443207</v>
      </c>
      <c r="G895" s="350">
        <v>6170899.61607223</v>
      </c>
      <c r="H895" s="348">
        <v>31162169.788641237</v>
      </c>
      <c r="I895" s="369"/>
      <c r="J895" s="350">
        <v>17391308.904308889</v>
      </c>
      <c r="K895" s="350">
        <v>16974390.662984662</v>
      </c>
      <c r="L895" s="350">
        <v>16548112.083086085</v>
      </c>
      <c r="M895" s="350">
        <v>16088164.486798923</v>
      </c>
      <c r="N895" s="350">
        <v>15574268.383601151</v>
      </c>
      <c r="O895" s="348">
        <v>82576244.520779729</v>
      </c>
      <c r="P895" s="369"/>
      <c r="Q895" s="350">
        <f t="shared" si="357"/>
        <v>11106914.635379497</v>
      </c>
      <c r="R895" s="350">
        <f t="shared" si="358"/>
        <v>10712643.350947991</v>
      </c>
      <c r="S895" s="350">
        <f t="shared" si="359"/>
        <v>10310856.344627462</v>
      </c>
      <c r="T895" s="350">
        <f t="shared" si="360"/>
        <v>9880291.6336546019</v>
      </c>
      <c r="U895" s="350">
        <f t="shared" si="361"/>
        <v>9403368.7675289214</v>
      </c>
      <c r="V895" s="350">
        <f t="shared" si="362"/>
        <v>51414074.732138492</v>
      </c>
      <c r="W895" s="365"/>
      <c r="X895" s="377">
        <f t="shared" si="340"/>
        <v>0</v>
      </c>
      <c r="Y895" s="377">
        <f t="shared" si="341"/>
        <v>0</v>
      </c>
      <c r="Z895" s="377">
        <f t="shared" si="342"/>
        <v>0</v>
      </c>
      <c r="AA895" s="377">
        <f t="shared" si="343"/>
        <v>0</v>
      </c>
      <c r="AB895" s="377">
        <f t="shared" si="344"/>
        <v>0</v>
      </c>
      <c r="AC895" s="377">
        <f t="shared" si="345"/>
        <v>0</v>
      </c>
      <c r="AD895" s="376"/>
      <c r="AE895" s="332">
        <v>880</v>
      </c>
      <c r="AF895" s="350">
        <v>474071.78980800678</v>
      </c>
      <c r="AG895" s="350">
        <v>472363.38595420693</v>
      </c>
      <c r="AH895" s="350">
        <v>470515.83094341372</v>
      </c>
      <c r="AI895" s="350">
        <v>468299.29320969083</v>
      </c>
      <c r="AJ895" s="350">
        <v>465510.16701491637</v>
      </c>
      <c r="AK895" s="348">
        <v>2350760.4669302348</v>
      </c>
      <c r="AL895" s="369"/>
      <c r="AM895" s="350">
        <v>16096182.544052791</v>
      </c>
      <c r="AN895" s="350">
        <v>15958176.320084373</v>
      </c>
      <c r="AO895" s="350">
        <v>15806445.420805031</v>
      </c>
      <c r="AP895" s="350">
        <v>15610486.284225853</v>
      </c>
      <c r="AQ895" s="350">
        <v>15344188.645398406</v>
      </c>
      <c r="AR895" s="348">
        <v>78815479.214566454</v>
      </c>
      <c r="AS895" s="369"/>
      <c r="AT895" s="350">
        <f t="shared" si="363"/>
        <v>15622110.754244784</v>
      </c>
      <c r="AU895" s="350">
        <f t="shared" si="346"/>
        <v>15485812.934130166</v>
      </c>
      <c r="AV895" s="350">
        <f t="shared" si="347"/>
        <v>15335929.589861618</v>
      </c>
      <c r="AW895" s="350">
        <f t="shared" si="348"/>
        <v>15142186.991016163</v>
      </c>
      <c r="AX895" s="350">
        <f t="shared" si="349"/>
        <v>14878678.478383491</v>
      </c>
      <c r="AY895" s="350">
        <f t="shared" si="350"/>
        <v>76464718.747636214</v>
      </c>
      <c r="AZ895" s="365"/>
      <c r="BA895" s="377">
        <f t="shared" si="351"/>
        <v>0</v>
      </c>
      <c r="BB895" s="377">
        <f t="shared" si="352"/>
        <v>0</v>
      </c>
      <c r="BC895" s="377">
        <f t="shared" si="353"/>
        <v>0</v>
      </c>
      <c r="BD895" s="377">
        <f t="shared" si="354"/>
        <v>0</v>
      </c>
      <c r="BE895" s="377">
        <f t="shared" si="355"/>
        <v>0</v>
      </c>
      <c r="BF895" s="377">
        <f t="shared" si="356"/>
        <v>0</v>
      </c>
      <c r="BG895" s="328"/>
    </row>
    <row r="896" spans="2:59">
      <c r="B896" s="332">
        <v>881</v>
      </c>
      <c r="C896" s="350">
        <v>3932816.5559642441</v>
      </c>
      <c r="D896" s="350">
        <v>3918643.9367429693</v>
      </c>
      <c r="E896" s="350">
        <v>3903316.9438893241</v>
      </c>
      <c r="F896" s="350">
        <v>3884928.9349769279</v>
      </c>
      <c r="G896" s="350">
        <v>3861790.8324546814</v>
      </c>
      <c r="H896" s="348">
        <v>19501497.204028144</v>
      </c>
      <c r="I896" s="369"/>
      <c r="J896" s="350">
        <v>12826948.551997494</v>
      </c>
      <c r="K896" s="350">
        <v>12552031.862790227</v>
      </c>
      <c r="L896" s="350">
        <v>12269546.154653348</v>
      </c>
      <c r="M896" s="350">
        <v>11960510.323201131</v>
      </c>
      <c r="N896" s="350">
        <v>11609002.290866079</v>
      </c>
      <c r="O896" s="348">
        <v>61218039.183508277</v>
      </c>
      <c r="P896" s="369"/>
      <c r="Q896" s="350">
        <f t="shared" si="357"/>
        <v>8894131.9960332494</v>
      </c>
      <c r="R896" s="350">
        <f t="shared" si="358"/>
        <v>8633387.9260472581</v>
      </c>
      <c r="S896" s="350">
        <f t="shared" si="359"/>
        <v>8366229.2107640244</v>
      </c>
      <c r="T896" s="350">
        <f t="shared" si="360"/>
        <v>8075581.3882242031</v>
      </c>
      <c r="U896" s="350">
        <f t="shared" si="361"/>
        <v>7747211.4584113974</v>
      </c>
      <c r="V896" s="350">
        <f t="shared" si="362"/>
        <v>41716541.979480132</v>
      </c>
      <c r="W896" s="365"/>
      <c r="X896" s="377">
        <f t="shared" si="340"/>
        <v>0</v>
      </c>
      <c r="Y896" s="377">
        <f t="shared" si="341"/>
        <v>0</v>
      </c>
      <c r="Z896" s="377">
        <f t="shared" si="342"/>
        <v>0</v>
      </c>
      <c r="AA896" s="377">
        <f t="shared" si="343"/>
        <v>0</v>
      </c>
      <c r="AB896" s="377">
        <f t="shared" si="344"/>
        <v>0</v>
      </c>
      <c r="AC896" s="377">
        <f t="shared" si="345"/>
        <v>0</v>
      </c>
      <c r="AD896" s="376"/>
      <c r="AE896" s="332">
        <v>881</v>
      </c>
      <c r="AF896" s="350">
        <v>476849.50853166089</v>
      </c>
      <c r="AG896" s="350">
        <v>475131.09466360934</v>
      </c>
      <c r="AH896" s="350">
        <v>473272.71431315929</v>
      </c>
      <c r="AI896" s="350">
        <v>471043.18926718313</v>
      </c>
      <c r="AJ896" s="350">
        <v>468237.72080480185</v>
      </c>
      <c r="AK896" s="348">
        <v>2364534.2275804146</v>
      </c>
      <c r="AL896" s="369"/>
      <c r="AM896" s="350">
        <v>13878534.523584589</v>
      </c>
      <c r="AN896" s="350">
        <v>13756382.819061728</v>
      </c>
      <c r="AO896" s="350">
        <v>13622461.865548575</v>
      </c>
      <c r="AP896" s="350">
        <v>13450572.755569596</v>
      </c>
      <c r="AQ896" s="350">
        <v>13218296.127793238</v>
      </c>
      <c r="AR896" s="348">
        <v>67926248.091557726</v>
      </c>
      <c r="AS896" s="369"/>
      <c r="AT896" s="350">
        <f t="shared" si="363"/>
        <v>13401685.015052928</v>
      </c>
      <c r="AU896" s="350">
        <f t="shared" si="346"/>
        <v>13281251.724398119</v>
      </c>
      <c r="AV896" s="350">
        <f t="shared" si="347"/>
        <v>13149189.151235417</v>
      </c>
      <c r="AW896" s="350">
        <f t="shared" si="348"/>
        <v>12979529.566302413</v>
      </c>
      <c r="AX896" s="350">
        <f t="shared" si="349"/>
        <v>12750058.406988436</v>
      </c>
      <c r="AY896" s="350">
        <f t="shared" si="350"/>
        <v>65561713.863977313</v>
      </c>
      <c r="AZ896" s="365"/>
      <c r="BA896" s="377">
        <f t="shared" si="351"/>
        <v>0</v>
      </c>
      <c r="BB896" s="377">
        <f t="shared" si="352"/>
        <v>0</v>
      </c>
      <c r="BC896" s="377">
        <f t="shared" si="353"/>
        <v>0</v>
      </c>
      <c r="BD896" s="377">
        <f t="shared" si="354"/>
        <v>0</v>
      </c>
      <c r="BE896" s="377">
        <f t="shared" si="355"/>
        <v>0</v>
      </c>
      <c r="BF896" s="377">
        <f t="shared" si="356"/>
        <v>0</v>
      </c>
      <c r="BG896" s="328"/>
    </row>
    <row r="897" spans="2:59">
      <c r="B897" s="332">
        <v>882</v>
      </c>
      <c r="C897" s="350">
        <v>6450712.5435631312</v>
      </c>
      <c r="D897" s="350">
        <v>6427466.2285405872</v>
      </c>
      <c r="E897" s="350">
        <v>6402326.4785295743</v>
      </c>
      <c r="F897" s="350">
        <v>6372165.9668315509</v>
      </c>
      <c r="G897" s="350">
        <v>6334214.2225661958</v>
      </c>
      <c r="H897" s="348">
        <v>31986885.440031037</v>
      </c>
      <c r="I897" s="369"/>
      <c r="J897" s="350">
        <v>22363694.920922495</v>
      </c>
      <c r="K897" s="350">
        <v>21903222.330582023</v>
      </c>
      <c r="L897" s="350">
        <v>21429168.439344849</v>
      </c>
      <c r="M897" s="350">
        <v>20907831.270578474</v>
      </c>
      <c r="N897" s="350">
        <v>20310892.729340002</v>
      </c>
      <c r="O897" s="348">
        <v>106914809.69076784</v>
      </c>
      <c r="P897" s="369"/>
      <c r="Q897" s="350">
        <f t="shared" si="357"/>
        <v>15912982.377359364</v>
      </c>
      <c r="R897" s="350">
        <f t="shared" si="358"/>
        <v>15475756.102041434</v>
      </c>
      <c r="S897" s="350">
        <f t="shared" si="359"/>
        <v>15026841.960815275</v>
      </c>
      <c r="T897" s="350">
        <f t="shared" si="360"/>
        <v>14535665.303746924</v>
      </c>
      <c r="U897" s="350">
        <f t="shared" si="361"/>
        <v>13976678.506773807</v>
      </c>
      <c r="V897" s="350">
        <f t="shared" si="362"/>
        <v>74927924.250736803</v>
      </c>
      <c r="W897" s="365"/>
      <c r="X897" s="377">
        <f t="shared" si="340"/>
        <v>0</v>
      </c>
      <c r="Y897" s="377">
        <f t="shared" si="341"/>
        <v>0</v>
      </c>
      <c r="Z897" s="377">
        <f t="shared" si="342"/>
        <v>0</v>
      </c>
      <c r="AA897" s="377">
        <f t="shared" si="343"/>
        <v>0</v>
      </c>
      <c r="AB897" s="377">
        <f t="shared" si="344"/>
        <v>0</v>
      </c>
      <c r="AC897" s="377">
        <f t="shared" si="345"/>
        <v>0</v>
      </c>
      <c r="AD897" s="376"/>
      <c r="AE897" s="332">
        <v>882</v>
      </c>
      <c r="AF897" s="350">
        <v>503865.61261554167</v>
      </c>
      <c r="AG897" s="350">
        <v>502049.84130643646</v>
      </c>
      <c r="AH897" s="350">
        <v>500086.17365658272</v>
      </c>
      <c r="AI897" s="350">
        <v>497730.33395656582</v>
      </c>
      <c r="AJ897" s="350">
        <v>494765.92053014942</v>
      </c>
      <c r="AK897" s="348">
        <v>2498497.8820652757</v>
      </c>
      <c r="AL897" s="369"/>
      <c r="AM897" s="350">
        <v>14930335.211995071</v>
      </c>
      <c r="AN897" s="350">
        <v>14799349.349832896</v>
      </c>
      <c r="AO897" s="350">
        <v>14655693.649842545</v>
      </c>
      <c r="AP897" s="350">
        <v>14471170.020756949</v>
      </c>
      <c r="AQ897" s="350">
        <v>14221647.488815727</v>
      </c>
      <c r="AR897" s="348">
        <v>73078195.721243188</v>
      </c>
      <c r="AS897" s="369"/>
      <c r="AT897" s="350">
        <f t="shared" si="363"/>
        <v>14426469.599379528</v>
      </c>
      <c r="AU897" s="350">
        <f t="shared" si="346"/>
        <v>14297299.508526459</v>
      </c>
      <c r="AV897" s="350">
        <f t="shared" si="347"/>
        <v>14155607.476185963</v>
      </c>
      <c r="AW897" s="350">
        <f t="shared" si="348"/>
        <v>13973439.686800383</v>
      </c>
      <c r="AX897" s="350">
        <f t="shared" si="349"/>
        <v>13726881.568285577</v>
      </c>
      <c r="AY897" s="350">
        <f t="shared" si="350"/>
        <v>70579697.839177907</v>
      </c>
      <c r="AZ897" s="365"/>
      <c r="BA897" s="377">
        <f t="shared" si="351"/>
        <v>0</v>
      </c>
      <c r="BB897" s="377">
        <f t="shared" si="352"/>
        <v>0</v>
      </c>
      <c r="BC897" s="377">
        <f t="shared" si="353"/>
        <v>0</v>
      </c>
      <c r="BD897" s="377">
        <f t="shared" si="354"/>
        <v>0</v>
      </c>
      <c r="BE897" s="377">
        <f t="shared" si="355"/>
        <v>0</v>
      </c>
      <c r="BF897" s="377">
        <f t="shared" si="356"/>
        <v>0</v>
      </c>
      <c r="BG897" s="328"/>
    </row>
    <row r="898" spans="2:59">
      <c r="B898" s="332">
        <v>883</v>
      </c>
      <c r="C898" s="350">
        <v>6350222.2789666699</v>
      </c>
      <c r="D898" s="350">
        <v>6327338.0988759995</v>
      </c>
      <c r="E898" s="350">
        <v>6302589.9800395966</v>
      </c>
      <c r="F898" s="350">
        <v>6272899.3137703417</v>
      </c>
      <c r="G898" s="350">
        <v>6235538.788040515</v>
      </c>
      <c r="H898" s="348">
        <v>31488588.459693123</v>
      </c>
      <c r="I898" s="369"/>
      <c r="J898" s="350">
        <v>22958691.914326206</v>
      </c>
      <c r="K898" s="350">
        <v>22498593.342679147</v>
      </c>
      <c r="L898" s="350">
        <v>22024294.327560097</v>
      </c>
      <c r="M898" s="350">
        <v>21500788.4878533</v>
      </c>
      <c r="N898" s="350">
        <v>20898630.394441087</v>
      </c>
      <c r="O898" s="348">
        <v>109880998.46685983</v>
      </c>
      <c r="P898" s="369"/>
      <c r="Q898" s="350">
        <f t="shared" si="357"/>
        <v>16608469.635359537</v>
      </c>
      <c r="R898" s="350">
        <f t="shared" si="358"/>
        <v>16171255.243803147</v>
      </c>
      <c r="S898" s="350">
        <f t="shared" si="359"/>
        <v>15721704.3475205</v>
      </c>
      <c r="T898" s="350">
        <f t="shared" si="360"/>
        <v>15227889.174082957</v>
      </c>
      <c r="U898" s="350">
        <f t="shared" si="361"/>
        <v>14663091.606400572</v>
      </c>
      <c r="V898" s="350">
        <f t="shared" si="362"/>
        <v>78392410.007166713</v>
      </c>
      <c r="W898" s="365"/>
      <c r="X898" s="377">
        <f t="shared" si="340"/>
        <v>0</v>
      </c>
      <c r="Y898" s="377">
        <f t="shared" si="341"/>
        <v>0</v>
      </c>
      <c r="Z898" s="377">
        <f t="shared" si="342"/>
        <v>0</v>
      </c>
      <c r="AA898" s="377">
        <f t="shared" si="343"/>
        <v>0</v>
      </c>
      <c r="AB898" s="377">
        <f t="shared" si="344"/>
        <v>0</v>
      </c>
      <c r="AC898" s="377">
        <f t="shared" si="345"/>
        <v>0</v>
      </c>
      <c r="AD898" s="376"/>
      <c r="AE898" s="332">
        <v>883</v>
      </c>
      <c r="AF898" s="350">
        <v>353429.08481621195</v>
      </c>
      <c r="AG898" s="350">
        <v>352155.43887581653</v>
      </c>
      <c r="AH898" s="350">
        <v>350778.05323370377</v>
      </c>
      <c r="AI898" s="350">
        <v>349125.5843048786</v>
      </c>
      <c r="AJ898" s="350">
        <v>347046.24033282889</v>
      </c>
      <c r="AK898" s="348">
        <v>1752534.4015634395</v>
      </c>
      <c r="AL898" s="369"/>
      <c r="AM898" s="350">
        <v>10333705.840328943</v>
      </c>
      <c r="AN898" s="350">
        <v>10242829.257879991</v>
      </c>
      <c r="AO898" s="350">
        <v>10143187.966441229</v>
      </c>
      <c r="AP898" s="350">
        <v>10015272.299144208</v>
      </c>
      <c r="AQ898" s="350">
        <v>9842386.972784806</v>
      </c>
      <c r="AR898" s="348">
        <v>50577382.336579174</v>
      </c>
      <c r="AS898" s="369"/>
      <c r="AT898" s="350">
        <f t="shared" si="363"/>
        <v>9980276.7555127311</v>
      </c>
      <c r="AU898" s="350">
        <f t="shared" si="346"/>
        <v>9890673.8190041743</v>
      </c>
      <c r="AV898" s="350">
        <f t="shared" si="347"/>
        <v>9792409.9132075254</v>
      </c>
      <c r="AW898" s="350">
        <f t="shared" si="348"/>
        <v>9666146.7148393299</v>
      </c>
      <c r="AX898" s="350">
        <f t="shared" si="349"/>
        <v>9495340.7324519772</v>
      </c>
      <c r="AY898" s="350">
        <f t="shared" si="350"/>
        <v>48824847.935015738</v>
      </c>
      <c r="AZ898" s="365"/>
      <c r="BA898" s="377">
        <f t="shared" si="351"/>
        <v>0</v>
      </c>
      <c r="BB898" s="377">
        <f t="shared" si="352"/>
        <v>0</v>
      </c>
      <c r="BC898" s="377">
        <f t="shared" si="353"/>
        <v>0</v>
      </c>
      <c r="BD898" s="377">
        <f t="shared" si="354"/>
        <v>0</v>
      </c>
      <c r="BE898" s="377">
        <f t="shared" si="355"/>
        <v>0</v>
      </c>
      <c r="BF898" s="377">
        <f t="shared" si="356"/>
        <v>0</v>
      </c>
      <c r="BG898" s="328"/>
    </row>
    <row r="899" spans="2:59">
      <c r="B899" s="332">
        <v>884</v>
      </c>
      <c r="C899" s="350">
        <v>5646089.4604772013</v>
      </c>
      <c r="D899" s="350">
        <v>5625742.7509691641</v>
      </c>
      <c r="E899" s="350">
        <v>5603738.7821645327</v>
      </c>
      <c r="F899" s="350">
        <v>5577340.3112869672</v>
      </c>
      <c r="G899" s="350">
        <v>5544122.4393299902</v>
      </c>
      <c r="H899" s="348">
        <v>27997033.744227853</v>
      </c>
      <c r="I899" s="369"/>
      <c r="J899" s="350">
        <v>16693378.397949133</v>
      </c>
      <c r="K899" s="350">
        <v>16311105.388510127</v>
      </c>
      <c r="L899" s="350">
        <v>15919481.877757274</v>
      </c>
      <c r="M899" s="350">
        <v>15494596.163481973</v>
      </c>
      <c r="N899" s="350">
        <v>15016452.036474355</v>
      </c>
      <c r="O899" s="348">
        <v>79435013.864172861</v>
      </c>
      <c r="P899" s="369"/>
      <c r="Q899" s="350">
        <f t="shared" si="357"/>
        <v>11047288.937471932</v>
      </c>
      <c r="R899" s="350">
        <f t="shared" si="358"/>
        <v>10685362.637540963</v>
      </c>
      <c r="S899" s="350">
        <f t="shared" si="359"/>
        <v>10315743.095592741</v>
      </c>
      <c r="T899" s="350">
        <f t="shared" si="360"/>
        <v>9917255.8521950059</v>
      </c>
      <c r="U899" s="350">
        <f t="shared" si="361"/>
        <v>9472329.5971443653</v>
      </c>
      <c r="V899" s="350">
        <f t="shared" si="362"/>
        <v>51437980.119945005</v>
      </c>
      <c r="W899" s="365"/>
      <c r="X899" s="377">
        <f t="shared" si="340"/>
        <v>0</v>
      </c>
      <c r="Y899" s="377">
        <f t="shared" si="341"/>
        <v>0</v>
      </c>
      <c r="Z899" s="377">
        <f t="shared" si="342"/>
        <v>0</v>
      </c>
      <c r="AA899" s="377">
        <f t="shared" si="343"/>
        <v>0</v>
      </c>
      <c r="AB899" s="377">
        <f t="shared" si="344"/>
        <v>0</v>
      </c>
      <c r="AC899" s="377">
        <f t="shared" si="345"/>
        <v>0</v>
      </c>
      <c r="AD899" s="376"/>
      <c r="AE899" s="332">
        <v>884</v>
      </c>
      <c r="AF899" s="350">
        <v>396515.900811347</v>
      </c>
      <c r="AG899" s="350">
        <v>395086.98369878612</v>
      </c>
      <c r="AH899" s="350">
        <v>393541.67989638133</v>
      </c>
      <c r="AI899" s="350">
        <v>391687.75718875631</v>
      </c>
      <c r="AJ899" s="350">
        <v>389354.91876771156</v>
      </c>
      <c r="AK899" s="348">
        <v>1966187.2403629825</v>
      </c>
      <c r="AL899" s="369"/>
      <c r="AM899" s="350">
        <v>13055451.014112974</v>
      </c>
      <c r="AN899" s="350">
        <v>12942958.755252728</v>
      </c>
      <c r="AO899" s="350">
        <v>12819345.920917723</v>
      </c>
      <c r="AP899" s="350">
        <v>12659889.363061305</v>
      </c>
      <c r="AQ899" s="350">
        <v>12443427.800491408</v>
      </c>
      <c r="AR899" s="348">
        <v>63921072.853836134</v>
      </c>
      <c r="AS899" s="369"/>
      <c r="AT899" s="350">
        <f t="shared" si="363"/>
        <v>12658935.113301627</v>
      </c>
      <c r="AU899" s="350">
        <f t="shared" si="346"/>
        <v>12547871.771553943</v>
      </c>
      <c r="AV899" s="350">
        <f t="shared" si="347"/>
        <v>12425804.241021343</v>
      </c>
      <c r="AW899" s="350">
        <f t="shared" si="348"/>
        <v>12268201.605872549</v>
      </c>
      <c r="AX899" s="350">
        <f t="shared" si="349"/>
        <v>12054072.881723696</v>
      </c>
      <c r="AY899" s="350">
        <f t="shared" si="350"/>
        <v>61954885.613473155</v>
      </c>
      <c r="AZ899" s="365"/>
      <c r="BA899" s="377">
        <f t="shared" si="351"/>
        <v>0</v>
      </c>
      <c r="BB899" s="377">
        <f t="shared" si="352"/>
        <v>0</v>
      </c>
      <c r="BC899" s="377">
        <f t="shared" si="353"/>
        <v>0</v>
      </c>
      <c r="BD899" s="377">
        <f t="shared" si="354"/>
        <v>0</v>
      </c>
      <c r="BE899" s="377">
        <f t="shared" si="355"/>
        <v>0</v>
      </c>
      <c r="BF899" s="377">
        <f t="shared" si="356"/>
        <v>0</v>
      </c>
      <c r="BG899" s="328"/>
    </row>
    <row r="900" spans="2:59">
      <c r="B900" s="332">
        <v>885</v>
      </c>
      <c r="C900" s="350">
        <v>2350898.3500535609</v>
      </c>
      <c r="D900" s="350">
        <v>2342426.4605898364</v>
      </c>
      <c r="E900" s="350">
        <v>2333264.5274820561</v>
      </c>
      <c r="F900" s="350">
        <v>2322272.827463055</v>
      </c>
      <c r="G900" s="350">
        <v>2308441.6898371642</v>
      </c>
      <c r="H900" s="348">
        <v>11657303.855425674</v>
      </c>
      <c r="I900" s="369"/>
      <c r="J900" s="350">
        <v>7606876.9185943874</v>
      </c>
      <c r="K900" s="350">
        <v>7442978.3636099417</v>
      </c>
      <c r="L900" s="350">
        <v>7274608.696047877</v>
      </c>
      <c r="M900" s="350">
        <v>7090539.2362661548</v>
      </c>
      <c r="N900" s="350">
        <v>6881353.1152984435</v>
      </c>
      <c r="O900" s="348">
        <v>36296356.329816803</v>
      </c>
      <c r="P900" s="369"/>
      <c r="Q900" s="350">
        <f t="shared" si="357"/>
        <v>5255978.5685408264</v>
      </c>
      <c r="R900" s="350">
        <f t="shared" si="358"/>
        <v>5100551.9030201053</v>
      </c>
      <c r="S900" s="350">
        <f t="shared" si="359"/>
        <v>4941344.1685658209</v>
      </c>
      <c r="T900" s="350">
        <f t="shared" si="360"/>
        <v>4768266.4088030998</v>
      </c>
      <c r="U900" s="350">
        <f t="shared" si="361"/>
        <v>4572911.4254612792</v>
      </c>
      <c r="V900" s="350">
        <f t="shared" si="362"/>
        <v>24639052.474391129</v>
      </c>
      <c r="W900" s="365"/>
      <c r="X900" s="377">
        <f t="shared" si="340"/>
        <v>0</v>
      </c>
      <c r="Y900" s="377">
        <f t="shared" si="341"/>
        <v>0</v>
      </c>
      <c r="Z900" s="377">
        <f t="shared" si="342"/>
        <v>0</v>
      </c>
      <c r="AA900" s="377">
        <f t="shared" si="343"/>
        <v>0</v>
      </c>
      <c r="AB900" s="377">
        <f t="shared" si="344"/>
        <v>0</v>
      </c>
      <c r="AC900" s="377">
        <f t="shared" si="345"/>
        <v>0</v>
      </c>
      <c r="AD900" s="376"/>
      <c r="AE900" s="332">
        <v>885</v>
      </c>
      <c r="AF900" s="350">
        <v>345769.86627500842</v>
      </c>
      <c r="AG900" s="350">
        <v>344523.82172063563</v>
      </c>
      <c r="AH900" s="350">
        <v>343176.28562430624</v>
      </c>
      <c r="AI900" s="350">
        <v>341559.62761541433</v>
      </c>
      <c r="AJ900" s="350">
        <v>339525.34544101654</v>
      </c>
      <c r="AK900" s="348">
        <v>1714554.9466763812</v>
      </c>
      <c r="AL900" s="369"/>
      <c r="AM900" s="350">
        <v>9896195.5720202606</v>
      </c>
      <c r="AN900" s="350">
        <v>9808827.644644903</v>
      </c>
      <c r="AO900" s="350">
        <v>9713073.0103078</v>
      </c>
      <c r="AP900" s="350">
        <v>9590258.9509527404</v>
      </c>
      <c r="AQ900" s="350">
        <v>9424407.0682339594</v>
      </c>
      <c r="AR900" s="348">
        <v>48432762.246159665</v>
      </c>
      <c r="AS900" s="369"/>
      <c r="AT900" s="350">
        <f t="shared" si="363"/>
        <v>9550425.7057452518</v>
      </c>
      <c r="AU900" s="350">
        <f t="shared" si="346"/>
        <v>9464303.8229242675</v>
      </c>
      <c r="AV900" s="350">
        <f t="shared" si="347"/>
        <v>9369896.7246834934</v>
      </c>
      <c r="AW900" s="350">
        <f t="shared" si="348"/>
        <v>9248699.3233373258</v>
      </c>
      <c r="AX900" s="350">
        <f t="shared" si="349"/>
        <v>9084881.7227929421</v>
      </c>
      <c r="AY900" s="350">
        <f t="shared" si="350"/>
        <v>46718207.299483284</v>
      </c>
      <c r="AZ900" s="365"/>
      <c r="BA900" s="377">
        <f t="shared" si="351"/>
        <v>0</v>
      </c>
      <c r="BB900" s="377">
        <f t="shared" si="352"/>
        <v>0</v>
      </c>
      <c r="BC900" s="377">
        <f t="shared" si="353"/>
        <v>0</v>
      </c>
      <c r="BD900" s="377">
        <f t="shared" si="354"/>
        <v>0</v>
      </c>
      <c r="BE900" s="377">
        <f t="shared" si="355"/>
        <v>0</v>
      </c>
      <c r="BF900" s="377">
        <f t="shared" si="356"/>
        <v>0</v>
      </c>
      <c r="BG900" s="328"/>
    </row>
    <row r="901" spans="2:59">
      <c r="B901" s="332">
        <v>886</v>
      </c>
      <c r="C901" s="350">
        <v>6100452.6160252653</v>
      </c>
      <c r="D901" s="350">
        <v>6078468.5263088895</v>
      </c>
      <c r="E901" s="350">
        <v>6054693.8110839929</v>
      </c>
      <c r="F901" s="350">
        <v>6026170.9508191235</v>
      </c>
      <c r="G901" s="350">
        <v>5990279.9052915536</v>
      </c>
      <c r="H901" s="348">
        <v>30250065.809528828</v>
      </c>
      <c r="I901" s="369"/>
      <c r="J901" s="350">
        <v>23127293.221623313</v>
      </c>
      <c r="K901" s="350">
        <v>22677567.871843122</v>
      </c>
      <c r="L901" s="350">
        <v>22213256.977799259</v>
      </c>
      <c r="M901" s="350">
        <v>21698652.940045785</v>
      </c>
      <c r="N901" s="350">
        <v>21103686.798141927</v>
      </c>
      <c r="O901" s="348">
        <v>110820457.80945341</v>
      </c>
      <c r="P901" s="369"/>
      <c r="Q901" s="350">
        <f t="shared" si="357"/>
        <v>17026840.605598047</v>
      </c>
      <c r="R901" s="350">
        <f t="shared" si="358"/>
        <v>16599099.345534232</v>
      </c>
      <c r="S901" s="350">
        <f t="shared" si="359"/>
        <v>16158563.166715266</v>
      </c>
      <c r="T901" s="350">
        <f t="shared" si="360"/>
        <v>15672481.989226662</v>
      </c>
      <c r="U901" s="350">
        <f t="shared" si="361"/>
        <v>15113406.892850373</v>
      </c>
      <c r="V901" s="350">
        <f t="shared" si="362"/>
        <v>80570391.999924585</v>
      </c>
      <c r="W901" s="365"/>
      <c r="X901" s="377">
        <f t="shared" si="340"/>
        <v>0</v>
      </c>
      <c r="Y901" s="377">
        <f t="shared" si="341"/>
        <v>0</v>
      </c>
      <c r="Z901" s="377">
        <f t="shared" si="342"/>
        <v>0</v>
      </c>
      <c r="AA901" s="377">
        <f t="shared" si="343"/>
        <v>0</v>
      </c>
      <c r="AB901" s="377">
        <f t="shared" si="344"/>
        <v>0</v>
      </c>
      <c r="AC901" s="377">
        <f t="shared" si="345"/>
        <v>0</v>
      </c>
      <c r="AD901" s="376"/>
      <c r="AE901" s="332">
        <v>886</v>
      </c>
      <c r="AF901" s="350">
        <v>617194.8145732116</v>
      </c>
      <c r="AG901" s="350">
        <v>614970.64088806324</v>
      </c>
      <c r="AH901" s="350">
        <v>612565.30609106517</v>
      </c>
      <c r="AI901" s="350">
        <v>609679.5921022332</v>
      </c>
      <c r="AJ901" s="350">
        <v>606048.42428838299</v>
      </c>
      <c r="AK901" s="348">
        <v>3060458.7779429564</v>
      </c>
      <c r="AL901" s="369"/>
      <c r="AM901" s="350">
        <v>15596628.992894286</v>
      </c>
      <c r="AN901" s="350">
        <v>15455582.85154287</v>
      </c>
      <c r="AO901" s="350">
        <v>15301387.523722993</v>
      </c>
      <c r="AP901" s="350">
        <v>15104722.649312336</v>
      </c>
      <c r="AQ901" s="350">
        <v>14840505.194614274</v>
      </c>
      <c r="AR901" s="348">
        <v>76298827.212086767</v>
      </c>
      <c r="AS901" s="369"/>
      <c r="AT901" s="350">
        <f t="shared" si="363"/>
        <v>14979434.178321075</v>
      </c>
      <c r="AU901" s="350">
        <f t="shared" si="346"/>
        <v>14840612.210654806</v>
      </c>
      <c r="AV901" s="350">
        <f t="shared" si="347"/>
        <v>14688822.217631929</v>
      </c>
      <c r="AW901" s="350">
        <f t="shared" si="348"/>
        <v>14495043.057210103</v>
      </c>
      <c r="AX901" s="350">
        <f t="shared" si="349"/>
        <v>14234456.770325892</v>
      </c>
      <c r="AY901" s="350">
        <f t="shared" si="350"/>
        <v>73238368.434143811</v>
      </c>
      <c r="AZ901" s="365"/>
      <c r="BA901" s="377">
        <f t="shared" si="351"/>
        <v>0</v>
      </c>
      <c r="BB901" s="377">
        <f t="shared" si="352"/>
        <v>0</v>
      </c>
      <c r="BC901" s="377">
        <f t="shared" si="353"/>
        <v>0</v>
      </c>
      <c r="BD901" s="377">
        <f t="shared" si="354"/>
        <v>0</v>
      </c>
      <c r="BE901" s="377">
        <f t="shared" si="355"/>
        <v>0</v>
      </c>
      <c r="BF901" s="377">
        <f t="shared" si="356"/>
        <v>0</v>
      </c>
      <c r="BG901" s="328"/>
    </row>
    <row r="902" spans="2:59">
      <c r="B902" s="332">
        <v>887</v>
      </c>
      <c r="C902" s="350">
        <v>3297979.7207495281</v>
      </c>
      <c r="D902" s="350">
        <v>3286094.8514410965</v>
      </c>
      <c r="E902" s="350">
        <v>3273241.9479577811</v>
      </c>
      <c r="F902" s="350">
        <v>3257822.1388629284</v>
      </c>
      <c r="G902" s="350">
        <v>3238418.9981852216</v>
      </c>
      <c r="H902" s="348">
        <v>16353557.657196555</v>
      </c>
      <c r="I902" s="369"/>
      <c r="J902" s="350">
        <v>11812951.550645139</v>
      </c>
      <c r="K902" s="350">
        <v>11574797.198248208</v>
      </c>
      <c r="L902" s="350">
        <v>11329365.268515384</v>
      </c>
      <c r="M902" s="350">
        <v>11058689.749524068</v>
      </c>
      <c r="N902" s="350">
        <v>10747662.106154682</v>
      </c>
      <c r="O902" s="348">
        <v>56523465.873087481</v>
      </c>
      <c r="P902" s="369"/>
      <c r="Q902" s="350">
        <f t="shared" si="357"/>
        <v>8514971.8298956119</v>
      </c>
      <c r="R902" s="350">
        <f t="shared" si="358"/>
        <v>8288702.3468071111</v>
      </c>
      <c r="S902" s="350">
        <f t="shared" si="359"/>
        <v>8056123.3205576027</v>
      </c>
      <c r="T902" s="350">
        <f t="shared" si="360"/>
        <v>7800867.6106611397</v>
      </c>
      <c r="U902" s="350">
        <f t="shared" si="361"/>
        <v>7509243.107969461</v>
      </c>
      <c r="V902" s="350">
        <f t="shared" si="362"/>
        <v>40169908.215890929</v>
      </c>
      <c r="W902" s="365"/>
      <c r="X902" s="377">
        <f t="shared" si="340"/>
        <v>0</v>
      </c>
      <c r="Y902" s="377">
        <f t="shared" si="341"/>
        <v>0</v>
      </c>
      <c r="Z902" s="377">
        <f t="shared" si="342"/>
        <v>0</v>
      </c>
      <c r="AA902" s="377">
        <f t="shared" si="343"/>
        <v>0</v>
      </c>
      <c r="AB902" s="377">
        <f t="shared" si="344"/>
        <v>0</v>
      </c>
      <c r="AC902" s="377">
        <f t="shared" si="345"/>
        <v>0</v>
      </c>
      <c r="AD902" s="376"/>
      <c r="AE902" s="332">
        <v>887</v>
      </c>
      <c r="AF902" s="350">
        <v>443569.36894738779</v>
      </c>
      <c r="AG902" s="350">
        <v>441970.88611076056</v>
      </c>
      <c r="AH902" s="350">
        <v>440242.20529099472</v>
      </c>
      <c r="AI902" s="350">
        <v>438168.28259630385</v>
      </c>
      <c r="AJ902" s="350">
        <v>435558.61255744379</v>
      </c>
      <c r="AK902" s="348">
        <v>2199509.3555028904</v>
      </c>
      <c r="AL902" s="369"/>
      <c r="AM902" s="350">
        <v>13689884.68407758</v>
      </c>
      <c r="AN902" s="350">
        <v>13570636.723467421</v>
      </c>
      <c r="AO902" s="350">
        <v>13439754.103184301</v>
      </c>
      <c r="AP902" s="350">
        <v>13271353.879769307</v>
      </c>
      <c r="AQ902" s="350">
        <v>13043284.612425322</v>
      </c>
      <c r="AR902" s="348">
        <v>67014914.002923928</v>
      </c>
      <c r="AS902" s="369"/>
      <c r="AT902" s="350">
        <f t="shared" si="363"/>
        <v>13246315.315130191</v>
      </c>
      <c r="AU902" s="350">
        <f t="shared" si="346"/>
        <v>13128665.837356661</v>
      </c>
      <c r="AV902" s="350">
        <f t="shared" si="347"/>
        <v>12999511.897893306</v>
      </c>
      <c r="AW902" s="350">
        <f t="shared" si="348"/>
        <v>12833185.597173003</v>
      </c>
      <c r="AX902" s="350">
        <f t="shared" si="349"/>
        <v>12607725.999867879</v>
      </c>
      <c r="AY902" s="350">
        <f t="shared" si="350"/>
        <v>64815404.64742104</v>
      </c>
      <c r="AZ902" s="365"/>
      <c r="BA902" s="377">
        <f t="shared" si="351"/>
        <v>0</v>
      </c>
      <c r="BB902" s="377">
        <f t="shared" si="352"/>
        <v>0</v>
      </c>
      <c r="BC902" s="377">
        <f t="shared" si="353"/>
        <v>0</v>
      </c>
      <c r="BD902" s="377">
        <f t="shared" si="354"/>
        <v>0</v>
      </c>
      <c r="BE902" s="377">
        <f t="shared" si="355"/>
        <v>0</v>
      </c>
      <c r="BF902" s="377">
        <f t="shared" si="356"/>
        <v>0</v>
      </c>
      <c r="BG902" s="328"/>
    </row>
    <row r="903" spans="2:59">
      <c r="B903" s="332">
        <v>888</v>
      </c>
      <c r="C903" s="350">
        <v>5844968.0188823789</v>
      </c>
      <c r="D903" s="350">
        <v>5823904.6143443463</v>
      </c>
      <c r="E903" s="350">
        <v>5801125.5750018321</v>
      </c>
      <c r="F903" s="350">
        <v>5773797.2410980063</v>
      </c>
      <c r="G903" s="350">
        <v>5739409.2986817639</v>
      </c>
      <c r="H903" s="348">
        <v>28983204.748008326</v>
      </c>
      <c r="I903" s="369"/>
      <c r="J903" s="350">
        <v>21355928.962623902</v>
      </c>
      <c r="K903" s="350">
        <v>20930824.023603223</v>
      </c>
      <c r="L903" s="350">
        <v>20492451.300898787</v>
      </c>
      <c r="M903" s="350">
        <v>20008155.420055524</v>
      </c>
      <c r="N903" s="350">
        <v>19450461.445030674</v>
      </c>
      <c r="O903" s="348">
        <v>102237821.15221211</v>
      </c>
      <c r="P903" s="369"/>
      <c r="Q903" s="350">
        <f t="shared" si="357"/>
        <v>15510960.943741523</v>
      </c>
      <c r="R903" s="350">
        <f t="shared" si="358"/>
        <v>15106919.409258876</v>
      </c>
      <c r="S903" s="350">
        <f t="shared" si="359"/>
        <v>14691325.725896955</v>
      </c>
      <c r="T903" s="350">
        <f t="shared" si="360"/>
        <v>14234358.178957518</v>
      </c>
      <c r="U903" s="350">
        <f t="shared" si="361"/>
        <v>13711052.14634891</v>
      </c>
      <c r="V903" s="350">
        <f t="shared" si="362"/>
        <v>73254616.404203787</v>
      </c>
      <c r="W903" s="365"/>
      <c r="X903" s="377">
        <f t="shared" si="340"/>
        <v>0</v>
      </c>
      <c r="Y903" s="377">
        <f t="shared" si="341"/>
        <v>0</v>
      </c>
      <c r="Z903" s="377">
        <f t="shared" si="342"/>
        <v>0</v>
      </c>
      <c r="AA903" s="377">
        <f t="shared" si="343"/>
        <v>0</v>
      </c>
      <c r="AB903" s="377">
        <f t="shared" si="344"/>
        <v>0</v>
      </c>
      <c r="AC903" s="377">
        <f t="shared" si="345"/>
        <v>0</v>
      </c>
      <c r="AD903" s="376"/>
      <c r="AE903" s="332">
        <v>888</v>
      </c>
      <c r="AF903" s="350">
        <v>292188.5536483092</v>
      </c>
      <c r="AG903" s="350">
        <v>291135.59909201477</v>
      </c>
      <c r="AH903" s="350">
        <v>289996.88036207738</v>
      </c>
      <c r="AI903" s="350">
        <v>288630.74348482158</v>
      </c>
      <c r="AJ903" s="350">
        <v>286911.69846608333</v>
      </c>
      <c r="AK903" s="348">
        <v>1448863.4750533062</v>
      </c>
      <c r="AL903" s="369"/>
      <c r="AM903" s="350">
        <v>6442298.8899521418</v>
      </c>
      <c r="AN903" s="350">
        <v>6382310.427040753</v>
      </c>
      <c r="AO903" s="350">
        <v>6316925.8917791657</v>
      </c>
      <c r="AP903" s="350">
        <v>6234090.1197882704</v>
      </c>
      <c r="AQ903" s="350">
        <v>6123493.5734245125</v>
      </c>
      <c r="AR903" s="348">
        <v>31499118.901984841</v>
      </c>
      <c r="AS903" s="369"/>
      <c r="AT903" s="350">
        <f t="shared" si="363"/>
        <v>6150110.3363038329</v>
      </c>
      <c r="AU903" s="350">
        <f t="shared" si="346"/>
        <v>6091174.8279487379</v>
      </c>
      <c r="AV903" s="350">
        <f t="shared" si="347"/>
        <v>6026929.0114170881</v>
      </c>
      <c r="AW903" s="350">
        <f t="shared" si="348"/>
        <v>5945459.3763034493</v>
      </c>
      <c r="AX903" s="350">
        <f t="shared" si="349"/>
        <v>5836581.8749584295</v>
      </c>
      <c r="AY903" s="350">
        <f t="shared" si="350"/>
        <v>30050255.426931534</v>
      </c>
      <c r="AZ903" s="365"/>
      <c r="BA903" s="377">
        <f t="shared" si="351"/>
        <v>0</v>
      </c>
      <c r="BB903" s="377">
        <f t="shared" si="352"/>
        <v>0</v>
      </c>
      <c r="BC903" s="377">
        <f t="shared" si="353"/>
        <v>0</v>
      </c>
      <c r="BD903" s="377">
        <f t="shared" si="354"/>
        <v>0</v>
      </c>
      <c r="BE903" s="377">
        <f t="shared" si="355"/>
        <v>0</v>
      </c>
      <c r="BF903" s="377">
        <f t="shared" si="356"/>
        <v>0</v>
      </c>
      <c r="BG903" s="328"/>
    </row>
    <row r="904" spans="2:59">
      <c r="B904" s="332">
        <v>889</v>
      </c>
      <c r="C904" s="350">
        <v>5814035.9813243467</v>
      </c>
      <c r="D904" s="350">
        <v>5793084.0460053347</v>
      </c>
      <c r="E904" s="350">
        <v>5770425.5551582463</v>
      </c>
      <c r="F904" s="350">
        <v>5743241.8449799884</v>
      </c>
      <c r="G904" s="350">
        <v>5709035.8863013675</v>
      </c>
      <c r="H904" s="348">
        <v>28829823.313769281</v>
      </c>
      <c r="I904" s="369"/>
      <c r="J904" s="350">
        <v>17720223.618348077</v>
      </c>
      <c r="K904" s="350">
        <v>17322757.661930427</v>
      </c>
      <c r="L904" s="350">
        <v>16915196.109984741</v>
      </c>
      <c r="M904" s="350">
        <v>16471887.646030694</v>
      </c>
      <c r="N904" s="350">
        <v>15971359.594634391</v>
      </c>
      <c r="O904" s="348">
        <v>84401424.630928338</v>
      </c>
      <c r="P904" s="369"/>
      <c r="Q904" s="350">
        <f t="shared" si="357"/>
        <v>11906187.63702373</v>
      </c>
      <c r="R904" s="350">
        <f t="shared" si="358"/>
        <v>11529673.615925092</v>
      </c>
      <c r="S904" s="350">
        <f t="shared" si="359"/>
        <v>11144770.554826494</v>
      </c>
      <c r="T904" s="350">
        <f t="shared" si="360"/>
        <v>10728645.801050706</v>
      </c>
      <c r="U904" s="350">
        <f t="shared" si="361"/>
        <v>10262323.708333023</v>
      </c>
      <c r="V904" s="350">
        <f t="shared" si="362"/>
        <v>55571601.317159057</v>
      </c>
      <c r="W904" s="365"/>
      <c r="X904" s="377">
        <f t="shared" si="340"/>
        <v>0</v>
      </c>
      <c r="Y904" s="377">
        <f t="shared" si="341"/>
        <v>0</v>
      </c>
      <c r="Z904" s="377">
        <f t="shared" si="342"/>
        <v>0</v>
      </c>
      <c r="AA904" s="377">
        <f t="shared" si="343"/>
        <v>0</v>
      </c>
      <c r="AB904" s="377">
        <f t="shared" si="344"/>
        <v>0</v>
      </c>
      <c r="AC904" s="377">
        <f t="shared" si="345"/>
        <v>0</v>
      </c>
      <c r="AD904" s="376"/>
      <c r="AE904" s="332">
        <v>889</v>
      </c>
      <c r="AF904" s="350">
        <v>410588.85074867425</v>
      </c>
      <c r="AG904" s="350">
        <v>409109.21920335415</v>
      </c>
      <c r="AH904" s="350">
        <v>407509.07022827223</v>
      </c>
      <c r="AI904" s="350">
        <v>405589.34899554716</v>
      </c>
      <c r="AJ904" s="350">
        <v>403173.71460530168</v>
      </c>
      <c r="AK904" s="348">
        <v>2035970.2037811494</v>
      </c>
      <c r="AL904" s="369"/>
      <c r="AM904" s="350">
        <v>14464128.606815154</v>
      </c>
      <c r="AN904" s="350">
        <v>14340830.563445631</v>
      </c>
      <c r="AO904" s="350">
        <v>14205184.838073699</v>
      </c>
      <c r="AP904" s="350">
        <v>14029757.643945046</v>
      </c>
      <c r="AQ904" s="350">
        <v>13791064.95444217</v>
      </c>
      <c r="AR904" s="348">
        <v>70830966.606721699</v>
      </c>
      <c r="AS904" s="369"/>
      <c r="AT904" s="350">
        <f t="shared" si="363"/>
        <v>14053539.756066479</v>
      </c>
      <c r="AU904" s="350">
        <f t="shared" si="346"/>
        <v>13931721.344242277</v>
      </c>
      <c r="AV904" s="350">
        <f t="shared" si="347"/>
        <v>13797675.767845426</v>
      </c>
      <c r="AW904" s="350">
        <f t="shared" si="348"/>
        <v>13624168.294949498</v>
      </c>
      <c r="AX904" s="350">
        <f t="shared" si="349"/>
        <v>13387891.239836868</v>
      </c>
      <c r="AY904" s="350">
        <f t="shared" si="350"/>
        <v>68794996.402940556</v>
      </c>
      <c r="AZ904" s="365"/>
      <c r="BA904" s="377">
        <f t="shared" si="351"/>
        <v>0</v>
      </c>
      <c r="BB904" s="377">
        <f t="shared" si="352"/>
        <v>0</v>
      </c>
      <c r="BC904" s="377">
        <f t="shared" si="353"/>
        <v>0</v>
      </c>
      <c r="BD904" s="377">
        <f t="shared" si="354"/>
        <v>0</v>
      </c>
      <c r="BE904" s="377">
        <f t="shared" si="355"/>
        <v>0</v>
      </c>
      <c r="BF904" s="377">
        <f t="shared" si="356"/>
        <v>0</v>
      </c>
      <c r="BG904" s="328"/>
    </row>
    <row r="905" spans="2:59">
      <c r="B905" s="332">
        <v>890</v>
      </c>
      <c r="C905" s="350">
        <v>9260707.4670379162</v>
      </c>
      <c r="D905" s="350">
        <v>9227334.8246117383</v>
      </c>
      <c r="E905" s="350">
        <v>9191243.9479722641</v>
      </c>
      <c r="F905" s="350">
        <v>9147945.2156221047</v>
      </c>
      <c r="G905" s="350">
        <v>9093461.3118468523</v>
      </c>
      <c r="H905" s="348">
        <v>45920692.767090872</v>
      </c>
      <c r="I905" s="369"/>
      <c r="J905" s="350">
        <v>27171568.840388488</v>
      </c>
      <c r="K905" s="350">
        <v>26546070.736345511</v>
      </c>
      <c r="L905" s="350">
        <v>25905419.892297678</v>
      </c>
      <c r="M905" s="350">
        <v>25210801.443413399</v>
      </c>
      <c r="N905" s="350">
        <v>24429764.932522602</v>
      </c>
      <c r="O905" s="348">
        <v>129263625.84496766</v>
      </c>
      <c r="P905" s="369"/>
      <c r="Q905" s="350">
        <f t="shared" si="357"/>
        <v>17910861.373350572</v>
      </c>
      <c r="R905" s="350">
        <f t="shared" si="358"/>
        <v>17318735.911733773</v>
      </c>
      <c r="S905" s="350">
        <f t="shared" si="359"/>
        <v>16714175.944325414</v>
      </c>
      <c r="T905" s="350">
        <f t="shared" si="360"/>
        <v>16062856.227791294</v>
      </c>
      <c r="U905" s="350">
        <f t="shared" si="361"/>
        <v>15336303.62067575</v>
      </c>
      <c r="V905" s="350">
        <f t="shared" si="362"/>
        <v>83342933.077876791</v>
      </c>
      <c r="W905" s="365"/>
      <c r="X905" s="377">
        <f t="shared" si="340"/>
        <v>0</v>
      </c>
      <c r="Y905" s="377">
        <f t="shared" si="341"/>
        <v>0</v>
      </c>
      <c r="Z905" s="377">
        <f t="shared" si="342"/>
        <v>0</v>
      </c>
      <c r="AA905" s="377">
        <f t="shared" si="343"/>
        <v>0</v>
      </c>
      <c r="AB905" s="377">
        <f t="shared" si="344"/>
        <v>0</v>
      </c>
      <c r="AC905" s="377">
        <f t="shared" si="345"/>
        <v>0</v>
      </c>
      <c r="AD905" s="376"/>
      <c r="AE905" s="332">
        <v>890</v>
      </c>
      <c r="AF905" s="350">
        <v>490709.78678228828</v>
      </c>
      <c r="AG905" s="350">
        <v>488941.42488255206</v>
      </c>
      <c r="AH905" s="350">
        <v>487029.0281846131</v>
      </c>
      <c r="AI905" s="350">
        <v>484734.69896677346</v>
      </c>
      <c r="AJ905" s="350">
        <v>481847.68575533351</v>
      </c>
      <c r="AK905" s="348">
        <v>2433262.6245715604</v>
      </c>
      <c r="AL905" s="369"/>
      <c r="AM905" s="350">
        <v>16141953.191605402</v>
      </c>
      <c r="AN905" s="350">
        <v>16002845.140140288</v>
      </c>
      <c r="AO905" s="350">
        <v>15849987.872184953</v>
      </c>
      <c r="AP905" s="350">
        <v>15652813.997720791</v>
      </c>
      <c r="AQ905" s="350">
        <v>15385160.015566539</v>
      </c>
      <c r="AR905" s="348">
        <v>79032760.217217982</v>
      </c>
      <c r="AS905" s="369"/>
      <c r="AT905" s="350">
        <f t="shared" si="363"/>
        <v>15651243.404823113</v>
      </c>
      <c r="AU905" s="350">
        <f t="shared" si="346"/>
        <v>15513903.715257736</v>
      </c>
      <c r="AV905" s="350">
        <f t="shared" si="347"/>
        <v>15362958.84400034</v>
      </c>
      <c r="AW905" s="350">
        <f t="shared" si="348"/>
        <v>15168079.298754018</v>
      </c>
      <c r="AX905" s="350">
        <f t="shared" si="349"/>
        <v>14903312.329811206</v>
      </c>
      <c r="AY905" s="350">
        <f t="shared" si="350"/>
        <v>76599497.59264642</v>
      </c>
      <c r="AZ905" s="365"/>
      <c r="BA905" s="377">
        <f t="shared" si="351"/>
        <v>0</v>
      </c>
      <c r="BB905" s="377">
        <f t="shared" si="352"/>
        <v>0</v>
      </c>
      <c r="BC905" s="377">
        <f t="shared" si="353"/>
        <v>0</v>
      </c>
      <c r="BD905" s="377">
        <f t="shared" si="354"/>
        <v>0</v>
      </c>
      <c r="BE905" s="377">
        <f t="shared" si="355"/>
        <v>0</v>
      </c>
      <c r="BF905" s="377">
        <f t="shared" si="356"/>
        <v>0</v>
      </c>
      <c r="BG905" s="328"/>
    </row>
    <row r="906" spans="2:59">
      <c r="B906" s="332">
        <v>891</v>
      </c>
      <c r="C906" s="350">
        <v>3937252.8716803375</v>
      </c>
      <c r="D906" s="350">
        <v>3923064.2653891104</v>
      </c>
      <c r="E906" s="350">
        <v>3907719.9833031017</v>
      </c>
      <c r="F906" s="350">
        <v>3889311.2322554542</v>
      </c>
      <c r="G906" s="350">
        <v>3866147.029373223</v>
      </c>
      <c r="H906" s="348">
        <v>19523495.382001229</v>
      </c>
      <c r="I906" s="369"/>
      <c r="J906" s="350">
        <v>14383624.637982346</v>
      </c>
      <c r="K906" s="350">
        <v>14097282.589677591</v>
      </c>
      <c r="L906" s="350">
        <v>13802004.962967627</v>
      </c>
      <c r="M906" s="350">
        <v>13475798.574227381</v>
      </c>
      <c r="N906" s="350">
        <v>13100159.294625049</v>
      </c>
      <c r="O906" s="348">
        <v>68858870.059479982</v>
      </c>
      <c r="P906" s="369"/>
      <c r="Q906" s="350">
        <f t="shared" si="357"/>
        <v>10446371.766302008</v>
      </c>
      <c r="R906" s="350">
        <f t="shared" si="358"/>
        <v>10174218.32428848</v>
      </c>
      <c r="S906" s="350">
        <f t="shared" si="359"/>
        <v>9894284.979664525</v>
      </c>
      <c r="T906" s="350">
        <f t="shared" si="360"/>
        <v>9586487.3419719264</v>
      </c>
      <c r="U906" s="350">
        <f t="shared" si="361"/>
        <v>9234012.2652518265</v>
      </c>
      <c r="V906" s="350">
        <f t="shared" si="362"/>
        <v>49335374.677478753</v>
      </c>
      <c r="W906" s="365"/>
      <c r="X906" s="377">
        <f t="shared" si="340"/>
        <v>0</v>
      </c>
      <c r="Y906" s="377">
        <f t="shared" si="341"/>
        <v>0</v>
      </c>
      <c r="Z906" s="377">
        <f t="shared" si="342"/>
        <v>0</v>
      </c>
      <c r="AA906" s="377">
        <f t="shared" si="343"/>
        <v>0</v>
      </c>
      <c r="AB906" s="377">
        <f t="shared" si="344"/>
        <v>0</v>
      </c>
      <c r="AC906" s="377">
        <f t="shared" si="345"/>
        <v>0</v>
      </c>
      <c r="AD906" s="376"/>
      <c r="AE906" s="332">
        <v>891</v>
      </c>
      <c r="AF906" s="350">
        <v>671644.70441829343</v>
      </c>
      <c r="AG906" s="350">
        <v>669224.31065920228</v>
      </c>
      <c r="AH906" s="350">
        <v>666606.77347222203</v>
      </c>
      <c r="AI906" s="350">
        <v>663466.47729133931</v>
      </c>
      <c r="AJ906" s="350">
        <v>659514.96218550846</v>
      </c>
      <c r="AK906" s="348">
        <v>3330457.2280265656</v>
      </c>
      <c r="AL906" s="369"/>
      <c r="AM906" s="350">
        <v>15309169.137972495</v>
      </c>
      <c r="AN906" s="350">
        <v>15167668.549864817</v>
      </c>
      <c r="AO906" s="350">
        <v>15013323.490498101</v>
      </c>
      <c r="AP906" s="350">
        <v>14817452.635495296</v>
      </c>
      <c r="AQ906" s="350">
        <v>14555525.705718979</v>
      </c>
      <c r="AR906" s="348">
        <v>74863139.519549698</v>
      </c>
      <c r="AS906" s="369"/>
      <c r="AT906" s="350">
        <f t="shared" si="363"/>
        <v>14637524.4335542</v>
      </c>
      <c r="AU906" s="350">
        <f t="shared" si="346"/>
        <v>14498444.239205616</v>
      </c>
      <c r="AV906" s="350">
        <f t="shared" si="347"/>
        <v>14346716.71702588</v>
      </c>
      <c r="AW906" s="350">
        <f t="shared" si="348"/>
        <v>14153986.158203956</v>
      </c>
      <c r="AX906" s="350">
        <f t="shared" si="349"/>
        <v>13896010.743533472</v>
      </c>
      <c r="AY906" s="350">
        <f t="shared" si="350"/>
        <v>71532682.291523129</v>
      </c>
      <c r="AZ906" s="365"/>
      <c r="BA906" s="377">
        <f t="shared" si="351"/>
        <v>0</v>
      </c>
      <c r="BB906" s="377">
        <f t="shared" si="352"/>
        <v>0</v>
      </c>
      <c r="BC906" s="377">
        <f t="shared" si="353"/>
        <v>0</v>
      </c>
      <c r="BD906" s="377">
        <f t="shared" si="354"/>
        <v>0</v>
      </c>
      <c r="BE906" s="377">
        <f t="shared" si="355"/>
        <v>0</v>
      </c>
      <c r="BF906" s="377">
        <f t="shared" si="356"/>
        <v>0</v>
      </c>
      <c r="BG906" s="328"/>
    </row>
    <row r="907" spans="2:59">
      <c r="B907" s="332">
        <v>892</v>
      </c>
      <c r="C907" s="350">
        <v>6635728.7140705884</v>
      </c>
      <c r="D907" s="350">
        <v>6611815.6596522275</v>
      </c>
      <c r="E907" s="350">
        <v>6585954.8636725489</v>
      </c>
      <c r="F907" s="350">
        <v>6554929.302983854</v>
      </c>
      <c r="G907" s="350">
        <v>6515889.0454200655</v>
      </c>
      <c r="H907" s="348">
        <v>32904317.585799284</v>
      </c>
      <c r="I907" s="369"/>
      <c r="J907" s="350">
        <v>19008750.870992217</v>
      </c>
      <c r="K907" s="350">
        <v>18563874.512765199</v>
      </c>
      <c r="L907" s="350">
        <v>18108546.404339761</v>
      </c>
      <c r="M907" s="350">
        <v>17615847.756141424</v>
      </c>
      <c r="N907" s="350">
        <v>17063292.67515555</v>
      </c>
      <c r="O907" s="348">
        <v>90360312.219394147</v>
      </c>
      <c r="P907" s="369"/>
      <c r="Q907" s="350">
        <f t="shared" si="357"/>
        <v>12373022.156921629</v>
      </c>
      <c r="R907" s="350">
        <f t="shared" si="358"/>
        <v>11952058.853112971</v>
      </c>
      <c r="S907" s="350">
        <f t="shared" si="359"/>
        <v>11522591.540667212</v>
      </c>
      <c r="T907" s="350">
        <f t="shared" si="360"/>
        <v>11060918.45315757</v>
      </c>
      <c r="U907" s="350">
        <f t="shared" si="361"/>
        <v>10547403.629735485</v>
      </c>
      <c r="V907" s="350">
        <f t="shared" si="362"/>
        <v>57455994.633594863</v>
      </c>
      <c r="W907" s="365"/>
      <c r="X907" s="377">
        <f t="shared" si="340"/>
        <v>0</v>
      </c>
      <c r="Y907" s="377">
        <f t="shared" si="341"/>
        <v>0</v>
      </c>
      <c r="Z907" s="377">
        <f t="shared" si="342"/>
        <v>0</v>
      </c>
      <c r="AA907" s="377">
        <f t="shared" si="343"/>
        <v>0</v>
      </c>
      <c r="AB907" s="377">
        <f t="shared" si="344"/>
        <v>0</v>
      </c>
      <c r="AC907" s="377">
        <f t="shared" si="345"/>
        <v>0</v>
      </c>
      <c r="AD907" s="376"/>
      <c r="AE907" s="332">
        <v>892</v>
      </c>
      <c r="AF907" s="350">
        <v>358008.29979960329</v>
      </c>
      <c r="AG907" s="350">
        <v>356718.15182577487</v>
      </c>
      <c r="AH907" s="350">
        <v>355322.9200435417</v>
      </c>
      <c r="AI907" s="350">
        <v>353649.0408493944</v>
      </c>
      <c r="AJ907" s="350">
        <v>351542.75579218369</v>
      </c>
      <c r="AK907" s="348">
        <v>1775241.1683104979</v>
      </c>
      <c r="AL907" s="369"/>
      <c r="AM907" s="350">
        <v>9633744.4068317767</v>
      </c>
      <c r="AN907" s="350">
        <v>9547700.2421444673</v>
      </c>
      <c r="AO907" s="350">
        <v>9453512.072034359</v>
      </c>
      <c r="AP907" s="350">
        <v>9333034.4657428581</v>
      </c>
      <c r="AQ907" s="350">
        <v>9170742.1962491516</v>
      </c>
      <c r="AR907" s="348">
        <v>47138733.383002609</v>
      </c>
      <c r="AS907" s="369"/>
      <c r="AT907" s="350">
        <f t="shared" si="363"/>
        <v>9275736.1070321742</v>
      </c>
      <c r="AU907" s="350">
        <f t="shared" si="346"/>
        <v>9190982.0903186928</v>
      </c>
      <c r="AV907" s="350">
        <f t="shared" si="347"/>
        <v>9098189.1519908179</v>
      </c>
      <c r="AW907" s="350">
        <f t="shared" si="348"/>
        <v>8979385.424893463</v>
      </c>
      <c r="AX907" s="350">
        <f t="shared" si="349"/>
        <v>8819199.4404569678</v>
      </c>
      <c r="AY907" s="350">
        <f t="shared" si="350"/>
        <v>45363492.214692108</v>
      </c>
      <c r="AZ907" s="365"/>
      <c r="BA907" s="377">
        <f t="shared" si="351"/>
        <v>0</v>
      </c>
      <c r="BB907" s="377">
        <f t="shared" si="352"/>
        <v>0</v>
      </c>
      <c r="BC907" s="377">
        <f t="shared" si="353"/>
        <v>0</v>
      </c>
      <c r="BD907" s="377">
        <f t="shared" si="354"/>
        <v>0</v>
      </c>
      <c r="BE907" s="377">
        <f t="shared" si="355"/>
        <v>0</v>
      </c>
      <c r="BF907" s="377">
        <f t="shared" si="356"/>
        <v>0</v>
      </c>
      <c r="BG907" s="328"/>
    </row>
    <row r="908" spans="2:59">
      <c r="B908" s="332">
        <v>893</v>
      </c>
      <c r="C908" s="350">
        <v>5111789.5826410996</v>
      </c>
      <c r="D908" s="350">
        <v>5093368.3198481044</v>
      </c>
      <c r="E908" s="350">
        <v>5073446.627267845</v>
      </c>
      <c r="F908" s="350">
        <v>5049546.2924654633</v>
      </c>
      <c r="G908" s="350">
        <v>5019471.8891079165</v>
      </c>
      <c r="H908" s="348">
        <v>25347622.711330429</v>
      </c>
      <c r="I908" s="369"/>
      <c r="J908" s="350">
        <v>19502973.504251391</v>
      </c>
      <c r="K908" s="350">
        <v>19125240.268809564</v>
      </c>
      <c r="L908" s="350">
        <v>18735176.282756321</v>
      </c>
      <c r="M908" s="350">
        <v>18302620.824567541</v>
      </c>
      <c r="N908" s="350">
        <v>17802172.229555391</v>
      </c>
      <c r="O908" s="348">
        <v>93468183.109940201</v>
      </c>
      <c r="P908" s="369"/>
      <c r="Q908" s="350">
        <f t="shared" si="357"/>
        <v>14391183.921610292</v>
      </c>
      <c r="R908" s="350">
        <f t="shared" si="358"/>
        <v>14031871.948961459</v>
      </c>
      <c r="S908" s="350">
        <f t="shared" si="359"/>
        <v>13661729.655488476</v>
      </c>
      <c r="T908" s="350">
        <f t="shared" si="360"/>
        <v>13253074.532102078</v>
      </c>
      <c r="U908" s="350">
        <f t="shared" si="361"/>
        <v>12782700.340447474</v>
      </c>
      <c r="V908" s="350">
        <f t="shared" si="362"/>
        <v>68120560.398609772</v>
      </c>
      <c r="W908" s="365"/>
      <c r="X908" s="377">
        <f t="shared" si="340"/>
        <v>0</v>
      </c>
      <c r="Y908" s="377">
        <f t="shared" si="341"/>
        <v>0</v>
      </c>
      <c r="Z908" s="377">
        <f t="shared" si="342"/>
        <v>0</v>
      </c>
      <c r="AA908" s="377">
        <f t="shared" si="343"/>
        <v>0</v>
      </c>
      <c r="AB908" s="377">
        <f t="shared" si="344"/>
        <v>0</v>
      </c>
      <c r="AC908" s="377">
        <f t="shared" si="345"/>
        <v>0</v>
      </c>
      <c r="AD908" s="376"/>
      <c r="AE908" s="332">
        <v>893</v>
      </c>
      <c r="AF908" s="350">
        <v>473772.07284264703</v>
      </c>
      <c r="AG908" s="350">
        <v>472064.74907340325</v>
      </c>
      <c r="AH908" s="350">
        <v>470218.36212110479</v>
      </c>
      <c r="AI908" s="350">
        <v>468003.22572358756</v>
      </c>
      <c r="AJ908" s="350">
        <v>465215.86286604824</v>
      </c>
      <c r="AK908" s="348">
        <v>2349274.2726267907</v>
      </c>
      <c r="AL908" s="369"/>
      <c r="AM908" s="350">
        <v>10647493.768405441</v>
      </c>
      <c r="AN908" s="350">
        <v>10548772.13072885</v>
      </c>
      <c r="AO908" s="350">
        <v>10441123.486522529</v>
      </c>
      <c r="AP908" s="350">
        <v>10304609.993785411</v>
      </c>
      <c r="AQ908" s="350">
        <v>10122180.027365448</v>
      </c>
      <c r="AR908" s="348">
        <v>52064179.406807676</v>
      </c>
      <c r="AS908" s="369"/>
      <c r="AT908" s="350">
        <f t="shared" si="363"/>
        <v>10173721.695562795</v>
      </c>
      <c r="AU908" s="350">
        <f t="shared" si="346"/>
        <v>10076707.381655447</v>
      </c>
      <c r="AV908" s="350">
        <f t="shared" si="347"/>
        <v>9970905.1244014241</v>
      </c>
      <c r="AW908" s="350">
        <f t="shared" si="348"/>
        <v>9836606.7680618241</v>
      </c>
      <c r="AX908" s="350">
        <f t="shared" si="349"/>
        <v>9656964.1644994002</v>
      </c>
      <c r="AY908" s="350">
        <f t="shared" si="350"/>
        <v>49714905.134180889</v>
      </c>
      <c r="AZ908" s="365"/>
      <c r="BA908" s="377">
        <f t="shared" si="351"/>
        <v>0</v>
      </c>
      <c r="BB908" s="377">
        <f t="shared" si="352"/>
        <v>0</v>
      </c>
      <c r="BC908" s="377">
        <f t="shared" si="353"/>
        <v>0</v>
      </c>
      <c r="BD908" s="377">
        <f t="shared" si="354"/>
        <v>0</v>
      </c>
      <c r="BE908" s="377">
        <f t="shared" si="355"/>
        <v>0</v>
      </c>
      <c r="BF908" s="377">
        <f t="shared" si="356"/>
        <v>0</v>
      </c>
      <c r="BG908" s="328"/>
    </row>
    <row r="909" spans="2:59">
      <c r="B909" s="332">
        <v>894</v>
      </c>
      <c r="C909" s="350">
        <v>6015959.6314993463</v>
      </c>
      <c r="D909" s="350">
        <v>5994280.0276087197</v>
      </c>
      <c r="E909" s="350">
        <v>5970834.5988764847</v>
      </c>
      <c r="F909" s="350">
        <v>5942706.7882485371</v>
      </c>
      <c r="G909" s="350">
        <v>5907312.8437961238</v>
      </c>
      <c r="H909" s="348">
        <v>29831093.890029211</v>
      </c>
      <c r="I909" s="369"/>
      <c r="J909" s="350">
        <v>19438805.971124955</v>
      </c>
      <c r="K909" s="350">
        <v>19019585.053073101</v>
      </c>
      <c r="L909" s="350">
        <v>18588946.512643047</v>
      </c>
      <c r="M909" s="350">
        <v>18118208.905952688</v>
      </c>
      <c r="N909" s="350">
        <v>17583319.689926788</v>
      </c>
      <c r="O909" s="348">
        <v>92748866.132720575</v>
      </c>
      <c r="P909" s="369"/>
      <c r="Q909" s="350">
        <f t="shared" si="357"/>
        <v>13422846.339625608</v>
      </c>
      <c r="R909" s="350">
        <f t="shared" si="358"/>
        <v>13025305.025464382</v>
      </c>
      <c r="S909" s="350">
        <f t="shared" si="359"/>
        <v>12618111.913766563</v>
      </c>
      <c r="T909" s="350">
        <f t="shared" si="360"/>
        <v>12175502.117704151</v>
      </c>
      <c r="U909" s="350">
        <f t="shared" si="361"/>
        <v>11676006.846130665</v>
      </c>
      <c r="V909" s="350">
        <f t="shared" si="362"/>
        <v>62917772.242691368</v>
      </c>
      <c r="W909" s="365"/>
      <c r="X909" s="377">
        <f t="shared" si="340"/>
        <v>0</v>
      </c>
      <c r="Y909" s="377">
        <f t="shared" si="341"/>
        <v>0</v>
      </c>
      <c r="Z909" s="377">
        <f t="shared" si="342"/>
        <v>0</v>
      </c>
      <c r="AA909" s="377">
        <f t="shared" si="343"/>
        <v>0</v>
      </c>
      <c r="AB909" s="377">
        <f t="shared" si="344"/>
        <v>0</v>
      </c>
      <c r="AC909" s="377">
        <f t="shared" si="345"/>
        <v>0</v>
      </c>
      <c r="AD909" s="376"/>
      <c r="AE909" s="332">
        <v>894</v>
      </c>
      <c r="AF909" s="350">
        <v>439523.03118750156</v>
      </c>
      <c r="AG909" s="350">
        <v>437939.13006438554</v>
      </c>
      <c r="AH909" s="350">
        <v>436226.21865289175</v>
      </c>
      <c r="AI909" s="350">
        <v>434171.21473911335</v>
      </c>
      <c r="AJ909" s="350">
        <v>431585.35068677587</v>
      </c>
      <c r="AK909" s="348">
        <v>2179444.9453306682</v>
      </c>
      <c r="AL909" s="369"/>
      <c r="AM909" s="350">
        <v>14749598.175872104</v>
      </c>
      <c r="AN909" s="350">
        <v>14622900.210110052</v>
      </c>
      <c r="AO909" s="350">
        <v>14483630.599037006</v>
      </c>
      <c r="AP909" s="350">
        <v>14303845.325634312</v>
      </c>
      <c r="AQ909" s="350">
        <v>14059625.497312654</v>
      </c>
      <c r="AR909" s="348">
        <v>72219599.807966128</v>
      </c>
      <c r="AS909" s="369"/>
      <c r="AT909" s="350">
        <f t="shared" si="363"/>
        <v>14310075.144684603</v>
      </c>
      <c r="AU909" s="350">
        <f t="shared" si="346"/>
        <v>14184961.080045667</v>
      </c>
      <c r="AV909" s="350">
        <f t="shared" si="347"/>
        <v>14047404.380384116</v>
      </c>
      <c r="AW909" s="350">
        <f t="shared" si="348"/>
        <v>13869674.110895198</v>
      </c>
      <c r="AX909" s="350">
        <f t="shared" si="349"/>
        <v>13628040.146625878</v>
      </c>
      <c r="AY909" s="350">
        <f t="shared" si="350"/>
        <v>70040154.862635463</v>
      </c>
      <c r="AZ909" s="365"/>
      <c r="BA909" s="377">
        <f t="shared" si="351"/>
        <v>0</v>
      </c>
      <c r="BB909" s="377">
        <f t="shared" si="352"/>
        <v>0</v>
      </c>
      <c r="BC909" s="377">
        <f t="shared" si="353"/>
        <v>0</v>
      </c>
      <c r="BD909" s="377">
        <f t="shared" si="354"/>
        <v>0</v>
      </c>
      <c r="BE909" s="377">
        <f t="shared" si="355"/>
        <v>0</v>
      </c>
      <c r="BF909" s="377">
        <f t="shared" si="356"/>
        <v>0</v>
      </c>
      <c r="BG909" s="328"/>
    </row>
    <row r="910" spans="2:59">
      <c r="B910" s="332">
        <v>895</v>
      </c>
      <c r="C910" s="350">
        <v>5074145.6310530771</v>
      </c>
      <c r="D910" s="350">
        <v>5055860.025081154</v>
      </c>
      <c r="E910" s="350">
        <v>5036085.0387021014</v>
      </c>
      <c r="F910" s="350">
        <v>5012360.7093928438</v>
      </c>
      <c r="G910" s="350">
        <v>4982507.7782547092</v>
      </c>
      <c r="H910" s="348">
        <v>25160959.182483889</v>
      </c>
      <c r="I910" s="369"/>
      <c r="J910" s="350">
        <v>17610263.093018144</v>
      </c>
      <c r="K910" s="350">
        <v>17247917.85024213</v>
      </c>
      <c r="L910" s="350">
        <v>16874872.856718671</v>
      </c>
      <c r="M910" s="350">
        <v>16464581.352759423</v>
      </c>
      <c r="N910" s="350">
        <v>15994736.78821848</v>
      </c>
      <c r="O910" s="348">
        <v>84192371.940956846</v>
      </c>
      <c r="P910" s="369"/>
      <c r="Q910" s="350">
        <f t="shared" si="357"/>
        <v>12536117.461965067</v>
      </c>
      <c r="R910" s="350">
        <f t="shared" si="358"/>
        <v>12192057.825160976</v>
      </c>
      <c r="S910" s="350">
        <f t="shared" si="359"/>
        <v>11838787.81801657</v>
      </c>
      <c r="T910" s="350">
        <f t="shared" si="360"/>
        <v>11452220.643366579</v>
      </c>
      <c r="U910" s="350">
        <f t="shared" si="361"/>
        <v>11012229.009963769</v>
      </c>
      <c r="V910" s="350">
        <f t="shared" si="362"/>
        <v>59031412.758472957</v>
      </c>
      <c r="W910" s="365"/>
      <c r="X910" s="377">
        <f t="shared" si="340"/>
        <v>0</v>
      </c>
      <c r="Y910" s="377">
        <f t="shared" si="341"/>
        <v>0</v>
      </c>
      <c r="Z910" s="377">
        <f t="shared" si="342"/>
        <v>0</v>
      </c>
      <c r="AA910" s="377">
        <f t="shared" si="343"/>
        <v>0</v>
      </c>
      <c r="AB910" s="377">
        <f t="shared" si="344"/>
        <v>0</v>
      </c>
      <c r="AC910" s="377">
        <f t="shared" si="345"/>
        <v>0</v>
      </c>
      <c r="AD910" s="376"/>
      <c r="AE910" s="332">
        <v>895</v>
      </c>
      <c r="AF910" s="350">
        <v>322667.96248724347</v>
      </c>
      <c r="AG910" s="350">
        <v>321505.16984177887</v>
      </c>
      <c r="AH910" s="350">
        <v>320247.66660338291</v>
      </c>
      <c r="AI910" s="350">
        <v>318739.02228053444</v>
      </c>
      <c r="AJ910" s="350">
        <v>316840.6564934621</v>
      </c>
      <c r="AK910" s="348">
        <v>1600000.4777064018</v>
      </c>
      <c r="AL910" s="369"/>
      <c r="AM910" s="350">
        <v>10613293.117167763</v>
      </c>
      <c r="AN910" s="350">
        <v>10521828.650410086</v>
      </c>
      <c r="AO910" s="350">
        <v>10421324.13490293</v>
      </c>
      <c r="AP910" s="350">
        <v>10291681.630798478</v>
      </c>
      <c r="AQ910" s="350">
        <v>10115698.74052248</v>
      </c>
      <c r="AR910" s="348">
        <v>51963826.273801737</v>
      </c>
      <c r="AS910" s="369"/>
      <c r="AT910" s="350">
        <f t="shared" si="363"/>
        <v>10290625.15468052</v>
      </c>
      <c r="AU910" s="350">
        <f t="shared" si="346"/>
        <v>10200323.480568307</v>
      </c>
      <c r="AV910" s="350">
        <f t="shared" si="347"/>
        <v>10101076.468299547</v>
      </c>
      <c r="AW910" s="350">
        <f t="shared" si="348"/>
        <v>9972942.608517943</v>
      </c>
      <c r="AX910" s="350">
        <f t="shared" si="349"/>
        <v>9798858.084029017</v>
      </c>
      <c r="AY910" s="350">
        <f t="shared" si="350"/>
        <v>50363825.796095334</v>
      </c>
      <c r="AZ910" s="365"/>
      <c r="BA910" s="377">
        <f t="shared" si="351"/>
        <v>0</v>
      </c>
      <c r="BB910" s="377">
        <f t="shared" si="352"/>
        <v>0</v>
      </c>
      <c r="BC910" s="377">
        <f t="shared" si="353"/>
        <v>0</v>
      </c>
      <c r="BD910" s="377">
        <f t="shared" si="354"/>
        <v>0</v>
      </c>
      <c r="BE910" s="377">
        <f t="shared" si="355"/>
        <v>0</v>
      </c>
      <c r="BF910" s="377">
        <f t="shared" si="356"/>
        <v>0</v>
      </c>
      <c r="BG910" s="328"/>
    </row>
    <row r="911" spans="2:59">
      <c r="B911" s="332">
        <v>896</v>
      </c>
      <c r="C911" s="350">
        <v>6375247.5465056561</v>
      </c>
      <c r="D911" s="350">
        <v>6352273.1833152417</v>
      </c>
      <c r="E911" s="350">
        <v>6327427.5358778276</v>
      </c>
      <c r="F911" s="350">
        <v>6297619.8631741274</v>
      </c>
      <c r="G911" s="350">
        <v>6260112.1052513635</v>
      </c>
      <c r="H911" s="348">
        <v>31612680.234124213</v>
      </c>
      <c r="I911" s="369"/>
      <c r="J911" s="350">
        <v>24550456.811422709</v>
      </c>
      <c r="K911" s="350">
        <v>24077724.731300838</v>
      </c>
      <c r="L911" s="350">
        <v>23589414.256352101</v>
      </c>
      <c r="M911" s="350">
        <v>23047469.732812308</v>
      </c>
      <c r="N911" s="350">
        <v>22419833.63288521</v>
      </c>
      <c r="O911" s="348">
        <v>117684899.16477317</v>
      </c>
      <c r="P911" s="369"/>
      <c r="Q911" s="350">
        <f t="shared" si="357"/>
        <v>18175209.264917053</v>
      </c>
      <c r="R911" s="350">
        <f t="shared" si="358"/>
        <v>17725451.547985598</v>
      </c>
      <c r="S911" s="350">
        <f t="shared" si="359"/>
        <v>17261986.720474273</v>
      </c>
      <c r="T911" s="350">
        <f t="shared" si="360"/>
        <v>16749849.86963818</v>
      </c>
      <c r="U911" s="350">
        <f t="shared" si="361"/>
        <v>16159721.527633846</v>
      </c>
      <c r="V911" s="350">
        <f t="shared" si="362"/>
        <v>86072218.930648953</v>
      </c>
      <c r="W911" s="365"/>
      <c r="X911" s="377">
        <f t="shared" si="340"/>
        <v>0</v>
      </c>
      <c r="Y911" s="377">
        <f t="shared" si="341"/>
        <v>0</v>
      </c>
      <c r="Z911" s="377">
        <f t="shared" si="342"/>
        <v>0</v>
      </c>
      <c r="AA911" s="377">
        <f t="shared" si="343"/>
        <v>0</v>
      </c>
      <c r="AB911" s="377">
        <f t="shared" si="344"/>
        <v>0</v>
      </c>
      <c r="AC911" s="377">
        <f t="shared" si="345"/>
        <v>0</v>
      </c>
      <c r="AD911" s="376"/>
      <c r="AE911" s="332">
        <v>896</v>
      </c>
      <c r="AF911" s="350">
        <v>367961.71365641319</v>
      </c>
      <c r="AG911" s="350">
        <v>366635.69674678869</v>
      </c>
      <c r="AH911" s="350">
        <v>365201.6744690208</v>
      </c>
      <c r="AI911" s="350">
        <v>363481.25777176261</v>
      </c>
      <c r="AJ911" s="350">
        <v>361316.41338258504</v>
      </c>
      <c r="AK911" s="348">
        <v>1824596.7560265702</v>
      </c>
      <c r="AL911" s="369"/>
      <c r="AM911" s="350">
        <v>11997821.887658685</v>
      </c>
      <c r="AN911" s="350">
        <v>11894277.155500982</v>
      </c>
      <c r="AO911" s="350">
        <v>11780516.111852068</v>
      </c>
      <c r="AP911" s="350">
        <v>11633823.790318107</v>
      </c>
      <c r="AQ911" s="350">
        <v>11434758.099055849</v>
      </c>
      <c r="AR911" s="348">
        <v>58741197.044385694</v>
      </c>
      <c r="AS911" s="369"/>
      <c r="AT911" s="350">
        <f t="shared" si="363"/>
        <v>11629860.174002273</v>
      </c>
      <c r="AU911" s="350">
        <f t="shared" si="346"/>
        <v>11527641.458754193</v>
      </c>
      <c r="AV911" s="350">
        <f t="shared" si="347"/>
        <v>11415314.437383048</v>
      </c>
      <c r="AW911" s="350">
        <f t="shared" si="348"/>
        <v>11270342.532546345</v>
      </c>
      <c r="AX911" s="350">
        <f t="shared" si="349"/>
        <v>11073441.685673265</v>
      </c>
      <c r="AY911" s="350">
        <f t="shared" si="350"/>
        <v>56916600.28835912</v>
      </c>
      <c r="AZ911" s="365"/>
      <c r="BA911" s="377">
        <f t="shared" si="351"/>
        <v>0</v>
      </c>
      <c r="BB911" s="377">
        <f t="shared" si="352"/>
        <v>0</v>
      </c>
      <c r="BC911" s="377">
        <f t="shared" si="353"/>
        <v>0</v>
      </c>
      <c r="BD911" s="377">
        <f t="shared" si="354"/>
        <v>0</v>
      </c>
      <c r="BE911" s="377">
        <f t="shared" si="355"/>
        <v>0</v>
      </c>
      <c r="BF911" s="377">
        <f t="shared" si="356"/>
        <v>0</v>
      </c>
      <c r="BG911" s="328"/>
    </row>
    <row r="912" spans="2:59">
      <c r="B912" s="332">
        <v>897</v>
      </c>
      <c r="C912" s="350">
        <v>6148001.2095785076</v>
      </c>
      <c r="D912" s="350">
        <v>6125845.7698636418</v>
      </c>
      <c r="E912" s="350">
        <v>6101885.7480160668</v>
      </c>
      <c r="F912" s="350">
        <v>6073140.5727894977</v>
      </c>
      <c r="G912" s="350">
        <v>6036969.7826522375</v>
      </c>
      <c r="H912" s="348">
        <v>30485843.08289995</v>
      </c>
      <c r="I912" s="369"/>
      <c r="J912" s="350">
        <v>21319803.379985474</v>
      </c>
      <c r="K912" s="350">
        <v>20880899.186812047</v>
      </c>
      <c r="L912" s="350">
        <v>20429046.11923904</v>
      </c>
      <c r="M912" s="350">
        <v>19932112.93458499</v>
      </c>
      <c r="N912" s="350">
        <v>19363101.162839796</v>
      </c>
      <c r="O912" s="348">
        <v>101924962.78346136</v>
      </c>
      <c r="P912" s="369"/>
      <c r="Q912" s="350">
        <f t="shared" si="357"/>
        <v>15171802.170406967</v>
      </c>
      <c r="R912" s="350">
        <f t="shared" si="358"/>
        <v>14755053.416948404</v>
      </c>
      <c r="S912" s="350">
        <f t="shared" si="359"/>
        <v>14327160.371222973</v>
      </c>
      <c r="T912" s="350">
        <f t="shared" si="360"/>
        <v>13858972.361795492</v>
      </c>
      <c r="U912" s="350">
        <f t="shared" si="361"/>
        <v>13326131.38018756</v>
      </c>
      <c r="V912" s="350">
        <f t="shared" si="362"/>
        <v>71439119.700561404</v>
      </c>
      <c r="W912" s="365"/>
      <c r="X912" s="377">
        <f t="shared" ref="X912:X975" si="364">IF(Q912&lt;Q$8,1,0)</f>
        <v>0</v>
      </c>
      <c r="Y912" s="377">
        <f t="shared" ref="Y912:Y975" si="365">IF(R912&lt;R$8,1,0)</f>
        <v>0</v>
      </c>
      <c r="Z912" s="377">
        <f t="shared" ref="Z912:Z975" si="366">IF(S912&lt;S$8,1,0)</f>
        <v>0</v>
      </c>
      <c r="AA912" s="377">
        <f t="shared" ref="AA912:AA975" si="367">IF(T912&lt;T$8,1,0)</f>
        <v>0</v>
      </c>
      <c r="AB912" s="377">
        <f t="shared" ref="AB912:AB975" si="368">IF(U912&lt;U$8,1,0)</f>
        <v>0</v>
      </c>
      <c r="AC912" s="377">
        <f t="shared" ref="AC912:AC975" si="369">IF(V912&lt;V$8,1,0)</f>
        <v>0</v>
      </c>
      <c r="AD912" s="376"/>
      <c r="AE912" s="332">
        <v>897</v>
      </c>
      <c r="AF912" s="350">
        <v>542658.5146633205</v>
      </c>
      <c r="AG912" s="350">
        <v>540702.94608134776</v>
      </c>
      <c r="AH912" s="350">
        <v>538588.09453466127</v>
      </c>
      <c r="AI912" s="350">
        <v>536050.87738709734</v>
      </c>
      <c r="AJ912" s="350">
        <v>532858.2320734458</v>
      </c>
      <c r="AK912" s="348">
        <v>2690858.6647398723</v>
      </c>
      <c r="AL912" s="369"/>
      <c r="AM912" s="350">
        <v>13805716.029993171</v>
      </c>
      <c r="AN912" s="350">
        <v>13681035.859229472</v>
      </c>
      <c r="AO912" s="350">
        <v>13544712.909703894</v>
      </c>
      <c r="AP912" s="350">
        <v>13370788.095265089</v>
      </c>
      <c r="AQ912" s="350">
        <v>13137053.55274443</v>
      </c>
      <c r="AR912" s="348">
        <v>67539306.446936056</v>
      </c>
      <c r="AS912" s="369"/>
      <c r="AT912" s="350">
        <f t="shared" si="363"/>
        <v>13263057.515329851</v>
      </c>
      <c r="AU912" s="350">
        <f t="shared" ref="AU912:AU975" si="370">AN912-AG912</f>
        <v>13140332.913148124</v>
      </c>
      <c r="AV912" s="350">
        <f t="shared" ref="AV912:AV975" si="371">AO912-AH912</f>
        <v>13006124.815169232</v>
      </c>
      <c r="AW912" s="350">
        <f t="shared" ref="AW912:AW975" si="372">AP912-AI912</f>
        <v>12834737.217877991</v>
      </c>
      <c r="AX912" s="350">
        <f t="shared" ref="AX912:AX975" si="373">AQ912-AJ912</f>
        <v>12604195.320670985</v>
      </c>
      <c r="AY912" s="350">
        <f t="shared" ref="AY912:AY975" si="374">AR912-AK912</f>
        <v>64848447.782196186</v>
      </c>
      <c r="AZ912" s="365"/>
      <c r="BA912" s="377">
        <f t="shared" ref="BA912:BA975" si="375">IF(AT912&lt;AT$8,1,0)</f>
        <v>0</v>
      </c>
      <c r="BB912" s="377">
        <f t="shared" ref="BB912:BB975" si="376">IF(AU912&lt;AU$8,1,0)</f>
        <v>0</v>
      </c>
      <c r="BC912" s="377">
        <f t="shared" ref="BC912:BC975" si="377">IF(AV912&lt;AV$8,1,0)</f>
        <v>0</v>
      </c>
      <c r="BD912" s="377">
        <f t="shared" ref="BD912:BD975" si="378">IF(AW912&lt;AW$8,1,0)</f>
        <v>0</v>
      </c>
      <c r="BE912" s="377">
        <f t="shared" ref="BE912:BE975" si="379">IF(AX912&lt;AX$8,1,0)</f>
        <v>0</v>
      </c>
      <c r="BF912" s="377">
        <f t="shared" ref="BF912:BF975" si="380">IF(AY912&lt;AY$8,1,0)</f>
        <v>0</v>
      </c>
      <c r="BG912" s="328"/>
    </row>
    <row r="913" spans="2:59">
      <c r="B913" s="332">
        <v>898</v>
      </c>
      <c r="C913" s="350">
        <v>5084213.0522868047</v>
      </c>
      <c r="D913" s="350">
        <v>5065891.1665327838</v>
      </c>
      <c r="E913" s="350">
        <v>5046076.9453480635</v>
      </c>
      <c r="F913" s="350">
        <v>5022305.5454905769</v>
      </c>
      <c r="G913" s="350">
        <v>4992393.3842761535</v>
      </c>
      <c r="H913" s="348">
        <v>25210880.09393438</v>
      </c>
      <c r="I913" s="369"/>
      <c r="J913" s="350">
        <v>15796922.314863861</v>
      </c>
      <c r="K913" s="350">
        <v>15447179.386920381</v>
      </c>
      <c r="L913" s="350">
        <v>15088343.020030826</v>
      </c>
      <c r="M913" s="350">
        <v>14697397.994256763</v>
      </c>
      <c r="N913" s="350">
        <v>14255066.47417916</v>
      </c>
      <c r="O913" s="348">
        <v>75284909.190250993</v>
      </c>
      <c r="P913" s="369"/>
      <c r="Q913" s="350">
        <f t="shared" ref="Q913:Q976" si="381">J913-C913</f>
        <v>10712709.262577057</v>
      </c>
      <c r="R913" s="350">
        <f t="shared" ref="R913:R976" si="382">K913-D913</f>
        <v>10381288.220387597</v>
      </c>
      <c r="S913" s="350">
        <f t="shared" ref="S913:S976" si="383">L913-E913</f>
        <v>10042266.074682763</v>
      </c>
      <c r="T913" s="350">
        <f t="shared" ref="T913:T976" si="384">M913-F913</f>
        <v>9675092.4487661868</v>
      </c>
      <c r="U913" s="350">
        <f t="shared" ref="U913:U976" si="385">N913-G913</f>
        <v>9262673.0899030063</v>
      </c>
      <c r="V913" s="350">
        <f t="shared" ref="V913:V976" si="386">O913-H913</f>
        <v>50074029.096316613</v>
      </c>
      <c r="W913" s="365"/>
      <c r="X913" s="377">
        <f t="shared" si="364"/>
        <v>0</v>
      </c>
      <c r="Y913" s="377">
        <f t="shared" si="365"/>
        <v>0</v>
      </c>
      <c r="Z913" s="377">
        <f t="shared" si="366"/>
        <v>0</v>
      </c>
      <c r="AA913" s="377">
        <f t="shared" si="367"/>
        <v>0</v>
      </c>
      <c r="AB913" s="377">
        <f t="shared" si="368"/>
        <v>0</v>
      </c>
      <c r="AC913" s="377">
        <f t="shared" si="369"/>
        <v>0</v>
      </c>
      <c r="AD913" s="376"/>
      <c r="AE913" s="332">
        <v>898</v>
      </c>
      <c r="AF913" s="350">
        <v>546516.50653172377</v>
      </c>
      <c r="AG913" s="350">
        <v>544547.03497489018</v>
      </c>
      <c r="AH913" s="350">
        <v>542417.14804250642</v>
      </c>
      <c r="AI913" s="350">
        <v>539861.89273123688</v>
      </c>
      <c r="AJ913" s="350">
        <v>536646.54953424633</v>
      </c>
      <c r="AK913" s="348">
        <v>2709989.1318146037</v>
      </c>
      <c r="AL913" s="369"/>
      <c r="AM913" s="350">
        <v>16888216.191190094</v>
      </c>
      <c r="AN913" s="350">
        <v>16741140.32470046</v>
      </c>
      <c r="AO913" s="350">
        <v>16579710.976913344</v>
      </c>
      <c r="AP913" s="350">
        <v>16371997.217696067</v>
      </c>
      <c r="AQ913" s="350">
        <v>16090671.485549653</v>
      </c>
      <c r="AR913" s="348">
        <v>82671736.196049631</v>
      </c>
      <c r="AS913" s="369"/>
      <c r="AT913" s="350">
        <f t="shared" ref="AT913:AT976" si="387">AM913-AF913</f>
        <v>16341699.684658371</v>
      </c>
      <c r="AU913" s="350">
        <f t="shared" si="370"/>
        <v>16196593.28972557</v>
      </c>
      <c r="AV913" s="350">
        <f t="shared" si="371"/>
        <v>16037293.828870839</v>
      </c>
      <c r="AW913" s="350">
        <f t="shared" si="372"/>
        <v>15832135.324964831</v>
      </c>
      <c r="AX913" s="350">
        <f t="shared" si="373"/>
        <v>15554024.936015407</v>
      </c>
      <c r="AY913" s="350">
        <f t="shared" si="374"/>
        <v>79961747.064235032</v>
      </c>
      <c r="AZ913" s="365"/>
      <c r="BA913" s="377">
        <f t="shared" si="375"/>
        <v>0</v>
      </c>
      <c r="BB913" s="377">
        <f t="shared" si="376"/>
        <v>0</v>
      </c>
      <c r="BC913" s="377">
        <f t="shared" si="377"/>
        <v>0</v>
      </c>
      <c r="BD913" s="377">
        <f t="shared" si="378"/>
        <v>0</v>
      </c>
      <c r="BE913" s="377">
        <f t="shared" si="379"/>
        <v>0</v>
      </c>
      <c r="BF913" s="377">
        <f t="shared" si="380"/>
        <v>0</v>
      </c>
      <c r="BG913" s="328"/>
    </row>
    <row r="914" spans="2:59">
      <c r="B914" s="332">
        <v>899</v>
      </c>
      <c r="C914" s="350">
        <v>5209726.7225075644</v>
      </c>
      <c r="D914" s="350">
        <v>5190952.525431674</v>
      </c>
      <c r="E914" s="350">
        <v>5170649.1517275972</v>
      </c>
      <c r="F914" s="350">
        <v>5146290.9087123377</v>
      </c>
      <c r="G914" s="350">
        <v>5115640.3077237252</v>
      </c>
      <c r="H914" s="348">
        <v>25833259.616102897</v>
      </c>
      <c r="I914" s="369"/>
      <c r="J914" s="350">
        <v>18168841.509889264</v>
      </c>
      <c r="K914" s="350">
        <v>17796179.925958686</v>
      </c>
      <c r="L914" s="350">
        <v>17412455.175348192</v>
      </c>
      <c r="M914" s="350">
        <v>16990240.455653567</v>
      </c>
      <c r="N914" s="350">
        <v>16506486.822288537</v>
      </c>
      <c r="O914" s="348">
        <v>86874203.889138252</v>
      </c>
      <c r="P914" s="369"/>
      <c r="Q914" s="350">
        <f t="shared" si="381"/>
        <v>12959114.787381699</v>
      </c>
      <c r="R914" s="350">
        <f t="shared" si="382"/>
        <v>12605227.400527012</v>
      </c>
      <c r="S914" s="350">
        <f t="shared" si="383"/>
        <v>12241806.023620594</v>
      </c>
      <c r="T914" s="350">
        <f t="shared" si="384"/>
        <v>11843949.546941228</v>
      </c>
      <c r="U914" s="350">
        <f t="shared" si="385"/>
        <v>11390846.514564812</v>
      </c>
      <c r="V914" s="350">
        <f t="shared" si="386"/>
        <v>61040944.273035355</v>
      </c>
      <c r="W914" s="365"/>
      <c r="X914" s="377">
        <f t="shared" si="364"/>
        <v>0</v>
      </c>
      <c r="Y914" s="377">
        <f t="shared" si="365"/>
        <v>0</v>
      </c>
      <c r="Z914" s="377">
        <f t="shared" si="366"/>
        <v>0</v>
      </c>
      <c r="AA914" s="377">
        <f t="shared" si="367"/>
        <v>0</v>
      </c>
      <c r="AB914" s="377">
        <f t="shared" si="368"/>
        <v>0</v>
      </c>
      <c r="AC914" s="377">
        <f t="shared" si="369"/>
        <v>0</v>
      </c>
      <c r="AD914" s="376"/>
      <c r="AE914" s="332">
        <v>899</v>
      </c>
      <c r="AF914" s="350">
        <v>486332.21617510618</v>
      </c>
      <c r="AG914" s="350">
        <v>484579.62964664586</v>
      </c>
      <c r="AH914" s="350">
        <v>482684.29323933006</v>
      </c>
      <c r="AI914" s="350">
        <v>480410.43149211718</v>
      </c>
      <c r="AJ914" s="350">
        <v>477549.17302312853</v>
      </c>
      <c r="AK914" s="348">
        <v>2411555.7435763278</v>
      </c>
      <c r="AL914" s="369"/>
      <c r="AM914" s="350">
        <v>14434577.815992413</v>
      </c>
      <c r="AN914" s="350">
        <v>14307978.542625468</v>
      </c>
      <c r="AO914" s="350">
        <v>14169129.369197162</v>
      </c>
      <c r="AP914" s="350">
        <v>13990767.311003156</v>
      </c>
      <c r="AQ914" s="350">
        <v>13749561.553194026</v>
      </c>
      <c r="AR914" s="348">
        <v>70652014.592012227</v>
      </c>
      <c r="AS914" s="369"/>
      <c r="AT914" s="350">
        <f t="shared" si="387"/>
        <v>13948245.599817308</v>
      </c>
      <c r="AU914" s="350">
        <f t="shared" si="370"/>
        <v>13823398.912978822</v>
      </c>
      <c r="AV914" s="350">
        <f t="shared" si="371"/>
        <v>13686445.075957831</v>
      </c>
      <c r="AW914" s="350">
        <f t="shared" si="372"/>
        <v>13510356.87951104</v>
      </c>
      <c r="AX914" s="350">
        <f t="shared" si="373"/>
        <v>13272012.380170897</v>
      </c>
      <c r="AY914" s="350">
        <f t="shared" si="374"/>
        <v>68240458.848435894</v>
      </c>
      <c r="AZ914" s="365"/>
      <c r="BA914" s="377">
        <f t="shared" si="375"/>
        <v>0</v>
      </c>
      <c r="BB914" s="377">
        <f t="shared" si="376"/>
        <v>0</v>
      </c>
      <c r="BC914" s="377">
        <f t="shared" si="377"/>
        <v>0</v>
      </c>
      <c r="BD914" s="377">
        <f t="shared" si="378"/>
        <v>0</v>
      </c>
      <c r="BE914" s="377">
        <f t="shared" si="379"/>
        <v>0</v>
      </c>
      <c r="BF914" s="377">
        <f t="shared" si="380"/>
        <v>0</v>
      </c>
      <c r="BG914" s="328"/>
    </row>
    <row r="915" spans="2:59">
      <c r="B915" s="332">
        <v>900</v>
      </c>
      <c r="C915" s="350">
        <v>7097640.4174300171</v>
      </c>
      <c r="D915" s="350">
        <v>7072062.7802393828</v>
      </c>
      <c r="E915" s="350">
        <v>7044401.81960019</v>
      </c>
      <c r="F915" s="350">
        <v>7011216.5760487821</v>
      </c>
      <c r="G915" s="350">
        <v>6969458.7342304336</v>
      </c>
      <c r="H915" s="348">
        <v>35194780.327548809</v>
      </c>
      <c r="I915" s="369"/>
      <c r="J915" s="350">
        <v>22113242.782869548</v>
      </c>
      <c r="K915" s="350">
        <v>21624560.220598608</v>
      </c>
      <c r="L915" s="350">
        <v>21123129.807246797</v>
      </c>
      <c r="M915" s="350">
        <v>20576704.627833422</v>
      </c>
      <c r="N915" s="350">
        <v>19958271.946930181</v>
      </c>
      <c r="O915" s="348">
        <v>105395909.38547856</v>
      </c>
      <c r="P915" s="369"/>
      <c r="Q915" s="350">
        <f t="shared" si="381"/>
        <v>15015602.36543953</v>
      </c>
      <c r="R915" s="350">
        <f t="shared" si="382"/>
        <v>14552497.440359225</v>
      </c>
      <c r="S915" s="350">
        <f t="shared" si="383"/>
        <v>14078727.987646606</v>
      </c>
      <c r="T915" s="350">
        <f t="shared" si="384"/>
        <v>13565488.05178464</v>
      </c>
      <c r="U915" s="350">
        <f t="shared" si="385"/>
        <v>12988813.212699749</v>
      </c>
      <c r="V915" s="350">
        <f t="shared" si="386"/>
        <v>70201129.057929754</v>
      </c>
      <c r="W915" s="365"/>
      <c r="X915" s="377">
        <f t="shared" si="364"/>
        <v>0</v>
      </c>
      <c r="Y915" s="377">
        <f t="shared" si="365"/>
        <v>0</v>
      </c>
      <c r="Z915" s="377">
        <f t="shared" si="366"/>
        <v>0</v>
      </c>
      <c r="AA915" s="377">
        <f t="shared" si="367"/>
        <v>0</v>
      </c>
      <c r="AB915" s="377">
        <f t="shared" si="368"/>
        <v>0</v>
      </c>
      <c r="AC915" s="377">
        <f t="shared" si="369"/>
        <v>0</v>
      </c>
      <c r="AD915" s="376"/>
      <c r="AE915" s="332">
        <v>900</v>
      </c>
      <c r="AF915" s="350">
        <v>376779.71964479389</v>
      </c>
      <c r="AG915" s="350">
        <v>375421.9254479793</v>
      </c>
      <c r="AH915" s="350">
        <v>373953.53759204532</v>
      </c>
      <c r="AI915" s="350">
        <v>372191.89202728291</v>
      </c>
      <c r="AJ915" s="350">
        <v>369975.1682982741</v>
      </c>
      <c r="AK915" s="348">
        <v>1868322.2430103754</v>
      </c>
      <c r="AL915" s="369"/>
      <c r="AM915" s="350">
        <v>13538908.203634383</v>
      </c>
      <c r="AN915" s="350">
        <v>13423847.179221923</v>
      </c>
      <c r="AO915" s="350">
        <v>13297221.163007788</v>
      </c>
      <c r="AP915" s="350">
        <v>13133339.906939125</v>
      </c>
      <c r="AQ915" s="350">
        <v>12910211.208594209</v>
      </c>
      <c r="AR915" s="348">
        <v>66303527.661397427</v>
      </c>
      <c r="AS915" s="369"/>
      <c r="AT915" s="350">
        <f t="shared" si="387"/>
        <v>13162128.483989589</v>
      </c>
      <c r="AU915" s="350">
        <f t="shared" si="370"/>
        <v>13048425.253773943</v>
      </c>
      <c r="AV915" s="350">
        <f t="shared" si="371"/>
        <v>12923267.625415742</v>
      </c>
      <c r="AW915" s="350">
        <f t="shared" si="372"/>
        <v>12761148.014911842</v>
      </c>
      <c r="AX915" s="350">
        <f t="shared" si="373"/>
        <v>12540236.040295934</v>
      </c>
      <c r="AY915" s="350">
        <f t="shared" si="374"/>
        <v>64435205.418387055</v>
      </c>
      <c r="AZ915" s="365"/>
      <c r="BA915" s="377">
        <f t="shared" si="375"/>
        <v>0</v>
      </c>
      <c r="BB915" s="377">
        <f t="shared" si="376"/>
        <v>0</v>
      </c>
      <c r="BC915" s="377">
        <f t="shared" si="377"/>
        <v>0</v>
      </c>
      <c r="BD915" s="377">
        <f t="shared" si="378"/>
        <v>0</v>
      </c>
      <c r="BE915" s="377">
        <f t="shared" si="379"/>
        <v>0</v>
      </c>
      <c r="BF915" s="377">
        <f t="shared" si="380"/>
        <v>0</v>
      </c>
      <c r="BG915" s="328"/>
    </row>
    <row r="916" spans="2:59">
      <c r="B916" s="332">
        <v>901</v>
      </c>
      <c r="C916" s="350">
        <v>7450209.5226900084</v>
      </c>
      <c r="D916" s="350">
        <v>7423361.338651605</v>
      </c>
      <c r="E916" s="350">
        <v>7394326.3438870385</v>
      </c>
      <c r="F916" s="350">
        <v>7359492.6522685755</v>
      </c>
      <c r="G916" s="350">
        <v>7315660.5260315165</v>
      </c>
      <c r="H916" s="348">
        <v>36943050.383528747</v>
      </c>
      <c r="I916" s="369"/>
      <c r="J916" s="350">
        <v>23568972.475449637</v>
      </c>
      <c r="K916" s="350">
        <v>23053440.031731695</v>
      </c>
      <c r="L916" s="350">
        <v>22524211.8940471</v>
      </c>
      <c r="M916" s="350">
        <v>21946746.480290484</v>
      </c>
      <c r="N916" s="350">
        <v>21292095.213766847</v>
      </c>
      <c r="O916" s="348">
        <v>112385466.09528576</v>
      </c>
      <c r="P916" s="369"/>
      <c r="Q916" s="350">
        <f t="shared" si="381"/>
        <v>16118762.952759627</v>
      </c>
      <c r="R916" s="350">
        <f t="shared" si="382"/>
        <v>15630078.69308009</v>
      </c>
      <c r="S916" s="350">
        <f t="shared" si="383"/>
        <v>15129885.550160062</v>
      </c>
      <c r="T916" s="350">
        <f t="shared" si="384"/>
        <v>14587253.828021908</v>
      </c>
      <c r="U916" s="350">
        <f t="shared" si="385"/>
        <v>13976434.68773533</v>
      </c>
      <c r="V916" s="350">
        <f t="shared" si="386"/>
        <v>75442415.711757004</v>
      </c>
      <c r="W916" s="365"/>
      <c r="X916" s="377">
        <f t="shared" si="364"/>
        <v>0</v>
      </c>
      <c r="Y916" s="377">
        <f t="shared" si="365"/>
        <v>0</v>
      </c>
      <c r="Z916" s="377">
        <f t="shared" si="366"/>
        <v>0</v>
      </c>
      <c r="AA916" s="377">
        <f t="shared" si="367"/>
        <v>0</v>
      </c>
      <c r="AB916" s="377">
        <f t="shared" si="368"/>
        <v>0</v>
      </c>
      <c r="AC916" s="377">
        <f t="shared" si="369"/>
        <v>0</v>
      </c>
      <c r="AD916" s="376"/>
      <c r="AE916" s="332">
        <v>901</v>
      </c>
      <c r="AF916" s="350">
        <v>388089.47516728571</v>
      </c>
      <c r="AG916" s="350">
        <v>386690.92421097693</v>
      </c>
      <c r="AH916" s="350">
        <v>385178.45991781203</v>
      </c>
      <c r="AI916" s="350">
        <v>383363.93523133494</v>
      </c>
      <c r="AJ916" s="350">
        <v>381080.67234926438</v>
      </c>
      <c r="AK916" s="348">
        <v>1924403.466876674</v>
      </c>
      <c r="AL916" s="369"/>
      <c r="AM916" s="350">
        <v>14292030.02961647</v>
      </c>
      <c r="AN916" s="350">
        <v>14171016.251438288</v>
      </c>
      <c r="AO916" s="350">
        <v>14037785.019884367</v>
      </c>
      <c r="AP916" s="350">
        <v>13865202.570101582</v>
      </c>
      <c r="AQ916" s="350">
        <v>13630040.091727942</v>
      </c>
      <c r="AR916" s="348">
        <v>69996073.962768644</v>
      </c>
      <c r="AS916" s="369"/>
      <c r="AT916" s="350">
        <f t="shared" si="387"/>
        <v>13903940.554449184</v>
      </c>
      <c r="AU916" s="350">
        <f t="shared" si="370"/>
        <v>13784325.327227311</v>
      </c>
      <c r="AV916" s="350">
        <f t="shared" si="371"/>
        <v>13652606.559966555</v>
      </c>
      <c r="AW916" s="350">
        <f t="shared" si="372"/>
        <v>13481838.634870246</v>
      </c>
      <c r="AX916" s="350">
        <f t="shared" si="373"/>
        <v>13248959.419378677</v>
      </c>
      <c r="AY916" s="350">
        <f t="shared" si="374"/>
        <v>68071670.495891973</v>
      </c>
      <c r="AZ916" s="365"/>
      <c r="BA916" s="377">
        <f t="shared" si="375"/>
        <v>0</v>
      </c>
      <c r="BB916" s="377">
        <f t="shared" si="376"/>
        <v>0</v>
      </c>
      <c r="BC916" s="377">
        <f t="shared" si="377"/>
        <v>0</v>
      </c>
      <c r="BD916" s="377">
        <f t="shared" si="378"/>
        <v>0</v>
      </c>
      <c r="BE916" s="377">
        <f t="shared" si="379"/>
        <v>0</v>
      </c>
      <c r="BF916" s="377">
        <f t="shared" si="380"/>
        <v>0</v>
      </c>
      <c r="BG916" s="328"/>
    </row>
    <row r="917" spans="2:59">
      <c r="B917" s="332">
        <v>902</v>
      </c>
      <c r="C917" s="350">
        <v>6959073.0505199768</v>
      </c>
      <c r="D917" s="350">
        <v>6933994.7660196535</v>
      </c>
      <c r="E917" s="350">
        <v>6906873.830833504</v>
      </c>
      <c r="F917" s="350">
        <v>6874336.4634139854</v>
      </c>
      <c r="G917" s="350">
        <v>6833393.8607241809</v>
      </c>
      <c r="H917" s="348">
        <v>34507671.971511297</v>
      </c>
      <c r="I917" s="369"/>
      <c r="J917" s="350">
        <v>23810506.266168527</v>
      </c>
      <c r="K917" s="350">
        <v>23316019.924697157</v>
      </c>
      <c r="L917" s="350">
        <v>22807159.891776294</v>
      </c>
      <c r="M917" s="350">
        <v>22248180.26204332</v>
      </c>
      <c r="N917" s="350">
        <v>21609056.002735272</v>
      </c>
      <c r="O917" s="348">
        <v>113790922.34742056</v>
      </c>
      <c r="P917" s="369"/>
      <c r="Q917" s="350">
        <f t="shared" si="381"/>
        <v>16851433.215648551</v>
      </c>
      <c r="R917" s="350">
        <f t="shared" si="382"/>
        <v>16382025.158677503</v>
      </c>
      <c r="S917" s="350">
        <f t="shared" si="383"/>
        <v>15900286.06094279</v>
      </c>
      <c r="T917" s="350">
        <f t="shared" si="384"/>
        <v>15373843.798629334</v>
      </c>
      <c r="U917" s="350">
        <f t="shared" si="385"/>
        <v>14775662.142011091</v>
      </c>
      <c r="V917" s="350">
        <f t="shared" si="386"/>
        <v>79283250.375909269</v>
      </c>
      <c r="W917" s="365"/>
      <c r="X917" s="377">
        <f t="shared" si="364"/>
        <v>0</v>
      </c>
      <c r="Y917" s="377">
        <f t="shared" si="365"/>
        <v>0</v>
      </c>
      <c r="Z917" s="377">
        <f t="shared" si="366"/>
        <v>0</v>
      </c>
      <c r="AA917" s="377">
        <f t="shared" si="367"/>
        <v>0</v>
      </c>
      <c r="AB917" s="377">
        <f t="shared" si="368"/>
        <v>0</v>
      </c>
      <c r="AC917" s="377">
        <f t="shared" si="369"/>
        <v>0</v>
      </c>
      <c r="AD917" s="376"/>
      <c r="AE917" s="332">
        <v>902</v>
      </c>
      <c r="AF917" s="350">
        <v>382139.0696056711</v>
      </c>
      <c r="AG917" s="350">
        <v>380761.96201724815</v>
      </c>
      <c r="AH917" s="350">
        <v>379272.68767515797</v>
      </c>
      <c r="AI917" s="350">
        <v>377485.98429916985</v>
      </c>
      <c r="AJ917" s="350">
        <v>375237.72968457744</v>
      </c>
      <c r="AK917" s="348">
        <v>1894897.4332818245</v>
      </c>
      <c r="AL917" s="369"/>
      <c r="AM917" s="350">
        <v>10787410.183316844</v>
      </c>
      <c r="AN917" s="350">
        <v>10691931.551161354</v>
      </c>
      <c r="AO917" s="350">
        <v>10587315.891779652</v>
      </c>
      <c r="AP917" s="350">
        <v>10453216.729004391</v>
      </c>
      <c r="AQ917" s="350">
        <v>10272223.896548808</v>
      </c>
      <c r="AR917" s="348">
        <v>52792098.25181105</v>
      </c>
      <c r="AS917" s="369"/>
      <c r="AT917" s="350">
        <f t="shared" si="387"/>
        <v>10405271.113711173</v>
      </c>
      <c r="AU917" s="350">
        <f t="shared" si="370"/>
        <v>10311169.589144107</v>
      </c>
      <c r="AV917" s="350">
        <f t="shared" si="371"/>
        <v>10208043.204104494</v>
      </c>
      <c r="AW917" s="350">
        <f t="shared" si="372"/>
        <v>10075730.744705221</v>
      </c>
      <c r="AX917" s="350">
        <f t="shared" si="373"/>
        <v>9896986.1668642294</v>
      </c>
      <c r="AY917" s="350">
        <f t="shared" si="374"/>
        <v>50897200.818529226</v>
      </c>
      <c r="AZ917" s="365"/>
      <c r="BA917" s="377">
        <f t="shared" si="375"/>
        <v>0</v>
      </c>
      <c r="BB917" s="377">
        <f t="shared" si="376"/>
        <v>0</v>
      </c>
      <c r="BC917" s="377">
        <f t="shared" si="377"/>
        <v>0</v>
      </c>
      <c r="BD917" s="377">
        <f t="shared" si="378"/>
        <v>0</v>
      </c>
      <c r="BE917" s="377">
        <f t="shared" si="379"/>
        <v>0</v>
      </c>
      <c r="BF917" s="377">
        <f t="shared" si="380"/>
        <v>0</v>
      </c>
      <c r="BG917" s="328"/>
    </row>
    <row r="918" spans="2:59">
      <c r="B918" s="332">
        <v>903</v>
      </c>
      <c r="C918" s="350">
        <v>5236874.2860826422</v>
      </c>
      <c r="D918" s="350">
        <v>5218002.2578275269</v>
      </c>
      <c r="E918" s="350">
        <v>5197593.0844994467</v>
      </c>
      <c r="F918" s="350">
        <v>5173107.9121871125</v>
      </c>
      <c r="G918" s="350">
        <v>5142297.592813395</v>
      </c>
      <c r="H918" s="348">
        <v>25967875.133410122</v>
      </c>
      <c r="I918" s="369"/>
      <c r="J918" s="350">
        <v>20931681.983545069</v>
      </c>
      <c r="K918" s="350">
        <v>20537848.057067506</v>
      </c>
      <c r="L918" s="350">
        <v>20130543.809044424</v>
      </c>
      <c r="M918" s="350">
        <v>19677025.379358314</v>
      </c>
      <c r="N918" s="350">
        <v>19149687.597517502</v>
      </c>
      <c r="O918" s="348">
        <v>100426786.82653283</v>
      </c>
      <c r="P918" s="369"/>
      <c r="Q918" s="350">
        <f t="shared" si="381"/>
        <v>15694807.697462426</v>
      </c>
      <c r="R918" s="350">
        <f t="shared" si="382"/>
        <v>15319845.799239978</v>
      </c>
      <c r="S918" s="350">
        <f t="shared" si="383"/>
        <v>14932950.724544978</v>
      </c>
      <c r="T918" s="350">
        <f t="shared" si="384"/>
        <v>14503917.467171201</v>
      </c>
      <c r="U918" s="350">
        <f t="shared" si="385"/>
        <v>14007390.004704107</v>
      </c>
      <c r="V918" s="350">
        <f t="shared" si="386"/>
        <v>74458911.6931227</v>
      </c>
      <c r="W918" s="365"/>
      <c r="X918" s="377">
        <f t="shared" si="364"/>
        <v>0</v>
      </c>
      <c r="Y918" s="377">
        <f t="shared" si="365"/>
        <v>0</v>
      </c>
      <c r="Z918" s="377">
        <f t="shared" si="366"/>
        <v>0</v>
      </c>
      <c r="AA918" s="377">
        <f t="shared" si="367"/>
        <v>0</v>
      </c>
      <c r="AB918" s="377">
        <f t="shared" si="368"/>
        <v>0</v>
      </c>
      <c r="AC918" s="377">
        <f t="shared" si="369"/>
        <v>0</v>
      </c>
      <c r="AD918" s="376"/>
      <c r="AE918" s="332">
        <v>903</v>
      </c>
      <c r="AF918" s="350">
        <v>571283.28761973837</v>
      </c>
      <c r="AG918" s="350">
        <v>569224.56446606515</v>
      </c>
      <c r="AH918" s="350">
        <v>566998.15630739427</v>
      </c>
      <c r="AI918" s="350">
        <v>564327.10312330327</v>
      </c>
      <c r="AJ918" s="350">
        <v>560966.04849741538</v>
      </c>
      <c r="AK918" s="348">
        <v>2832799.160013916</v>
      </c>
      <c r="AL918" s="369"/>
      <c r="AM918" s="350">
        <v>17280607.591727093</v>
      </c>
      <c r="AN918" s="350">
        <v>17129554.530327454</v>
      </c>
      <c r="AO918" s="350">
        <v>16963825.923891228</v>
      </c>
      <c r="AP918" s="350">
        <v>16750767.023205232</v>
      </c>
      <c r="AQ918" s="350">
        <v>16462431.904854616</v>
      </c>
      <c r="AR918" s="348">
        <v>84587186.974005625</v>
      </c>
      <c r="AS918" s="369"/>
      <c r="AT918" s="350">
        <f t="shared" si="387"/>
        <v>16709324.304107355</v>
      </c>
      <c r="AU918" s="350">
        <f t="shared" si="370"/>
        <v>16560329.965861389</v>
      </c>
      <c r="AV918" s="350">
        <f t="shared" si="371"/>
        <v>16396827.767583834</v>
      </c>
      <c r="AW918" s="350">
        <f t="shared" si="372"/>
        <v>16186439.920081928</v>
      </c>
      <c r="AX918" s="350">
        <f t="shared" si="373"/>
        <v>15901465.8563572</v>
      </c>
      <c r="AY918" s="350">
        <f t="shared" si="374"/>
        <v>81754387.813991711</v>
      </c>
      <c r="AZ918" s="365"/>
      <c r="BA918" s="377">
        <f t="shared" si="375"/>
        <v>0</v>
      </c>
      <c r="BB918" s="377">
        <f t="shared" si="376"/>
        <v>0</v>
      </c>
      <c r="BC918" s="377">
        <f t="shared" si="377"/>
        <v>0</v>
      </c>
      <c r="BD918" s="377">
        <f t="shared" si="378"/>
        <v>0</v>
      </c>
      <c r="BE918" s="377">
        <f t="shared" si="379"/>
        <v>0</v>
      </c>
      <c r="BF918" s="377">
        <f t="shared" si="380"/>
        <v>0</v>
      </c>
      <c r="BG918" s="328"/>
    </row>
    <row r="919" spans="2:59">
      <c r="B919" s="332">
        <v>904</v>
      </c>
      <c r="C919" s="350">
        <v>6178124.7145107323</v>
      </c>
      <c r="D919" s="350">
        <v>6155860.7192711076</v>
      </c>
      <c r="E919" s="350">
        <v>6131783.2999456031</v>
      </c>
      <c r="F919" s="350">
        <v>6102897.2813134771</v>
      </c>
      <c r="G919" s="350">
        <v>6066549.2643120773</v>
      </c>
      <c r="H919" s="348">
        <v>30635215.279352996</v>
      </c>
      <c r="I919" s="369"/>
      <c r="J919" s="350">
        <v>19588109.020574082</v>
      </c>
      <c r="K919" s="350">
        <v>19160288.158373713</v>
      </c>
      <c r="L919" s="350">
        <v>18721071.839608714</v>
      </c>
      <c r="M919" s="350">
        <v>18241732.084341966</v>
      </c>
      <c r="N919" s="350">
        <v>17698190.950446974</v>
      </c>
      <c r="O919" s="348">
        <v>93409392.053345457</v>
      </c>
      <c r="P919" s="369"/>
      <c r="Q919" s="350">
        <f t="shared" si="381"/>
        <v>13409984.30606335</v>
      </c>
      <c r="R919" s="350">
        <f t="shared" si="382"/>
        <v>13004427.439102605</v>
      </c>
      <c r="S919" s="350">
        <f t="shared" si="383"/>
        <v>12589288.53966311</v>
      </c>
      <c r="T919" s="350">
        <f t="shared" si="384"/>
        <v>12138834.803028489</v>
      </c>
      <c r="U919" s="350">
        <f t="shared" si="385"/>
        <v>11631641.686134897</v>
      </c>
      <c r="V919" s="350">
        <f t="shared" si="386"/>
        <v>62774176.773992464</v>
      </c>
      <c r="W919" s="365"/>
      <c r="X919" s="377">
        <f t="shared" si="364"/>
        <v>0</v>
      </c>
      <c r="Y919" s="377">
        <f t="shared" si="365"/>
        <v>0</v>
      </c>
      <c r="Z919" s="377">
        <f t="shared" si="366"/>
        <v>0</v>
      </c>
      <c r="AA919" s="377">
        <f t="shared" si="367"/>
        <v>0</v>
      </c>
      <c r="AB919" s="377">
        <f t="shared" si="368"/>
        <v>0</v>
      </c>
      <c r="AC919" s="377">
        <f t="shared" si="369"/>
        <v>0</v>
      </c>
      <c r="AD919" s="376"/>
      <c r="AE919" s="332">
        <v>904</v>
      </c>
      <c r="AF919" s="350">
        <v>477856.22745014587</v>
      </c>
      <c r="AG919" s="350">
        <v>476134.1856875075</v>
      </c>
      <c r="AH919" s="350">
        <v>474271.88194692467</v>
      </c>
      <c r="AI919" s="350">
        <v>472037.64995462092</v>
      </c>
      <c r="AJ919" s="350">
        <v>469226.25862113311</v>
      </c>
      <c r="AK919" s="348">
        <v>2369526.2036603321</v>
      </c>
      <c r="AL919" s="369"/>
      <c r="AM919" s="350">
        <v>15547244.991338016</v>
      </c>
      <c r="AN919" s="350">
        <v>15413019.575869853</v>
      </c>
      <c r="AO919" s="350">
        <v>15265556.448551228</v>
      </c>
      <c r="AP919" s="350">
        <v>15075422.225077886</v>
      </c>
      <c r="AQ919" s="350">
        <v>14817424.510553306</v>
      </c>
      <c r="AR919" s="348">
        <v>76118667.751390278</v>
      </c>
      <c r="AS919" s="369"/>
      <c r="AT919" s="350">
        <f t="shared" si="387"/>
        <v>15069388.763887871</v>
      </c>
      <c r="AU919" s="350">
        <f t="shared" si="370"/>
        <v>14936885.390182346</v>
      </c>
      <c r="AV919" s="350">
        <f t="shared" si="371"/>
        <v>14791284.566604303</v>
      </c>
      <c r="AW919" s="350">
        <f t="shared" si="372"/>
        <v>14603384.575123265</v>
      </c>
      <c r="AX919" s="350">
        <f t="shared" si="373"/>
        <v>14348198.251932172</v>
      </c>
      <c r="AY919" s="350">
        <f t="shared" si="374"/>
        <v>73749141.547729939</v>
      </c>
      <c r="AZ919" s="365"/>
      <c r="BA919" s="377">
        <f t="shared" si="375"/>
        <v>0</v>
      </c>
      <c r="BB919" s="377">
        <f t="shared" si="376"/>
        <v>0</v>
      </c>
      <c r="BC919" s="377">
        <f t="shared" si="377"/>
        <v>0</v>
      </c>
      <c r="BD919" s="377">
        <f t="shared" si="378"/>
        <v>0</v>
      </c>
      <c r="BE919" s="377">
        <f t="shared" si="379"/>
        <v>0</v>
      </c>
      <c r="BF919" s="377">
        <f t="shared" si="380"/>
        <v>0</v>
      </c>
      <c r="BG919" s="328"/>
    </row>
    <row r="920" spans="2:59">
      <c r="B920" s="332">
        <v>905</v>
      </c>
      <c r="C920" s="350">
        <v>7497555.505260868</v>
      </c>
      <c r="D920" s="350">
        <v>7470536.70136947</v>
      </c>
      <c r="E920" s="350">
        <v>7441317.1895987857</v>
      </c>
      <c r="F920" s="350">
        <v>7406262.130332713</v>
      </c>
      <c r="G920" s="350">
        <v>7362151.4515155517</v>
      </c>
      <c r="H920" s="348">
        <v>37177822.978077389</v>
      </c>
      <c r="I920" s="369"/>
      <c r="J920" s="350">
        <v>23049444.800233867</v>
      </c>
      <c r="K920" s="350">
        <v>22535460.102036692</v>
      </c>
      <c r="L920" s="350">
        <v>22008282.046731587</v>
      </c>
      <c r="M920" s="350">
        <v>21434447.472167194</v>
      </c>
      <c r="N920" s="350">
        <v>20785936.633189123</v>
      </c>
      <c r="O920" s="348">
        <v>109813571.05435847</v>
      </c>
      <c r="P920" s="369"/>
      <c r="Q920" s="350">
        <f t="shared" si="381"/>
        <v>15551889.294972999</v>
      </c>
      <c r="R920" s="350">
        <f t="shared" si="382"/>
        <v>15064923.400667222</v>
      </c>
      <c r="S920" s="350">
        <f t="shared" si="383"/>
        <v>14566964.857132802</v>
      </c>
      <c r="T920" s="350">
        <f t="shared" si="384"/>
        <v>14028185.341834482</v>
      </c>
      <c r="U920" s="350">
        <f t="shared" si="385"/>
        <v>13423785.181673571</v>
      </c>
      <c r="V920" s="350">
        <f t="shared" si="386"/>
        <v>72635748.076281071</v>
      </c>
      <c r="W920" s="365"/>
      <c r="X920" s="377">
        <f t="shared" si="364"/>
        <v>0</v>
      </c>
      <c r="Y920" s="377">
        <f t="shared" si="365"/>
        <v>0</v>
      </c>
      <c r="Z920" s="377">
        <f t="shared" si="366"/>
        <v>0</v>
      </c>
      <c r="AA920" s="377">
        <f t="shared" si="367"/>
        <v>0</v>
      </c>
      <c r="AB920" s="377">
        <f t="shared" si="368"/>
        <v>0</v>
      </c>
      <c r="AC920" s="377">
        <f t="shared" si="369"/>
        <v>0</v>
      </c>
      <c r="AD920" s="376"/>
      <c r="AE920" s="332">
        <v>905</v>
      </c>
      <c r="AF920" s="350">
        <v>392793.88674818526</v>
      </c>
      <c r="AG920" s="350">
        <v>391378.38258975098</v>
      </c>
      <c r="AH920" s="350">
        <v>389847.58423964365</v>
      </c>
      <c r="AI920" s="350">
        <v>388011.06392717012</v>
      </c>
      <c r="AJ920" s="350">
        <v>385700.12338561146</v>
      </c>
      <c r="AK920" s="348">
        <v>1947731.0408903614</v>
      </c>
      <c r="AL920" s="369"/>
      <c r="AM920" s="350">
        <v>12196134.800907753</v>
      </c>
      <c r="AN920" s="350">
        <v>12090008.634094516</v>
      </c>
      <c r="AO920" s="350">
        <v>11973515.053728616</v>
      </c>
      <c r="AP920" s="350">
        <v>11823591.731882313</v>
      </c>
      <c r="AQ920" s="350">
        <v>11620500.981743012</v>
      </c>
      <c r="AR920" s="348">
        <v>59703751.202356204</v>
      </c>
      <c r="AS920" s="369"/>
      <c r="AT920" s="350">
        <f t="shared" si="387"/>
        <v>11803340.914159568</v>
      </c>
      <c r="AU920" s="350">
        <f t="shared" si="370"/>
        <v>11698630.251504764</v>
      </c>
      <c r="AV920" s="350">
        <f t="shared" si="371"/>
        <v>11583667.469488973</v>
      </c>
      <c r="AW920" s="350">
        <f t="shared" si="372"/>
        <v>11435580.667955143</v>
      </c>
      <c r="AX920" s="350">
        <f t="shared" si="373"/>
        <v>11234800.8583574</v>
      </c>
      <c r="AY920" s="350">
        <f t="shared" si="374"/>
        <v>57756020.161465846</v>
      </c>
      <c r="AZ920" s="365"/>
      <c r="BA920" s="377">
        <f t="shared" si="375"/>
        <v>0</v>
      </c>
      <c r="BB920" s="377">
        <f t="shared" si="376"/>
        <v>0</v>
      </c>
      <c r="BC920" s="377">
        <f t="shared" si="377"/>
        <v>0</v>
      </c>
      <c r="BD920" s="377">
        <f t="shared" si="378"/>
        <v>0</v>
      </c>
      <c r="BE920" s="377">
        <f t="shared" si="379"/>
        <v>0</v>
      </c>
      <c r="BF920" s="377">
        <f t="shared" si="380"/>
        <v>0</v>
      </c>
      <c r="BG920" s="328"/>
    </row>
    <row r="921" spans="2:59">
      <c r="B921" s="332">
        <v>906</v>
      </c>
      <c r="C921" s="350">
        <v>5355390.6232763734</v>
      </c>
      <c r="D921" s="350">
        <v>5336091.4998606676</v>
      </c>
      <c r="E921" s="350">
        <v>5315220.4440553943</v>
      </c>
      <c r="F921" s="350">
        <v>5290181.144838443</v>
      </c>
      <c r="G921" s="350">
        <v>5258673.5533897337</v>
      </c>
      <c r="H921" s="348">
        <v>26555557.265420616</v>
      </c>
      <c r="I921" s="369"/>
      <c r="J921" s="350">
        <v>23979490.632135823</v>
      </c>
      <c r="K921" s="350">
        <v>23558191.319193032</v>
      </c>
      <c r="L921" s="350">
        <v>23120850.159509908</v>
      </c>
      <c r="M921" s="350">
        <v>22628990.531693112</v>
      </c>
      <c r="N921" s="350">
        <v>22050102.799468361</v>
      </c>
      <c r="O921" s="348">
        <v>115337625.44200024</v>
      </c>
      <c r="P921" s="369"/>
      <c r="Q921" s="350">
        <f t="shared" si="381"/>
        <v>18624100.008859448</v>
      </c>
      <c r="R921" s="350">
        <f t="shared" si="382"/>
        <v>18222099.819332365</v>
      </c>
      <c r="S921" s="350">
        <f t="shared" si="383"/>
        <v>17805629.715454515</v>
      </c>
      <c r="T921" s="350">
        <f t="shared" si="384"/>
        <v>17338809.386854671</v>
      </c>
      <c r="U921" s="350">
        <f t="shared" si="385"/>
        <v>16791429.246078625</v>
      </c>
      <c r="V921" s="350">
        <f t="shared" si="386"/>
        <v>88782068.176579624</v>
      </c>
      <c r="W921" s="365"/>
      <c r="X921" s="377">
        <f t="shared" si="364"/>
        <v>0</v>
      </c>
      <c r="Y921" s="377">
        <f t="shared" si="365"/>
        <v>0</v>
      </c>
      <c r="Z921" s="377">
        <f t="shared" si="366"/>
        <v>0</v>
      </c>
      <c r="AA921" s="377">
        <f t="shared" si="367"/>
        <v>0</v>
      </c>
      <c r="AB921" s="377">
        <f t="shared" si="368"/>
        <v>0</v>
      </c>
      <c r="AC921" s="377">
        <f t="shared" si="369"/>
        <v>0</v>
      </c>
      <c r="AD921" s="376"/>
      <c r="AE921" s="332">
        <v>906</v>
      </c>
      <c r="AF921" s="350">
        <v>455021.91341392655</v>
      </c>
      <c r="AG921" s="350">
        <v>453382.15925189422</v>
      </c>
      <c r="AH921" s="350">
        <v>451608.84551709256</v>
      </c>
      <c r="AI921" s="350">
        <v>449481.37608643674</v>
      </c>
      <c r="AJ921" s="350">
        <v>446804.32681840676</v>
      </c>
      <c r="AK921" s="348">
        <v>2256298.6210877569</v>
      </c>
      <c r="AL921" s="369"/>
      <c r="AM921" s="350">
        <v>15390312.06328433</v>
      </c>
      <c r="AN921" s="350">
        <v>15258277.14857276</v>
      </c>
      <c r="AO921" s="350">
        <v>15113121.07889366</v>
      </c>
      <c r="AP921" s="350">
        <v>14925680.580532499</v>
      </c>
      <c r="AQ921" s="350">
        <v>14670992.800023634</v>
      </c>
      <c r="AR921" s="348">
        <v>75358383.671306878</v>
      </c>
      <c r="AS921" s="369"/>
      <c r="AT921" s="350">
        <f t="shared" si="387"/>
        <v>14935290.149870403</v>
      </c>
      <c r="AU921" s="350">
        <f t="shared" si="370"/>
        <v>14804894.989320865</v>
      </c>
      <c r="AV921" s="350">
        <f t="shared" si="371"/>
        <v>14661512.233376566</v>
      </c>
      <c r="AW921" s="350">
        <f t="shared" si="372"/>
        <v>14476199.204446062</v>
      </c>
      <c r="AX921" s="350">
        <f t="shared" si="373"/>
        <v>14224188.473205227</v>
      </c>
      <c r="AY921" s="350">
        <f t="shared" si="374"/>
        <v>73102085.050219119</v>
      </c>
      <c r="AZ921" s="365"/>
      <c r="BA921" s="377">
        <f t="shared" si="375"/>
        <v>0</v>
      </c>
      <c r="BB921" s="377">
        <f t="shared" si="376"/>
        <v>0</v>
      </c>
      <c r="BC921" s="377">
        <f t="shared" si="377"/>
        <v>0</v>
      </c>
      <c r="BD921" s="377">
        <f t="shared" si="378"/>
        <v>0</v>
      </c>
      <c r="BE921" s="377">
        <f t="shared" si="379"/>
        <v>0</v>
      </c>
      <c r="BF921" s="377">
        <f t="shared" si="380"/>
        <v>0</v>
      </c>
      <c r="BG921" s="328"/>
    </row>
    <row r="922" spans="2:59">
      <c r="B922" s="332">
        <v>907</v>
      </c>
      <c r="C922" s="350">
        <v>7295692.6413462097</v>
      </c>
      <c r="D922" s="350">
        <v>7269401.2869720887</v>
      </c>
      <c r="E922" s="350">
        <v>7240968.476190025</v>
      </c>
      <c r="F922" s="350">
        <v>7206857.2331655491</v>
      </c>
      <c r="G922" s="350">
        <v>7163934.1824958529</v>
      </c>
      <c r="H922" s="348">
        <v>36176853.820169725</v>
      </c>
      <c r="I922" s="369"/>
      <c r="J922" s="350">
        <v>24857865.770059332</v>
      </c>
      <c r="K922" s="350">
        <v>24340212.818275392</v>
      </c>
      <c r="L922" s="350">
        <v>23807582.8199495</v>
      </c>
      <c r="M922" s="350">
        <v>23222703.220082421</v>
      </c>
      <c r="N922" s="350">
        <v>22554270.189035296</v>
      </c>
      <c r="O922" s="348">
        <v>118782634.81740193</v>
      </c>
      <c r="P922" s="369"/>
      <c r="Q922" s="350">
        <f t="shared" si="381"/>
        <v>17562173.128713124</v>
      </c>
      <c r="R922" s="350">
        <f t="shared" si="382"/>
        <v>17070811.531303301</v>
      </c>
      <c r="S922" s="350">
        <f t="shared" si="383"/>
        <v>16566614.343759475</v>
      </c>
      <c r="T922" s="350">
        <f t="shared" si="384"/>
        <v>16015845.986916872</v>
      </c>
      <c r="U922" s="350">
        <f t="shared" si="385"/>
        <v>15390336.006539444</v>
      </c>
      <c r="V922" s="350">
        <f t="shared" si="386"/>
        <v>82605780.997232199</v>
      </c>
      <c r="W922" s="365"/>
      <c r="X922" s="377">
        <f t="shared" si="364"/>
        <v>0</v>
      </c>
      <c r="Y922" s="377">
        <f t="shared" si="365"/>
        <v>0</v>
      </c>
      <c r="Z922" s="377">
        <f t="shared" si="366"/>
        <v>0</v>
      </c>
      <c r="AA922" s="377">
        <f t="shared" si="367"/>
        <v>0</v>
      </c>
      <c r="AB922" s="377">
        <f t="shared" si="368"/>
        <v>0</v>
      </c>
      <c r="AC922" s="377">
        <f t="shared" si="369"/>
        <v>0</v>
      </c>
      <c r="AD922" s="376"/>
      <c r="AE922" s="332">
        <v>907</v>
      </c>
      <c r="AF922" s="350">
        <v>342432.00749647786</v>
      </c>
      <c r="AG922" s="350">
        <v>341197.99152284581</v>
      </c>
      <c r="AH922" s="350">
        <v>339863.46374686848</v>
      </c>
      <c r="AI922" s="350">
        <v>338262.41200287454</v>
      </c>
      <c r="AJ922" s="350">
        <v>336247.76759126666</v>
      </c>
      <c r="AK922" s="348">
        <v>1698003.6423603334</v>
      </c>
      <c r="AL922" s="369"/>
      <c r="AM922" s="350">
        <v>10076042.638482651</v>
      </c>
      <c r="AN922" s="350">
        <v>9987533.3522855844</v>
      </c>
      <c r="AO922" s="350">
        <v>9890475.8288297299</v>
      </c>
      <c r="AP922" s="350">
        <v>9765843.5866811257</v>
      </c>
      <c r="AQ922" s="350">
        <v>9597354.625114968</v>
      </c>
      <c r="AR922" s="348">
        <v>49317250.031394064</v>
      </c>
      <c r="AS922" s="369"/>
      <c r="AT922" s="350">
        <f t="shared" si="387"/>
        <v>9733610.6309861727</v>
      </c>
      <c r="AU922" s="350">
        <f t="shared" si="370"/>
        <v>9646335.3607627377</v>
      </c>
      <c r="AV922" s="350">
        <f t="shared" si="371"/>
        <v>9550612.3650828619</v>
      </c>
      <c r="AW922" s="350">
        <f t="shared" si="372"/>
        <v>9427581.1746782511</v>
      </c>
      <c r="AX922" s="350">
        <f t="shared" si="373"/>
        <v>9261106.8575237021</v>
      </c>
      <c r="AY922" s="350">
        <f t="shared" si="374"/>
        <v>47619246.389033735</v>
      </c>
      <c r="AZ922" s="365"/>
      <c r="BA922" s="377">
        <f t="shared" si="375"/>
        <v>0</v>
      </c>
      <c r="BB922" s="377">
        <f t="shared" si="376"/>
        <v>0</v>
      </c>
      <c r="BC922" s="377">
        <f t="shared" si="377"/>
        <v>0</v>
      </c>
      <c r="BD922" s="377">
        <f t="shared" si="378"/>
        <v>0</v>
      </c>
      <c r="BE922" s="377">
        <f t="shared" si="379"/>
        <v>0</v>
      </c>
      <c r="BF922" s="377">
        <f t="shared" si="380"/>
        <v>0</v>
      </c>
      <c r="BG922" s="328"/>
    </row>
    <row r="923" spans="2:59">
      <c r="B923" s="332">
        <v>908</v>
      </c>
      <c r="C923" s="350">
        <v>4395402.6440618075</v>
      </c>
      <c r="D923" s="350">
        <v>4379563.011800291</v>
      </c>
      <c r="E923" s="350">
        <v>4362433.2260714704</v>
      </c>
      <c r="F923" s="350">
        <v>4341882.3811890651</v>
      </c>
      <c r="G923" s="350">
        <v>4316022.7267765999</v>
      </c>
      <c r="H923" s="348">
        <v>21795303.989899233</v>
      </c>
      <c r="I923" s="369"/>
      <c r="J923" s="350">
        <v>13211616.731803441</v>
      </c>
      <c r="K923" s="350">
        <v>12912465.307838181</v>
      </c>
      <c r="L923" s="350">
        <v>12605844.398597237</v>
      </c>
      <c r="M923" s="350">
        <v>12272720.102845049</v>
      </c>
      <c r="N923" s="350">
        <v>11897166.437012391</v>
      </c>
      <c r="O923" s="348">
        <v>62899812.978096299</v>
      </c>
      <c r="P923" s="369"/>
      <c r="Q923" s="350">
        <f t="shared" si="381"/>
        <v>8816214.0877416339</v>
      </c>
      <c r="R923" s="350">
        <f t="shared" si="382"/>
        <v>8532902.29603789</v>
      </c>
      <c r="S923" s="350">
        <f t="shared" si="383"/>
        <v>8243411.1725257663</v>
      </c>
      <c r="T923" s="350">
        <f t="shared" si="384"/>
        <v>7930837.7216559835</v>
      </c>
      <c r="U923" s="350">
        <f t="shared" si="385"/>
        <v>7581143.7102357913</v>
      </c>
      <c r="V923" s="350">
        <f t="shared" si="386"/>
        <v>41104508.988197066</v>
      </c>
      <c r="W923" s="365"/>
      <c r="X923" s="377">
        <f t="shared" si="364"/>
        <v>0</v>
      </c>
      <c r="Y923" s="377">
        <f t="shared" si="365"/>
        <v>0</v>
      </c>
      <c r="Z923" s="377">
        <f t="shared" si="366"/>
        <v>0</v>
      </c>
      <c r="AA923" s="377">
        <f t="shared" si="367"/>
        <v>0</v>
      </c>
      <c r="AB923" s="377">
        <f t="shared" si="368"/>
        <v>0</v>
      </c>
      <c r="AC923" s="377">
        <f t="shared" si="369"/>
        <v>0</v>
      </c>
      <c r="AD923" s="376"/>
      <c r="AE923" s="332">
        <v>908</v>
      </c>
      <c r="AF923" s="350">
        <v>782931.79380926129</v>
      </c>
      <c r="AG923" s="350">
        <v>780110.35679790087</v>
      </c>
      <c r="AH923" s="350">
        <v>777059.11099534528</v>
      </c>
      <c r="AI923" s="350">
        <v>773398.48848791374</v>
      </c>
      <c r="AJ923" s="350">
        <v>768792.23344008753</v>
      </c>
      <c r="AK923" s="348">
        <v>3882291.9835305088</v>
      </c>
      <c r="AL923" s="369"/>
      <c r="AM923" s="350">
        <v>25802126.704799075</v>
      </c>
      <c r="AN923" s="350">
        <v>25579836.246246934</v>
      </c>
      <c r="AO923" s="350">
        <v>25335566.966182303</v>
      </c>
      <c r="AP923" s="350">
        <v>25020456.215449773</v>
      </c>
      <c r="AQ923" s="350">
        <v>24592680.926415361</v>
      </c>
      <c r="AR923" s="348">
        <v>126330667.05909345</v>
      </c>
      <c r="AS923" s="369"/>
      <c r="AT923" s="350">
        <f t="shared" si="387"/>
        <v>25019194.910989814</v>
      </c>
      <c r="AU923" s="350">
        <f t="shared" si="370"/>
        <v>24799725.889449034</v>
      </c>
      <c r="AV923" s="350">
        <f t="shared" si="371"/>
        <v>24558507.855186958</v>
      </c>
      <c r="AW923" s="350">
        <f t="shared" si="372"/>
        <v>24247057.726961859</v>
      </c>
      <c r="AX923" s="350">
        <f t="shared" si="373"/>
        <v>23823888.692975275</v>
      </c>
      <c r="AY923" s="350">
        <f t="shared" si="374"/>
        <v>122448375.07556294</v>
      </c>
      <c r="AZ923" s="365"/>
      <c r="BA923" s="377">
        <f t="shared" si="375"/>
        <v>0</v>
      </c>
      <c r="BB923" s="377">
        <f t="shared" si="376"/>
        <v>0</v>
      </c>
      <c r="BC923" s="377">
        <f t="shared" si="377"/>
        <v>0</v>
      </c>
      <c r="BD923" s="377">
        <f t="shared" si="378"/>
        <v>0</v>
      </c>
      <c r="BE923" s="377">
        <f t="shared" si="379"/>
        <v>0</v>
      </c>
      <c r="BF923" s="377">
        <f t="shared" si="380"/>
        <v>0</v>
      </c>
      <c r="BG923" s="328"/>
    </row>
    <row r="924" spans="2:59">
      <c r="B924" s="332">
        <v>909</v>
      </c>
      <c r="C924" s="350">
        <v>4704917.2533150166</v>
      </c>
      <c r="D924" s="350">
        <v>4687962.2289069444</v>
      </c>
      <c r="E924" s="350">
        <v>4669626.2012554165</v>
      </c>
      <c r="F924" s="350">
        <v>4647628.2109716227</v>
      </c>
      <c r="G924" s="350">
        <v>4619947.5764399162</v>
      </c>
      <c r="H924" s="348">
        <v>23330081.470888916</v>
      </c>
      <c r="I924" s="369"/>
      <c r="J924" s="350">
        <v>19813763.100456934</v>
      </c>
      <c r="K924" s="350">
        <v>19452667.269508976</v>
      </c>
      <c r="L924" s="350">
        <v>19078581.538979571</v>
      </c>
      <c r="M924" s="350">
        <v>18660132.826943237</v>
      </c>
      <c r="N924" s="350">
        <v>18170843.655996867</v>
      </c>
      <c r="O924" s="348">
        <v>95175988.391885579</v>
      </c>
      <c r="P924" s="369"/>
      <c r="Q924" s="350">
        <f t="shared" si="381"/>
        <v>15108845.847141918</v>
      </c>
      <c r="R924" s="350">
        <f t="shared" si="382"/>
        <v>14764705.040602032</v>
      </c>
      <c r="S924" s="350">
        <f t="shared" si="383"/>
        <v>14408955.337724155</v>
      </c>
      <c r="T924" s="350">
        <f t="shared" si="384"/>
        <v>14012504.615971614</v>
      </c>
      <c r="U924" s="350">
        <f t="shared" si="385"/>
        <v>13550896.079556949</v>
      </c>
      <c r="V924" s="350">
        <f t="shared" si="386"/>
        <v>71845906.920996666</v>
      </c>
      <c r="W924" s="365"/>
      <c r="X924" s="377">
        <f t="shared" si="364"/>
        <v>0</v>
      </c>
      <c r="Y924" s="377">
        <f t="shared" si="365"/>
        <v>0</v>
      </c>
      <c r="Z924" s="377">
        <f t="shared" si="366"/>
        <v>0</v>
      </c>
      <c r="AA924" s="377">
        <f t="shared" si="367"/>
        <v>0</v>
      </c>
      <c r="AB924" s="377">
        <f t="shared" si="368"/>
        <v>0</v>
      </c>
      <c r="AC924" s="377">
        <f t="shared" si="369"/>
        <v>0</v>
      </c>
      <c r="AD924" s="376"/>
      <c r="AE924" s="332">
        <v>909</v>
      </c>
      <c r="AF924" s="350">
        <v>485173.44067448442</v>
      </c>
      <c r="AG924" s="350">
        <v>483425.03000413981</v>
      </c>
      <c r="AH924" s="350">
        <v>481534.20958264853</v>
      </c>
      <c r="AI924" s="350">
        <v>479265.76572714996</v>
      </c>
      <c r="AJ924" s="350">
        <v>476411.32473005535</v>
      </c>
      <c r="AK924" s="348">
        <v>2405809.7707184781</v>
      </c>
      <c r="AL924" s="369"/>
      <c r="AM924" s="350">
        <v>14047632.37539367</v>
      </c>
      <c r="AN924" s="350">
        <v>13923875.721383275</v>
      </c>
      <c r="AO924" s="350">
        <v>13788208.802078171</v>
      </c>
      <c r="AP924" s="350">
        <v>13614117.266119195</v>
      </c>
      <c r="AQ924" s="350">
        <v>13378912.046233367</v>
      </c>
      <c r="AR924" s="348">
        <v>68752746.211207688</v>
      </c>
      <c r="AS924" s="369"/>
      <c r="AT924" s="350">
        <f t="shared" si="387"/>
        <v>13562458.934719186</v>
      </c>
      <c r="AU924" s="350">
        <f t="shared" si="370"/>
        <v>13440450.691379135</v>
      </c>
      <c r="AV924" s="350">
        <f t="shared" si="371"/>
        <v>13306674.592495522</v>
      </c>
      <c r="AW924" s="350">
        <f t="shared" si="372"/>
        <v>13134851.500392046</v>
      </c>
      <c r="AX924" s="350">
        <f t="shared" si="373"/>
        <v>12902500.721503312</v>
      </c>
      <c r="AY924" s="350">
        <f t="shared" si="374"/>
        <v>66346936.44048921</v>
      </c>
      <c r="AZ924" s="365"/>
      <c r="BA924" s="377">
        <f t="shared" si="375"/>
        <v>0</v>
      </c>
      <c r="BB924" s="377">
        <f t="shared" si="376"/>
        <v>0</v>
      </c>
      <c r="BC924" s="377">
        <f t="shared" si="377"/>
        <v>0</v>
      </c>
      <c r="BD924" s="377">
        <f t="shared" si="378"/>
        <v>0</v>
      </c>
      <c r="BE924" s="377">
        <f t="shared" si="379"/>
        <v>0</v>
      </c>
      <c r="BF924" s="377">
        <f t="shared" si="380"/>
        <v>0</v>
      </c>
      <c r="BG924" s="328"/>
    </row>
    <row r="925" spans="2:59">
      <c r="B925" s="332">
        <v>910</v>
      </c>
      <c r="C925" s="350">
        <v>4037125.5917357574</v>
      </c>
      <c r="D925" s="350">
        <v>4022577.075946643</v>
      </c>
      <c r="E925" s="350">
        <v>4006843.5693837795</v>
      </c>
      <c r="F925" s="350">
        <v>3987967.8602565075</v>
      </c>
      <c r="G925" s="350">
        <v>3964216.0720641227</v>
      </c>
      <c r="H925" s="348">
        <v>20018730.169386812</v>
      </c>
      <c r="I925" s="369"/>
      <c r="J925" s="350">
        <v>14438254.865918595</v>
      </c>
      <c r="K925" s="350">
        <v>14146885.351198893</v>
      </c>
      <c r="L925" s="350">
        <v>13846626.773233259</v>
      </c>
      <c r="M925" s="350">
        <v>13515529.661856709</v>
      </c>
      <c r="N925" s="350">
        <v>13135136.296260927</v>
      </c>
      <c r="O925" s="348">
        <v>69082432.948468387</v>
      </c>
      <c r="P925" s="369"/>
      <c r="Q925" s="350">
        <f t="shared" si="381"/>
        <v>10401129.274182837</v>
      </c>
      <c r="R925" s="350">
        <f t="shared" si="382"/>
        <v>10124308.275252249</v>
      </c>
      <c r="S925" s="350">
        <f t="shared" si="383"/>
        <v>9839783.2038494796</v>
      </c>
      <c r="T925" s="350">
        <f t="shared" si="384"/>
        <v>9527561.8016002011</v>
      </c>
      <c r="U925" s="350">
        <f t="shared" si="385"/>
        <v>9170920.2241968047</v>
      </c>
      <c r="V925" s="350">
        <f t="shared" si="386"/>
        <v>49063702.779081576</v>
      </c>
      <c r="W925" s="365"/>
      <c r="X925" s="377">
        <f t="shared" si="364"/>
        <v>0</v>
      </c>
      <c r="Y925" s="377">
        <f t="shared" si="365"/>
        <v>0</v>
      </c>
      <c r="Z925" s="377">
        <f t="shared" si="366"/>
        <v>0</v>
      </c>
      <c r="AA925" s="377">
        <f t="shared" si="367"/>
        <v>0</v>
      </c>
      <c r="AB925" s="377">
        <f t="shared" si="368"/>
        <v>0</v>
      </c>
      <c r="AC925" s="377">
        <f t="shared" si="369"/>
        <v>0</v>
      </c>
      <c r="AD925" s="376"/>
      <c r="AE925" s="332">
        <v>910</v>
      </c>
      <c r="AF925" s="350">
        <v>551366.04905819357</v>
      </c>
      <c r="AG925" s="350">
        <v>549379.10129349574</v>
      </c>
      <c r="AH925" s="350">
        <v>547230.31469910406</v>
      </c>
      <c r="AI925" s="350">
        <v>544652.38519748545</v>
      </c>
      <c r="AJ925" s="350">
        <v>541408.51048610383</v>
      </c>
      <c r="AK925" s="348">
        <v>2734036.3607343826</v>
      </c>
      <c r="AL925" s="369"/>
      <c r="AM925" s="350">
        <v>14146930.505978592</v>
      </c>
      <c r="AN925" s="350">
        <v>14019387.080922769</v>
      </c>
      <c r="AO925" s="350">
        <v>13879908.663468188</v>
      </c>
      <c r="AP925" s="350">
        <v>13701887.527557781</v>
      </c>
      <c r="AQ925" s="350">
        <v>13462560.468148289</v>
      </c>
      <c r="AR925" s="348">
        <v>69210674.246075615</v>
      </c>
      <c r="AS925" s="369"/>
      <c r="AT925" s="350">
        <f t="shared" si="387"/>
        <v>13595564.456920398</v>
      </c>
      <c r="AU925" s="350">
        <f t="shared" si="370"/>
        <v>13470007.979629274</v>
      </c>
      <c r="AV925" s="350">
        <f t="shared" si="371"/>
        <v>13332678.348769084</v>
      </c>
      <c r="AW925" s="350">
        <f t="shared" si="372"/>
        <v>13157235.142360296</v>
      </c>
      <c r="AX925" s="350">
        <f t="shared" si="373"/>
        <v>12921151.957662186</v>
      </c>
      <c r="AY925" s="350">
        <f t="shared" si="374"/>
        <v>66476637.885341235</v>
      </c>
      <c r="AZ925" s="365"/>
      <c r="BA925" s="377">
        <f t="shared" si="375"/>
        <v>0</v>
      </c>
      <c r="BB925" s="377">
        <f t="shared" si="376"/>
        <v>0</v>
      </c>
      <c r="BC925" s="377">
        <f t="shared" si="377"/>
        <v>0</v>
      </c>
      <c r="BD925" s="377">
        <f t="shared" si="378"/>
        <v>0</v>
      </c>
      <c r="BE925" s="377">
        <f t="shared" si="379"/>
        <v>0</v>
      </c>
      <c r="BF925" s="377">
        <f t="shared" si="380"/>
        <v>0</v>
      </c>
      <c r="BG925" s="328"/>
    </row>
    <row r="926" spans="2:59">
      <c r="B926" s="332">
        <v>911</v>
      </c>
      <c r="C926" s="350">
        <v>4289303.5475513451</v>
      </c>
      <c r="D926" s="350">
        <v>4273846.2626668718</v>
      </c>
      <c r="E926" s="350">
        <v>4257129.9668811616</v>
      </c>
      <c r="F926" s="350">
        <v>4237075.1916995607</v>
      </c>
      <c r="G926" s="350">
        <v>4211839.7544957157</v>
      </c>
      <c r="H926" s="348">
        <v>21269194.723294653</v>
      </c>
      <c r="I926" s="369"/>
      <c r="J926" s="350">
        <v>13704551.676617399</v>
      </c>
      <c r="K926" s="350">
        <v>13406770.098778399</v>
      </c>
      <c r="L926" s="350">
        <v>13100984.451991493</v>
      </c>
      <c r="M926" s="350">
        <v>12767045.946118804</v>
      </c>
      <c r="N926" s="350">
        <v>12388063.245739218</v>
      </c>
      <c r="O926" s="348">
        <v>65367415.419245303</v>
      </c>
      <c r="P926" s="369"/>
      <c r="Q926" s="350">
        <f t="shared" si="381"/>
        <v>9415248.1290660538</v>
      </c>
      <c r="R926" s="350">
        <f t="shared" si="382"/>
        <v>9132923.8361115269</v>
      </c>
      <c r="S926" s="350">
        <f t="shared" si="383"/>
        <v>8843854.4851103313</v>
      </c>
      <c r="T926" s="350">
        <f t="shared" si="384"/>
        <v>8529970.754419243</v>
      </c>
      <c r="U926" s="350">
        <f t="shared" si="385"/>
        <v>8176223.4912435021</v>
      </c>
      <c r="V926" s="350">
        <f t="shared" si="386"/>
        <v>44098220.69595065</v>
      </c>
      <c r="W926" s="365"/>
      <c r="X926" s="377">
        <f t="shared" si="364"/>
        <v>0</v>
      </c>
      <c r="Y926" s="377">
        <f t="shared" si="365"/>
        <v>0</v>
      </c>
      <c r="Z926" s="377">
        <f t="shared" si="366"/>
        <v>0</v>
      </c>
      <c r="AA926" s="377">
        <f t="shared" si="367"/>
        <v>0</v>
      </c>
      <c r="AB926" s="377">
        <f t="shared" si="368"/>
        <v>0</v>
      </c>
      <c r="AC926" s="377">
        <f t="shared" si="369"/>
        <v>0</v>
      </c>
      <c r="AD926" s="376"/>
      <c r="AE926" s="332">
        <v>911</v>
      </c>
      <c r="AF926" s="350">
        <v>703684.00561720028</v>
      </c>
      <c r="AG926" s="350">
        <v>701148.15241332026</v>
      </c>
      <c r="AH926" s="350">
        <v>698405.75149737555</v>
      </c>
      <c r="AI926" s="350">
        <v>695115.65454454999</v>
      </c>
      <c r="AJ926" s="350">
        <v>690975.64129106014</v>
      </c>
      <c r="AK926" s="348">
        <v>3489329.205363506</v>
      </c>
      <c r="AL926" s="369"/>
      <c r="AM926" s="350">
        <v>21091227.116851456</v>
      </c>
      <c r="AN926" s="350">
        <v>20906566.629577767</v>
      </c>
      <c r="AO926" s="350">
        <v>20704000.517848339</v>
      </c>
      <c r="AP926" s="350">
        <v>20443682.823156606</v>
      </c>
      <c r="AQ926" s="350">
        <v>20091513.977077652</v>
      </c>
      <c r="AR926" s="348">
        <v>103236991.06451182</v>
      </c>
      <c r="AS926" s="369"/>
      <c r="AT926" s="350">
        <f t="shared" si="387"/>
        <v>20387543.111234255</v>
      </c>
      <c r="AU926" s="350">
        <f t="shared" si="370"/>
        <v>20205418.477164447</v>
      </c>
      <c r="AV926" s="350">
        <f t="shared" si="371"/>
        <v>20005594.766350962</v>
      </c>
      <c r="AW926" s="350">
        <f t="shared" si="372"/>
        <v>19748567.168612055</v>
      </c>
      <c r="AX926" s="350">
        <f t="shared" si="373"/>
        <v>19400538.335786592</v>
      </c>
      <c r="AY926" s="350">
        <f t="shared" si="374"/>
        <v>99747661.859148309</v>
      </c>
      <c r="AZ926" s="365"/>
      <c r="BA926" s="377">
        <f t="shared" si="375"/>
        <v>0</v>
      </c>
      <c r="BB926" s="377">
        <f t="shared" si="376"/>
        <v>0</v>
      </c>
      <c r="BC926" s="377">
        <f t="shared" si="377"/>
        <v>0</v>
      </c>
      <c r="BD926" s="377">
        <f t="shared" si="378"/>
        <v>0</v>
      </c>
      <c r="BE926" s="377">
        <f t="shared" si="379"/>
        <v>0</v>
      </c>
      <c r="BF926" s="377">
        <f t="shared" si="380"/>
        <v>0</v>
      </c>
      <c r="BG926" s="328"/>
    </row>
    <row r="927" spans="2:59">
      <c r="B927" s="332">
        <v>912</v>
      </c>
      <c r="C927" s="350">
        <v>4430481.6394054294</v>
      </c>
      <c r="D927" s="350">
        <v>4414515.5936088311</v>
      </c>
      <c r="E927" s="350">
        <v>4397249.0978394328</v>
      </c>
      <c r="F927" s="350">
        <v>4376534.2399984188</v>
      </c>
      <c r="G927" s="350">
        <v>4350468.2038798425</v>
      </c>
      <c r="H927" s="348">
        <v>21969248.774731956</v>
      </c>
      <c r="I927" s="369"/>
      <c r="J927" s="350">
        <v>15625694.29099682</v>
      </c>
      <c r="K927" s="350">
        <v>15307516.196346985</v>
      </c>
      <c r="L927" s="350">
        <v>14979776.086127589</v>
      </c>
      <c r="M927" s="350">
        <v>14618811.211792747</v>
      </c>
      <c r="N927" s="350">
        <v>14204730.119757285</v>
      </c>
      <c r="O927" s="348">
        <v>74736527.905021414</v>
      </c>
      <c r="P927" s="369"/>
      <c r="Q927" s="350">
        <f t="shared" si="381"/>
        <v>11195212.65159139</v>
      </c>
      <c r="R927" s="350">
        <f t="shared" si="382"/>
        <v>10893000.602738153</v>
      </c>
      <c r="S927" s="350">
        <f t="shared" si="383"/>
        <v>10582526.988288157</v>
      </c>
      <c r="T927" s="350">
        <f t="shared" si="384"/>
        <v>10242276.971794328</v>
      </c>
      <c r="U927" s="350">
        <f t="shared" si="385"/>
        <v>9854261.9158774428</v>
      </c>
      <c r="V927" s="350">
        <f t="shared" si="386"/>
        <v>52767279.130289458</v>
      </c>
      <c r="W927" s="365"/>
      <c r="X927" s="377">
        <f t="shared" si="364"/>
        <v>0</v>
      </c>
      <c r="Y927" s="377">
        <f t="shared" si="365"/>
        <v>0</v>
      </c>
      <c r="Z927" s="377">
        <f t="shared" si="366"/>
        <v>0</v>
      </c>
      <c r="AA927" s="377">
        <f t="shared" si="367"/>
        <v>0</v>
      </c>
      <c r="AB927" s="377">
        <f t="shared" si="368"/>
        <v>0</v>
      </c>
      <c r="AC927" s="377">
        <f t="shared" si="369"/>
        <v>0</v>
      </c>
      <c r="AD927" s="376"/>
      <c r="AE927" s="332">
        <v>912</v>
      </c>
      <c r="AF927" s="350">
        <v>410566.71495639766</v>
      </c>
      <c r="AG927" s="350">
        <v>409087.1631814281</v>
      </c>
      <c r="AH927" s="350">
        <v>407487.10047406936</v>
      </c>
      <c r="AI927" s="350">
        <v>405567.48273794533</v>
      </c>
      <c r="AJ927" s="350">
        <v>403151.97858012322</v>
      </c>
      <c r="AK927" s="348">
        <v>2035860.4399299638</v>
      </c>
      <c r="AL927" s="369"/>
      <c r="AM927" s="350">
        <v>11679373.567554681</v>
      </c>
      <c r="AN927" s="350">
        <v>11576147.29299181</v>
      </c>
      <c r="AO927" s="350">
        <v>11463025.487640403</v>
      </c>
      <c r="AP927" s="350">
        <v>11317974.565256264</v>
      </c>
      <c r="AQ927" s="350">
        <v>11122140.434058953</v>
      </c>
      <c r="AR927" s="348">
        <v>57158661.347502112</v>
      </c>
      <c r="AS927" s="369"/>
      <c r="AT927" s="350">
        <f t="shared" si="387"/>
        <v>11268806.852598283</v>
      </c>
      <c r="AU927" s="350">
        <f t="shared" si="370"/>
        <v>11167060.129810382</v>
      </c>
      <c r="AV927" s="350">
        <f t="shared" si="371"/>
        <v>11055538.387166334</v>
      </c>
      <c r="AW927" s="350">
        <f t="shared" si="372"/>
        <v>10912407.082518319</v>
      </c>
      <c r="AX927" s="350">
        <f t="shared" si="373"/>
        <v>10718988.45547883</v>
      </c>
      <c r="AY927" s="350">
        <f t="shared" si="374"/>
        <v>55122800.90757215</v>
      </c>
      <c r="AZ927" s="365"/>
      <c r="BA927" s="377">
        <f t="shared" si="375"/>
        <v>0</v>
      </c>
      <c r="BB927" s="377">
        <f t="shared" si="376"/>
        <v>0</v>
      </c>
      <c r="BC927" s="377">
        <f t="shared" si="377"/>
        <v>0</v>
      </c>
      <c r="BD927" s="377">
        <f t="shared" si="378"/>
        <v>0</v>
      </c>
      <c r="BE927" s="377">
        <f t="shared" si="379"/>
        <v>0</v>
      </c>
      <c r="BF927" s="377">
        <f t="shared" si="380"/>
        <v>0</v>
      </c>
      <c r="BG927" s="328"/>
    </row>
    <row r="928" spans="2:59">
      <c r="B928" s="332">
        <v>913</v>
      </c>
      <c r="C928" s="350">
        <v>5956759.0595549233</v>
      </c>
      <c r="D928" s="350">
        <v>5935292.7956845881</v>
      </c>
      <c r="E928" s="350">
        <v>5912078.0837249812</v>
      </c>
      <c r="F928" s="350">
        <v>5884227.0672543598</v>
      </c>
      <c r="G928" s="350">
        <v>5849181.4199786745</v>
      </c>
      <c r="H928" s="348">
        <v>29537538.426197529</v>
      </c>
      <c r="I928" s="369"/>
      <c r="J928" s="350">
        <v>19258800.877176885</v>
      </c>
      <c r="K928" s="350">
        <v>18843624.009843376</v>
      </c>
      <c r="L928" s="350">
        <v>18417131.939739041</v>
      </c>
      <c r="M928" s="350">
        <v>17950903.58282271</v>
      </c>
      <c r="N928" s="350">
        <v>17421104.325980473</v>
      </c>
      <c r="O928" s="348">
        <v>91891564.735562488</v>
      </c>
      <c r="P928" s="369"/>
      <c r="Q928" s="350">
        <f t="shared" si="381"/>
        <v>13302041.817621961</v>
      </c>
      <c r="R928" s="350">
        <f t="shared" si="382"/>
        <v>12908331.214158788</v>
      </c>
      <c r="S928" s="350">
        <f t="shared" si="383"/>
        <v>12505053.85601406</v>
      </c>
      <c r="T928" s="350">
        <f t="shared" si="384"/>
        <v>12066676.51556835</v>
      </c>
      <c r="U928" s="350">
        <f t="shared" si="385"/>
        <v>11571922.906001799</v>
      </c>
      <c r="V928" s="350">
        <f t="shared" si="386"/>
        <v>62354026.30936496</v>
      </c>
      <c r="W928" s="365"/>
      <c r="X928" s="377">
        <f t="shared" si="364"/>
        <v>0</v>
      </c>
      <c r="Y928" s="377">
        <f t="shared" si="365"/>
        <v>0</v>
      </c>
      <c r="Z928" s="377">
        <f t="shared" si="366"/>
        <v>0</v>
      </c>
      <c r="AA928" s="377">
        <f t="shared" si="367"/>
        <v>0</v>
      </c>
      <c r="AB928" s="377">
        <f t="shared" si="368"/>
        <v>0</v>
      </c>
      <c r="AC928" s="377">
        <f t="shared" si="369"/>
        <v>0</v>
      </c>
      <c r="AD928" s="376"/>
      <c r="AE928" s="332">
        <v>913</v>
      </c>
      <c r="AF928" s="350">
        <v>831183.12471384613</v>
      </c>
      <c r="AG928" s="350">
        <v>828187.80526222964</v>
      </c>
      <c r="AH928" s="350">
        <v>824948.51412538788</v>
      </c>
      <c r="AI928" s="350">
        <v>821062.29098541115</v>
      </c>
      <c r="AJ928" s="350">
        <v>816172.15688413347</v>
      </c>
      <c r="AK928" s="348">
        <v>4121553.8919710084</v>
      </c>
      <c r="AL928" s="369"/>
      <c r="AM928" s="350">
        <v>22501738.589319836</v>
      </c>
      <c r="AN928" s="350">
        <v>22300996.543455824</v>
      </c>
      <c r="AO928" s="350">
        <v>22081227.613396604</v>
      </c>
      <c r="AP928" s="350">
        <v>21800041.607770897</v>
      </c>
      <c r="AQ928" s="350">
        <v>21421169.024590421</v>
      </c>
      <c r="AR928" s="348">
        <v>110105173.37853359</v>
      </c>
      <c r="AS928" s="369"/>
      <c r="AT928" s="350">
        <f t="shared" si="387"/>
        <v>21670555.464605991</v>
      </c>
      <c r="AU928" s="350">
        <f t="shared" si="370"/>
        <v>21472808.738193594</v>
      </c>
      <c r="AV928" s="350">
        <f t="shared" si="371"/>
        <v>21256279.099271215</v>
      </c>
      <c r="AW928" s="350">
        <f t="shared" si="372"/>
        <v>20978979.316785485</v>
      </c>
      <c r="AX928" s="350">
        <f t="shared" si="373"/>
        <v>20604996.867706288</v>
      </c>
      <c r="AY928" s="350">
        <f t="shared" si="374"/>
        <v>105983619.48656258</v>
      </c>
      <c r="AZ928" s="365"/>
      <c r="BA928" s="377">
        <f t="shared" si="375"/>
        <v>0</v>
      </c>
      <c r="BB928" s="377">
        <f t="shared" si="376"/>
        <v>0</v>
      </c>
      <c r="BC928" s="377">
        <f t="shared" si="377"/>
        <v>0</v>
      </c>
      <c r="BD928" s="377">
        <f t="shared" si="378"/>
        <v>0</v>
      </c>
      <c r="BE928" s="377">
        <f t="shared" si="379"/>
        <v>0</v>
      </c>
      <c r="BF928" s="377">
        <f t="shared" si="380"/>
        <v>0</v>
      </c>
      <c r="BG928" s="328"/>
    </row>
    <row r="929" spans="2:59">
      <c r="B929" s="332">
        <v>914</v>
      </c>
      <c r="C929" s="350">
        <v>5722936.6948811449</v>
      </c>
      <c r="D929" s="350">
        <v>5702313.0523974877</v>
      </c>
      <c r="E929" s="350">
        <v>5680009.5941567812</v>
      </c>
      <c r="F929" s="350">
        <v>5653251.8215902075</v>
      </c>
      <c r="G929" s="350">
        <v>5619581.8311164146</v>
      </c>
      <c r="H929" s="348">
        <v>28378092.994142037</v>
      </c>
      <c r="I929" s="369"/>
      <c r="J929" s="350">
        <v>23305877.38243838</v>
      </c>
      <c r="K929" s="350">
        <v>22872380.260522846</v>
      </c>
      <c r="L929" s="350">
        <v>22423782.674234647</v>
      </c>
      <c r="M929" s="350">
        <v>21923465.027018666</v>
      </c>
      <c r="N929" s="350">
        <v>21340542.691128343</v>
      </c>
      <c r="O929" s="348">
        <v>111866048.03534289</v>
      </c>
      <c r="P929" s="369"/>
      <c r="Q929" s="350">
        <f t="shared" si="381"/>
        <v>17582940.687557235</v>
      </c>
      <c r="R929" s="350">
        <f t="shared" si="382"/>
        <v>17170067.20812536</v>
      </c>
      <c r="S929" s="350">
        <f t="shared" si="383"/>
        <v>16743773.080077866</v>
      </c>
      <c r="T929" s="350">
        <f t="shared" si="384"/>
        <v>16270213.205428459</v>
      </c>
      <c r="U929" s="350">
        <f t="shared" si="385"/>
        <v>15720960.860011928</v>
      </c>
      <c r="V929" s="350">
        <f t="shared" si="386"/>
        <v>83487955.041200846</v>
      </c>
      <c r="W929" s="365"/>
      <c r="X929" s="377">
        <f t="shared" si="364"/>
        <v>0</v>
      </c>
      <c r="Y929" s="377">
        <f t="shared" si="365"/>
        <v>0</v>
      </c>
      <c r="Z929" s="377">
        <f t="shared" si="366"/>
        <v>0</v>
      </c>
      <c r="AA929" s="377">
        <f t="shared" si="367"/>
        <v>0</v>
      </c>
      <c r="AB929" s="377">
        <f t="shared" si="368"/>
        <v>0</v>
      </c>
      <c r="AC929" s="377">
        <f t="shared" si="369"/>
        <v>0</v>
      </c>
      <c r="AD929" s="376"/>
      <c r="AE929" s="332">
        <v>914</v>
      </c>
      <c r="AF929" s="350">
        <v>466077.64738016628</v>
      </c>
      <c r="AG929" s="350">
        <v>464398.05187148438</v>
      </c>
      <c r="AH929" s="350">
        <v>462581.6516735637</v>
      </c>
      <c r="AI929" s="350">
        <v>460402.49080706004</v>
      </c>
      <c r="AJ929" s="350">
        <v>457660.39688151062</v>
      </c>
      <c r="AK929" s="348">
        <v>2311120.2386137848</v>
      </c>
      <c r="AL929" s="369"/>
      <c r="AM929" s="350">
        <v>15637565.115801083</v>
      </c>
      <c r="AN929" s="350">
        <v>15503235.213115349</v>
      </c>
      <c r="AO929" s="350">
        <v>15355576.906170081</v>
      </c>
      <c r="AP929" s="350">
        <v>15164964.01120846</v>
      </c>
      <c r="AQ929" s="350">
        <v>14906037.780918786</v>
      </c>
      <c r="AR929" s="348">
        <v>76567379.027213767</v>
      </c>
      <c r="AS929" s="369"/>
      <c r="AT929" s="350">
        <f t="shared" si="387"/>
        <v>15171487.468420917</v>
      </c>
      <c r="AU929" s="350">
        <f t="shared" si="370"/>
        <v>15038837.161243865</v>
      </c>
      <c r="AV929" s="350">
        <f t="shared" si="371"/>
        <v>14892995.254496519</v>
      </c>
      <c r="AW929" s="350">
        <f t="shared" si="372"/>
        <v>14704561.5204014</v>
      </c>
      <c r="AX929" s="350">
        <f t="shared" si="373"/>
        <v>14448377.384037275</v>
      </c>
      <c r="AY929" s="350">
        <f t="shared" si="374"/>
        <v>74256258.788599983</v>
      </c>
      <c r="AZ929" s="365"/>
      <c r="BA929" s="377">
        <f t="shared" si="375"/>
        <v>0</v>
      </c>
      <c r="BB929" s="377">
        <f t="shared" si="376"/>
        <v>0</v>
      </c>
      <c r="BC929" s="377">
        <f t="shared" si="377"/>
        <v>0</v>
      </c>
      <c r="BD929" s="377">
        <f t="shared" si="378"/>
        <v>0</v>
      </c>
      <c r="BE929" s="377">
        <f t="shared" si="379"/>
        <v>0</v>
      </c>
      <c r="BF929" s="377">
        <f t="shared" si="380"/>
        <v>0</v>
      </c>
      <c r="BG929" s="328"/>
    </row>
    <row r="930" spans="2:59">
      <c r="B930" s="332">
        <v>915</v>
      </c>
      <c r="C930" s="350">
        <v>6083020.3298579529</v>
      </c>
      <c r="D930" s="350">
        <v>6061099.0605529789</v>
      </c>
      <c r="E930" s="350">
        <v>6037392.2825231422</v>
      </c>
      <c r="F930" s="350">
        <v>6008950.9274667827</v>
      </c>
      <c r="G930" s="350">
        <v>5973162.4420303795</v>
      </c>
      <c r="H930" s="348">
        <v>30163625.042431235</v>
      </c>
      <c r="I930" s="369"/>
      <c r="J930" s="350">
        <v>18542385.387897275</v>
      </c>
      <c r="K930" s="350">
        <v>18126513.929321483</v>
      </c>
      <c r="L930" s="350">
        <v>17700077.743890293</v>
      </c>
      <c r="M930" s="350">
        <v>17236234.224657826</v>
      </c>
      <c r="N930" s="350">
        <v>16712513.376842385</v>
      </c>
      <c r="O930" s="348">
        <v>88317724.662609249</v>
      </c>
      <c r="P930" s="369"/>
      <c r="Q930" s="350">
        <f t="shared" si="381"/>
        <v>12459365.058039322</v>
      </c>
      <c r="R930" s="350">
        <f t="shared" si="382"/>
        <v>12065414.868768504</v>
      </c>
      <c r="S930" s="350">
        <f t="shared" si="383"/>
        <v>11662685.461367151</v>
      </c>
      <c r="T930" s="350">
        <f t="shared" si="384"/>
        <v>11227283.297191042</v>
      </c>
      <c r="U930" s="350">
        <f t="shared" si="385"/>
        <v>10739350.934812006</v>
      </c>
      <c r="V930" s="350">
        <f t="shared" si="386"/>
        <v>58154099.620178014</v>
      </c>
      <c r="W930" s="365"/>
      <c r="X930" s="377">
        <f t="shared" si="364"/>
        <v>0</v>
      </c>
      <c r="Y930" s="377">
        <f t="shared" si="365"/>
        <v>0</v>
      </c>
      <c r="Z930" s="377">
        <f t="shared" si="366"/>
        <v>0</v>
      </c>
      <c r="AA930" s="377">
        <f t="shared" si="367"/>
        <v>0</v>
      </c>
      <c r="AB930" s="377">
        <f t="shared" si="368"/>
        <v>0</v>
      </c>
      <c r="AC930" s="377">
        <f t="shared" si="369"/>
        <v>0</v>
      </c>
      <c r="AD930" s="376"/>
      <c r="AE930" s="332">
        <v>915</v>
      </c>
      <c r="AF930" s="350">
        <v>353456.74991232844</v>
      </c>
      <c r="AG930" s="350">
        <v>352183.00427573116</v>
      </c>
      <c r="AH930" s="350">
        <v>350805.51081706403</v>
      </c>
      <c r="AI930" s="350">
        <v>349152.91253920185</v>
      </c>
      <c r="AJ930" s="350">
        <v>347073.40580394643</v>
      </c>
      <c r="AK930" s="348">
        <v>1752671.5833482719</v>
      </c>
      <c r="AL930" s="369"/>
      <c r="AM930" s="350">
        <v>10386054.209095718</v>
      </c>
      <c r="AN930" s="350">
        <v>10294799.049366562</v>
      </c>
      <c r="AO930" s="350">
        <v>10194733.110446561</v>
      </c>
      <c r="AP930" s="350">
        <v>10066245.252274934</v>
      </c>
      <c r="AQ930" s="350">
        <v>9892553.1946721692</v>
      </c>
      <c r="AR930" s="348">
        <v>50834384.815855943</v>
      </c>
      <c r="AS930" s="369"/>
      <c r="AT930" s="350">
        <f t="shared" si="387"/>
        <v>10032597.459183389</v>
      </c>
      <c r="AU930" s="350">
        <f t="shared" si="370"/>
        <v>9942616.04509083</v>
      </c>
      <c r="AV930" s="350">
        <f t="shared" si="371"/>
        <v>9843927.5996294972</v>
      </c>
      <c r="AW930" s="350">
        <f t="shared" si="372"/>
        <v>9717092.3397357315</v>
      </c>
      <c r="AX930" s="350">
        <f t="shared" si="373"/>
        <v>9545479.7888682224</v>
      </c>
      <c r="AY930" s="350">
        <f t="shared" si="374"/>
        <v>49081713.232507668</v>
      </c>
      <c r="AZ930" s="365"/>
      <c r="BA930" s="377">
        <f t="shared" si="375"/>
        <v>0</v>
      </c>
      <c r="BB930" s="377">
        <f t="shared" si="376"/>
        <v>0</v>
      </c>
      <c r="BC930" s="377">
        <f t="shared" si="377"/>
        <v>0</v>
      </c>
      <c r="BD930" s="377">
        <f t="shared" si="378"/>
        <v>0</v>
      </c>
      <c r="BE930" s="377">
        <f t="shared" si="379"/>
        <v>0</v>
      </c>
      <c r="BF930" s="377">
        <f t="shared" si="380"/>
        <v>0</v>
      </c>
      <c r="BG930" s="328"/>
    </row>
    <row r="931" spans="2:59">
      <c r="B931" s="332">
        <v>916</v>
      </c>
      <c r="C931" s="350">
        <v>5449909.8890635241</v>
      </c>
      <c r="D931" s="350">
        <v>5430270.1482953401</v>
      </c>
      <c r="E931" s="350">
        <v>5409030.7315226439</v>
      </c>
      <c r="F931" s="350">
        <v>5383549.5044717984</v>
      </c>
      <c r="G931" s="350">
        <v>5351485.8239121446</v>
      </c>
      <c r="H931" s="348">
        <v>27024246.097265452</v>
      </c>
      <c r="I931" s="369"/>
      <c r="J931" s="350">
        <v>17762268.923320588</v>
      </c>
      <c r="K931" s="350">
        <v>17381394.041169338</v>
      </c>
      <c r="L931" s="350">
        <v>16990041.561146982</v>
      </c>
      <c r="M931" s="350">
        <v>16561933.011446703</v>
      </c>
      <c r="N931" s="350">
        <v>16075025.459575385</v>
      </c>
      <c r="O931" s="348">
        <v>84770662.996658996</v>
      </c>
      <c r="P931" s="369"/>
      <c r="Q931" s="350">
        <f t="shared" si="381"/>
        <v>12312359.034257064</v>
      </c>
      <c r="R931" s="350">
        <f t="shared" si="382"/>
        <v>11951123.892873999</v>
      </c>
      <c r="S931" s="350">
        <f t="shared" si="383"/>
        <v>11581010.829624338</v>
      </c>
      <c r="T931" s="350">
        <f t="shared" si="384"/>
        <v>11178383.506974906</v>
      </c>
      <c r="U931" s="350">
        <f t="shared" si="385"/>
        <v>10723539.635663241</v>
      </c>
      <c r="V931" s="350">
        <f t="shared" si="386"/>
        <v>57746416.899393544</v>
      </c>
      <c r="W931" s="365"/>
      <c r="X931" s="377">
        <f t="shared" si="364"/>
        <v>0</v>
      </c>
      <c r="Y931" s="377">
        <f t="shared" si="365"/>
        <v>0</v>
      </c>
      <c r="Z931" s="377">
        <f t="shared" si="366"/>
        <v>0</v>
      </c>
      <c r="AA931" s="377">
        <f t="shared" si="367"/>
        <v>0</v>
      </c>
      <c r="AB931" s="377">
        <f t="shared" si="368"/>
        <v>0</v>
      </c>
      <c r="AC931" s="377">
        <f t="shared" si="369"/>
        <v>0</v>
      </c>
      <c r="AD931" s="376"/>
      <c r="AE931" s="332">
        <v>916</v>
      </c>
      <c r="AF931" s="350">
        <v>356246.9597319063</v>
      </c>
      <c r="AG931" s="350">
        <v>354963.15906712308</v>
      </c>
      <c r="AH931" s="350">
        <v>353574.79158843588</v>
      </c>
      <c r="AI931" s="350">
        <v>351909.14759580413</v>
      </c>
      <c r="AJ931" s="350">
        <v>349813.22510356002</v>
      </c>
      <c r="AK931" s="348">
        <v>1766507.2830868294</v>
      </c>
      <c r="AL931" s="369"/>
      <c r="AM931" s="350">
        <v>10314825.555264153</v>
      </c>
      <c r="AN931" s="350">
        <v>10223954.310870981</v>
      </c>
      <c r="AO931" s="350">
        <v>10124337.652600437</v>
      </c>
      <c r="AP931" s="350">
        <v>9996506.7488936502</v>
      </c>
      <c r="AQ931" s="350">
        <v>9823801.5792136807</v>
      </c>
      <c r="AR931" s="348">
        <v>50483425.8468429</v>
      </c>
      <c r="AS931" s="369"/>
      <c r="AT931" s="350">
        <f t="shared" si="387"/>
        <v>9958578.5955322459</v>
      </c>
      <c r="AU931" s="350">
        <f t="shared" si="370"/>
        <v>9868991.1518038586</v>
      </c>
      <c r="AV931" s="350">
        <f t="shared" si="371"/>
        <v>9770762.8610120006</v>
      </c>
      <c r="AW931" s="350">
        <f t="shared" si="372"/>
        <v>9644597.6012978461</v>
      </c>
      <c r="AX931" s="350">
        <f t="shared" si="373"/>
        <v>9473988.3541101199</v>
      </c>
      <c r="AY931" s="350">
        <f t="shared" si="374"/>
        <v>48716918.563756071</v>
      </c>
      <c r="AZ931" s="365"/>
      <c r="BA931" s="377">
        <f t="shared" si="375"/>
        <v>0</v>
      </c>
      <c r="BB931" s="377">
        <f t="shared" si="376"/>
        <v>0</v>
      </c>
      <c r="BC931" s="377">
        <f t="shared" si="377"/>
        <v>0</v>
      </c>
      <c r="BD931" s="377">
        <f t="shared" si="378"/>
        <v>0</v>
      </c>
      <c r="BE931" s="377">
        <f t="shared" si="379"/>
        <v>0</v>
      </c>
      <c r="BF931" s="377">
        <f t="shared" si="380"/>
        <v>0</v>
      </c>
      <c r="BG931" s="328"/>
    </row>
    <row r="932" spans="2:59">
      <c r="B932" s="332">
        <v>917</v>
      </c>
      <c r="C932" s="350">
        <v>3529182.4787200727</v>
      </c>
      <c r="D932" s="350">
        <v>3516464.4282538127</v>
      </c>
      <c r="E932" s="350">
        <v>3502710.4801962767</v>
      </c>
      <c r="F932" s="350">
        <v>3486209.6752518499</v>
      </c>
      <c r="G932" s="350">
        <v>3465446.2898128568</v>
      </c>
      <c r="H932" s="348">
        <v>17500013.352234866</v>
      </c>
      <c r="I932" s="369"/>
      <c r="J932" s="350">
        <v>15525764.960804241</v>
      </c>
      <c r="K932" s="350">
        <v>15250124.05586395</v>
      </c>
      <c r="L932" s="350">
        <v>14964155.225844124</v>
      </c>
      <c r="M932" s="350">
        <v>14643038.965206329</v>
      </c>
      <c r="N932" s="350">
        <v>14265811.472993392</v>
      </c>
      <c r="O932" s="348">
        <v>74648894.680712029</v>
      </c>
      <c r="P932" s="369"/>
      <c r="Q932" s="350">
        <f t="shared" si="381"/>
        <v>11996582.482084168</v>
      </c>
      <c r="R932" s="350">
        <f t="shared" si="382"/>
        <v>11733659.627610138</v>
      </c>
      <c r="S932" s="350">
        <f t="shared" si="383"/>
        <v>11461444.745647848</v>
      </c>
      <c r="T932" s="350">
        <f t="shared" si="384"/>
        <v>11156829.28995448</v>
      </c>
      <c r="U932" s="350">
        <f t="shared" si="385"/>
        <v>10800365.183180535</v>
      </c>
      <c r="V932" s="350">
        <f t="shared" si="386"/>
        <v>57148881.328477159</v>
      </c>
      <c r="W932" s="365"/>
      <c r="X932" s="377">
        <f t="shared" si="364"/>
        <v>0</v>
      </c>
      <c r="Y932" s="377">
        <f t="shared" si="365"/>
        <v>0</v>
      </c>
      <c r="Z932" s="377">
        <f t="shared" si="366"/>
        <v>0</v>
      </c>
      <c r="AA932" s="377">
        <f t="shared" si="367"/>
        <v>0</v>
      </c>
      <c r="AB932" s="377">
        <f t="shared" si="368"/>
        <v>0</v>
      </c>
      <c r="AC932" s="377">
        <f t="shared" si="369"/>
        <v>0</v>
      </c>
      <c r="AD932" s="376"/>
      <c r="AE932" s="332">
        <v>917</v>
      </c>
      <c r="AF932" s="350">
        <v>475251.8911057997</v>
      </c>
      <c r="AG932" s="350">
        <v>473539.23454249802</v>
      </c>
      <c r="AH932" s="350">
        <v>471687.08043487434</v>
      </c>
      <c r="AI932" s="350">
        <v>469465.02509999397</v>
      </c>
      <c r="AJ932" s="350">
        <v>466668.95596637996</v>
      </c>
      <c r="AK932" s="348">
        <v>2356612.1871495461</v>
      </c>
      <c r="AL932" s="369"/>
      <c r="AM932" s="350">
        <v>13674111.445891919</v>
      </c>
      <c r="AN932" s="350">
        <v>13553507.216361457</v>
      </c>
      <c r="AO932" s="350">
        <v>13421312.233095951</v>
      </c>
      <c r="AP932" s="350">
        <v>13251721.61461544</v>
      </c>
      <c r="AQ932" s="350">
        <v>13022653.680397416</v>
      </c>
      <c r="AR932" s="348">
        <v>66923306.190362178</v>
      </c>
      <c r="AS932" s="369"/>
      <c r="AT932" s="350">
        <f t="shared" si="387"/>
        <v>13198859.55478612</v>
      </c>
      <c r="AU932" s="350">
        <f t="shared" si="370"/>
        <v>13079967.981818959</v>
      </c>
      <c r="AV932" s="350">
        <f t="shared" si="371"/>
        <v>12949625.152661078</v>
      </c>
      <c r="AW932" s="350">
        <f t="shared" si="372"/>
        <v>12782256.589515446</v>
      </c>
      <c r="AX932" s="350">
        <f t="shared" si="373"/>
        <v>12555984.724431036</v>
      </c>
      <c r="AY932" s="350">
        <f t="shared" si="374"/>
        <v>64566694.003212631</v>
      </c>
      <c r="AZ932" s="365"/>
      <c r="BA932" s="377">
        <f t="shared" si="375"/>
        <v>0</v>
      </c>
      <c r="BB932" s="377">
        <f t="shared" si="376"/>
        <v>0</v>
      </c>
      <c r="BC932" s="377">
        <f t="shared" si="377"/>
        <v>0</v>
      </c>
      <c r="BD932" s="377">
        <f t="shared" si="378"/>
        <v>0</v>
      </c>
      <c r="BE932" s="377">
        <f t="shared" si="379"/>
        <v>0</v>
      </c>
      <c r="BF932" s="377">
        <f t="shared" si="380"/>
        <v>0</v>
      </c>
      <c r="BG932" s="328"/>
    </row>
    <row r="933" spans="2:59">
      <c r="B933" s="332">
        <v>918</v>
      </c>
      <c r="C933" s="350">
        <v>3399846.3153871712</v>
      </c>
      <c r="D933" s="350">
        <v>3387594.3512914227</v>
      </c>
      <c r="E933" s="350">
        <v>3374344.4527930031</v>
      </c>
      <c r="F933" s="350">
        <v>3358448.3631944917</v>
      </c>
      <c r="G933" s="350">
        <v>3338445.9065617234</v>
      </c>
      <c r="H933" s="348">
        <v>16858679.389227815</v>
      </c>
      <c r="I933" s="369"/>
      <c r="J933" s="350">
        <v>13785099.49717043</v>
      </c>
      <c r="K933" s="350">
        <v>13528004.922730183</v>
      </c>
      <c r="L933" s="350">
        <v>13261992.666258946</v>
      </c>
      <c r="M933" s="350">
        <v>12965424.941356961</v>
      </c>
      <c r="N933" s="350">
        <v>12620054.274079103</v>
      </c>
      <c r="O933" s="348">
        <v>66160576.301595613</v>
      </c>
      <c r="P933" s="369"/>
      <c r="Q933" s="350">
        <f t="shared" si="381"/>
        <v>10385253.181783259</v>
      </c>
      <c r="R933" s="350">
        <f t="shared" si="382"/>
        <v>10140410.57143876</v>
      </c>
      <c r="S933" s="350">
        <f t="shared" si="383"/>
        <v>9887648.2134659439</v>
      </c>
      <c r="T933" s="350">
        <f t="shared" si="384"/>
        <v>9606976.578162469</v>
      </c>
      <c r="U933" s="350">
        <f t="shared" si="385"/>
        <v>9281608.36751738</v>
      </c>
      <c r="V933" s="350">
        <f t="shared" si="386"/>
        <v>49301896.912367798</v>
      </c>
      <c r="W933" s="365"/>
      <c r="X933" s="377">
        <f t="shared" si="364"/>
        <v>0</v>
      </c>
      <c r="Y933" s="377">
        <f t="shared" si="365"/>
        <v>0</v>
      </c>
      <c r="Z933" s="377">
        <f t="shared" si="366"/>
        <v>0</v>
      </c>
      <c r="AA933" s="377">
        <f t="shared" si="367"/>
        <v>0</v>
      </c>
      <c r="AB933" s="377">
        <f t="shared" si="368"/>
        <v>0</v>
      </c>
      <c r="AC933" s="377">
        <f t="shared" si="369"/>
        <v>0</v>
      </c>
      <c r="AD933" s="376"/>
      <c r="AE933" s="332">
        <v>918</v>
      </c>
      <c r="AF933" s="350">
        <v>532903.89692503517</v>
      </c>
      <c r="AG933" s="350">
        <v>530983.48088091565</v>
      </c>
      <c r="AH933" s="350">
        <v>528906.64508051123</v>
      </c>
      <c r="AI933" s="350">
        <v>526415.03595848207</v>
      </c>
      <c r="AJ933" s="350">
        <v>523279.78039136017</v>
      </c>
      <c r="AK933" s="348">
        <v>2642488.8392363042</v>
      </c>
      <c r="AL933" s="369"/>
      <c r="AM933" s="350">
        <v>15806576.521280916</v>
      </c>
      <c r="AN933" s="350">
        <v>15667928.000020808</v>
      </c>
      <c r="AO933" s="350">
        <v>15515865.560288712</v>
      </c>
      <c r="AP933" s="350">
        <v>15320535.404200576</v>
      </c>
      <c r="AQ933" s="350">
        <v>15056389.611291818</v>
      </c>
      <c r="AR933" s="348">
        <v>77367295.097082824</v>
      </c>
      <c r="AS933" s="369"/>
      <c r="AT933" s="350">
        <f t="shared" si="387"/>
        <v>15273672.624355881</v>
      </c>
      <c r="AU933" s="350">
        <f t="shared" si="370"/>
        <v>15136944.519139891</v>
      </c>
      <c r="AV933" s="350">
        <f t="shared" si="371"/>
        <v>14986958.915208202</v>
      </c>
      <c r="AW933" s="350">
        <f t="shared" si="372"/>
        <v>14794120.368242094</v>
      </c>
      <c r="AX933" s="350">
        <f t="shared" si="373"/>
        <v>14533109.830900459</v>
      </c>
      <c r="AY933" s="350">
        <f t="shared" si="374"/>
        <v>74724806.257846519</v>
      </c>
      <c r="AZ933" s="365"/>
      <c r="BA933" s="377">
        <f t="shared" si="375"/>
        <v>0</v>
      </c>
      <c r="BB933" s="377">
        <f t="shared" si="376"/>
        <v>0</v>
      </c>
      <c r="BC933" s="377">
        <f t="shared" si="377"/>
        <v>0</v>
      </c>
      <c r="BD933" s="377">
        <f t="shared" si="378"/>
        <v>0</v>
      </c>
      <c r="BE933" s="377">
        <f t="shared" si="379"/>
        <v>0</v>
      </c>
      <c r="BF933" s="377">
        <f t="shared" si="380"/>
        <v>0</v>
      </c>
      <c r="BG933" s="328"/>
    </row>
    <row r="934" spans="2:59">
      <c r="B934" s="332">
        <v>919</v>
      </c>
      <c r="C934" s="350">
        <v>3839958.2563779415</v>
      </c>
      <c r="D934" s="350">
        <v>3826120.2689155703</v>
      </c>
      <c r="E934" s="350">
        <v>3811155.1639033514</v>
      </c>
      <c r="F934" s="350">
        <v>3793201.3169245431</v>
      </c>
      <c r="G934" s="350">
        <v>3770609.5314820013</v>
      </c>
      <c r="H934" s="348">
        <v>19041044.537603408</v>
      </c>
      <c r="I934" s="369"/>
      <c r="J934" s="350">
        <v>13933880.445080739</v>
      </c>
      <c r="K934" s="350">
        <v>13655293.978586197</v>
      </c>
      <c r="L934" s="350">
        <v>13368075.786628835</v>
      </c>
      <c r="M934" s="350">
        <v>13050959.045463588</v>
      </c>
      <c r="N934" s="350">
        <v>12686053.681805532</v>
      </c>
      <c r="O934" s="348">
        <v>66694262.937564895</v>
      </c>
      <c r="P934" s="369"/>
      <c r="Q934" s="350">
        <f t="shared" si="381"/>
        <v>10093922.188702798</v>
      </c>
      <c r="R934" s="350">
        <f t="shared" si="382"/>
        <v>9829173.7096706256</v>
      </c>
      <c r="S934" s="350">
        <f t="shared" si="383"/>
        <v>9556920.622725483</v>
      </c>
      <c r="T934" s="350">
        <f t="shared" si="384"/>
        <v>9257757.7285390459</v>
      </c>
      <c r="U934" s="350">
        <f t="shared" si="385"/>
        <v>8915444.1503235307</v>
      </c>
      <c r="V934" s="350">
        <f t="shared" si="386"/>
        <v>47653218.399961486</v>
      </c>
      <c r="W934" s="365"/>
      <c r="X934" s="377">
        <f t="shared" si="364"/>
        <v>0</v>
      </c>
      <c r="Y934" s="377">
        <f t="shared" si="365"/>
        <v>0</v>
      </c>
      <c r="Z934" s="377">
        <f t="shared" si="366"/>
        <v>0</v>
      </c>
      <c r="AA934" s="377">
        <f t="shared" si="367"/>
        <v>0</v>
      </c>
      <c r="AB934" s="377">
        <f t="shared" si="368"/>
        <v>0</v>
      </c>
      <c r="AC934" s="377">
        <f t="shared" si="369"/>
        <v>0</v>
      </c>
      <c r="AD934" s="376"/>
      <c r="AE934" s="332">
        <v>919</v>
      </c>
      <c r="AF934" s="350">
        <v>332078.43565768923</v>
      </c>
      <c r="AG934" s="350">
        <v>330881.73066186742</v>
      </c>
      <c r="AH934" s="350">
        <v>329587.55287916446</v>
      </c>
      <c r="AI934" s="350">
        <v>328034.90958965546</v>
      </c>
      <c r="AJ934" s="350">
        <v>326081.17877604236</v>
      </c>
      <c r="AK934" s="348">
        <v>1646663.807564419</v>
      </c>
      <c r="AL934" s="369"/>
      <c r="AM934" s="350">
        <v>11541323.630133055</v>
      </c>
      <c r="AN934" s="350">
        <v>11442733.898834189</v>
      </c>
      <c r="AO934" s="350">
        <v>11334295.838433092</v>
      </c>
      <c r="AP934" s="350">
        <v>11194125.961092755</v>
      </c>
      <c r="AQ934" s="350">
        <v>11003491.846298326</v>
      </c>
      <c r="AR934" s="348">
        <v>56515971.174791425</v>
      </c>
      <c r="AS934" s="369"/>
      <c r="AT934" s="350">
        <f t="shared" si="387"/>
        <v>11209245.194475366</v>
      </c>
      <c r="AU934" s="350">
        <f t="shared" si="370"/>
        <v>11111852.168172322</v>
      </c>
      <c r="AV934" s="350">
        <f t="shared" si="371"/>
        <v>11004708.285553928</v>
      </c>
      <c r="AW934" s="350">
        <f t="shared" si="372"/>
        <v>10866091.0515031</v>
      </c>
      <c r="AX934" s="350">
        <f t="shared" si="373"/>
        <v>10677410.667522283</v>
      </c>
      <c r="AY934" s="350">
        <f t="shared" si="374"/>
        <v>54869307.367227003</v>
      </c>
      <c r="AZ934" s="365"/>
      <c r="BA934" s="377">
        <f t="shared" si="375"/>
        <v>0</v>
      </c>
      <c r="BB934" s="377">
        <f t="shared" si="376"/>
        <v>0</v>
      </c>
      <c r="BC934" s="377">
        <f t="shared" si="377"/>
        <v>0</v>
      </c>
      <c r="BD934" s="377">
        <f t="shared" si="378"/>
        <v>0</v>
      </c>
      <c r="BE934" s="377">
        <f t="shared" si="379"/>
        <v>0</v>
      </c>
      <c r="BF934" s="377">
        <f t="shared" si="380"/>
        <v>0</v>
      </c>
      <c r="BG934" s="328"/>
    </row>
    <row r="935" spans="2:59">
      <c r="B935" s="332">
        <v>920</v>
      </c>
      <c r="C935" s="350">
        <v>3727335.7543145819</v>
      </c>
      <c r="D935" s="350">
        <v>3713903.6225067484</v>
      </c>
      <c r="E935" s="350">
        <v>3699377.4304872192</v>
      </c>
      <c r="F935" s="350">
        <v>3681950.1535993908</v>
      </c>
      <c r="G935" s="350">
        <v>3660020.9647875261</v>
      </c>
      <c r="H935" s="348">
        <v>18482587.925695464</v>
      </c>
      <c r="I935" s="369"/>
      <c r="J935" s="350">
        <v>12764485.659296893</v>
      </c>
      <c r="K935" s="350">
        <v>12499552.715530757</v>
      </c>
      <c r="L935" s="350">
        <v>12226911.080211598</v>
      </c>
      <c r="M935" s="350">
        <v>11927392.877496209</v>
      </c>
      <c r="N935" s="350">
        <v>11584897.526550811</v>
      </c>
      <c r="O935" s="348">
        <v>61003239.859086275</v>
      </c>
      <c r="P935" s="369"/>
      <c r="Q935" s="350">
        <f t="shared" si="381"/>
        <v>9037149.9049823098</v>
      </c>
      <c r="R935" s="350">
        <f t="shared" si="382"/>
        <v>8785649.093024008</v>
      </c>
      <c r="S935" s="350">
        <f t="shared" si="383"/>
        <v>8527533.6497243792</v>
      </c>
      <c r="T935" s="350">
        <f t="shared" si="384"/>
        <v>8245442.7238968182</v>
      </c>
      <c r="U935" s="350">
        <f t="shared" si="385"/>
        <v>7924876.5617632847</v>
      </c>
      <c r="V935" s="350">
        <f t="shared" si="386"/>
        <v>42520651.933390811</v>
      </c>
      <c r="W935" s="365"/>
      <c r="X935" s="377">
        <f t="shared" si="364"/>
        <v>0</v>
      </c>
      <c r="Y935" s="377">
        <f t="shared" si="365"/>
        <v>0</v>
      </c>
      <c r="Z935" s="377">
        <f t="shared" si="366"/>
        <v>0</v>
      </c>
      <c r="AA935" s="377">
        <f t="shared" si="367"/>
        <v>0</v>
      </c>
      <c r="AB935" s="377">
        <f t="shared" si="368"/>
        <v>0</v>
      </c>
      <c r="AC935" s="377">
        <f t="shared" si="369"/>
        <v>0</v>
      </c>
      <c r="AD935" s="376"/>
      <c r="AE935" s="332">
        <v>920</v>
      </c>
      <c r="AF935" s="350">
        <v>492667.3897252488</v>
      </c>
      <c r="AG935" s="350">
        <v>490891.97324752709</v>
      </c>
      <c r="AH935" s="350">
        <v>488971.94736935804</v>
      </c>
      <c r="AI935" s="350">
        <v>486668.46531668614</v>
      </c>
      <c r="AJ935" s="350">
        <v>483769.93485877727</v>
      </c>
      <c r="AK935" s="348">
        <v>2442969.7105175974</v>
      </c>
      <c r="AL935" s="369"/>
      <c r="AM935" s="350">
        <v>12953032.908238554</v>
      </c>
      <c r="AN935" s="350">
        <v>12836817.738814358</v>
      </c>
      <c r="AO935" s="350">
        <v>12709663.275600815</v>
      </c>
      <c r="AP935" s="350">
        <v>12547189.058174858</v>
      </c>
      <c r="AQ935" s="350">
        <v>12328536.210296473</v>
      </c>
      <c r="AR935" s="348">
        <v>63375239.191125058</v>
      </c>
      <c r="AS935" s="369"/>
      <c r="AT935" s="350">
        <f t="shared" si="387"/>
        <v>12460365.518513305</v>
      </c>
      <c r="AU935" s="350">
        <f t="shared" si="370"/>
        <v>12345925.765566831</v>
      </c>
      <c r="AV935" s="350">
        <f t="shared" si="371"/>
        <v>12220691.328231458</v>
      </c>
      <c r="AW935" s="350">
        <f t="shared" si="372"/>
        <v>12060520.592858171</v>
      </c>
      <c r="AX935" s="350">
        <f t="shared" si="373"/>
        <v>11844766.275437696</v>
      </c>
      <c r="AY935" s="350">
        <f t="shared" si="374"/>
        <v>60932269.480607457</v>
      </c>
      <c r="AZ935" s="365"/>
      <c r="BA935" s="377">
        <f t="shared" si="375"/>
        <v>0</v>
      </c>
      <c r="BB935" s="377">
        <f t="shared" si="376"/>
        <v>0</v>
      </c>
      <c r="BC935" s="377">
        <f t="shared" si="377"/>
        <v>0</v>
      </c>
      <c r="BD935" s="377">
        <f t="shared" si="378"/>
        <v>0</v>
      </c>
      <c r="BE935" s="377">
        <f t="shared" si="379"/>
        <v>0</v>
      </c>
      <c r="BF935" s="377">
        <f t="shared" si="380"/>
        <v>0</v>
      </c>
      <c r="BG935" s="328"/>
    </row>
    <row r="936" spans="2:59">
      <c r="B936" s="332">
        <v>921</v>
      </c>
      <c r="C936" s="350">
        <v>5949403.4757154286</v>
      </c>
      <c r="D936" s="350">
        <v>5927963.7190282848</v>
      </c>
      <c r="E936" s="350">
        <v>5904777.6732877428</v>
      </c>
      <c r="F936" s="350">
        <v>5876961.0480833501</v>
      </c>
      <c r="G936" s="350">
        <v>5841958.6762186997</v>
      </c>
      <c r="H936" s="348">
        <v>29501064.592333507</v>
      </c>
      <c r="I936" s="369"/>
      <c r="J936" s="350">
        <v>16842462.811381925</v>
      </c>
      <c r="K936" s="350">
        <v>16445042.642802417</v>
      </c>
      <c r="L936" s="350">
        <v>16038428.057855017</v>
      </c>
      <c r="M936" s="350">
        <v>15598872.745237367</v>
      </c>
      <c r="N936" s="350">
        <v>15106549.415421978</v>
      </c>
      <c r="O936" s="348">
        <v>80031355.672698706</v>
      </c>
      <c r="P936" s="369"/>
      <c r="Q936" s="350">
        <f t="shared" si="381"/>
        <v>10893059.335666496</v>
      </c>
      <c r="R936" s="350">
        <f t="shared" si="382"/>
        <v>10517078.923774133</v>
      </c>
      <c r="S936" s="350">
        <f t="shared" si="383"/>
        <v>10133650.384567276</v>
      </c>
      <c r="T936" s="350">
        <f t="shared" si="384"/>
        <v>9721911.6971540172</v>
      </c>
      <c r="U936" s="350">
        <f t="shared" si="385"/>
        <v>9264590.739203278</v>
      </c>
      <c r="V936" s="350">
        <f t="shared" si="386"/>
        <v>50530291.080365196</v>
      </c>
      <c r="W936" s="365"/>
      <c r="X936" s="377">
        <f t="shared" si="364"/>
        <v>0</v>
      </c>
      <c r="Y936" s="377">
        <f t="shared" si="365"/>
        <v>0</v>
      </c>
      <c r="Z936" s="377">
        <f t="shared" si="366"/>
        <v>0</v>
      </c>
      <c r="AA936" s="377">
        <f t="shared" si="367"/>
        <v>0</v>
      </c>
      <c r="AB936" s="377">
        <f t="shared" si="368"/>
        <v>0</v>
      </c>
      <c r="AC936" s="377">
        <f t="shared" si="369"/>
        <v>0</v>
      </c>
      <c r="AD936" s="376"/>
      <c r="AE936" s="332">
        <v>921</v>
      </c>
      <c r="AF936" s="350">
        <v>394460.02230651211</v>
      </c>
      <c r="AG936" s="350">
        <v>393038.51392578485</v>
      </c>
      <c r="AH936" s="350">
        <v>391501.22230363387</v>
      </c>
      <c r="AI936" s="350">
        <v>389656.9119213568</v>
      </c>
      <c r="AJ936" s="350">
        <v>387336.16893546435</v>
      </c>
      <c r="AK936" s="348">
        <v>1955992.8393927519</v>
      </c>
      <c r="AL936" s="369"/>
      <c r="AM936" s="350">
        <v>12581674.487643171</v>
      </c>
      <c r="AN936" s="350">
        <v>12472692.293613726</v>
      </c>
      <c r="AO936" s="350">
        <v>12353004.769810399</v>
      </c>
      <c r="AP936" s="350">
        <v>12198804.441264432</v>
      </c>
      <c r="AQ936" s="350">
        <v>11989714.907981517</v>
      </c>
      <c r="AR936" s="348">
        <v>61595890.900313243</v>
      </c>
      <c r="AS936" s="369"/>
      <c r="AT936" s="350">
        <f t="shared" si="387"/>
        <v>12187214.465336658</v>
      </c>
      <c r="AU936" s="350">
        <f t="shared" si="370"/>
        <v>12079653.779687941</v>
      </c>
      <c r="AV936" s="350">
        <f t="shared" si="371"/>
        <v>11961503.547506765</v>
      </c>
      <c r="AW936" s="350">
        <f t="shared" si="372"/>
        <v>11809147.529343076</v>
      </c>
      <c r="AX936" s="350">
        <f t="shared" si="373"/>
        <v>11602378.739046052</v>
      </c>
      <c r="AY936" s="350">
        <f t="shared" si="374"/>
        <v>59639898.060920492</v>
      </c>
      <c r="AZ936" s="365"/>
      <c r="BA936" s="377">
        <f t="shared" si="375"/>
        <v>0</v>
      </c>
      <c r="BB936" s="377">
        <f t="shared" si="376"/>
        <v>0</v>
      </c>
      <c r="BC936" s="377">
        <f t="shared" si="377"/>
        <v>0</v>
      </c>
      <c r="BD936" s="377">
        <f t="shared" si="378"/>
        <v>0</v>
      </c>
      <c r="BE936" s="377">
        <f t="shared" si="379"/>
        <v>0</v>
      </c>
      <c r="BF936" s="377">
        <f t="shared" si="380"/>
        <v>0</v>
      </c>
      <c r="BG936" s="328"/>
    </row>
    <row r="937" spans="2:59">
      <c r="B937" s="332">
        <v>922</v>
      </c>
      <c r="C937" s="350">
        <v>4501111.1750893667</v>
      </c>
      <c r="D937" s="350">
        <v>4484890.602924508</v>
      </c>
      <c r="E937" s="350">
        <v>4467348.849366378</v>
      </c>
      <c r="F937" s="350">
        <v>4446303.7608845085</v>
      </c>
      <c r="G937" s="350">
        <v>4419822.1870935047</v>
      </c>
      <c r="H937" s="348">
        <v>22319476.575358264</v>
      </c>
      <c r="I937" s="369"/>
      <c r="J937" s="350">
        <v>18392823.283351216</v>
      </c>
      <c r="K937" s="350">
        <v>18051424.533824924</v>
      </c>
      <c r="L937" s="350">
        <v>17698094.032992117</v>
      </c>
      <c r="M937" s="350">
        <v>17303908.81329817</v>
      </c>
      <c r="N937" s="350">
        <v>16844473.814454328</v>
      </c>
      <c r="O937" s="348">
        <v>88290724.477920756</v>
      </c>
      <c r="P937" s="369"/>
      <c r="Q937" s="350">
        <f t="shared" si="381"/>
        <v>13891712.10826185</v>
      </c>
      <c r="R937" s="350">
        <f t="shared" si="382"/>
        <v>13566533.930900417</v>
      </c>
      <c r="S937" s="350">
        <f t="shared" si="383"/>
        <v>13230745.183625739</v>
      </c>
      <c r="T937" s="350">
        <f t="shared" si="384"/>
        <v>12857605.052413661</v>
      </c>
      <c r="U937" s="350">
        <f t="shared" si="385"/>
        <v>12424651.627360824</v>
      </c>
      <c r="V937" s="350">
        <f t="shared" si="386"/>
        <v>65971247.902562492</v>
      </c>
      <c r="W937" s="365"/>
      <c r="X937" s="377">
        <f t="shared" si="364"/>
        <v>0</v>
      </c>
      <c r="Y937" s="377">
        <f t="shared" si="365"/>
        <v>0</v>
      </c>
      <c r="Z937" s="377">
        <f t="shared" si="366"/>
        <v>0</v>
      </c>
      <c r="AA937" s="377">
        <f t="shared" si="367"/>
        <v>0</v>
      </c>
      <c r="AB937" s="377">
        <f t="shared" si="368"/>
        <v>0</v>
      </c>
      <c r="AC937" s="377">
        <f t="shared" si="369"/>
        <v>0</v>
      </c>
      <c r="AD937" s="376"/>
      <c r="AE937" s="332">
        <v>922</v>
      </c>
      <c r="AF937" s="350">
        <v>491010.35163870407</v>
      </c>
      <c r="AG937" s="350">
        <v>489240.90659888223</v>
      </c>
      <c r="AH937" s="350">
        <v>487327.33853804326</v>
      </c>
      <c r="AI937" s="350">
        <v>485031.60401965614</v>
      </c>
      <c r="AJ937" s="350">
        <v>482142.82248254854</v>
      </c>
      <c r="AK937" s="348">
        <v>2434753.0232778341</v>
      </c>
      <c r="AL937" s="369"/>
      <c r="AM937" s="350">
        <v>12679303.882428417</v>
      </c>
      <c r="AN937" s="350">
        <v>12565138.458056325</v>
      </c>
      <c r="AO937" s="350">
        <v>12440273.207603825</v>
      </c>
      <c r="AP937" s="350">
        <v>12280856.006613325</v>
      </c>
      <c r="AQ937" s="350">
        <v>12066480.806856908</v>
      </c>
      <c r="AR937" s="348">
        <v>62032052.361558802</v>
      </c>
      <c r="AS937" s="369"/>
      <c r="AT937" s="350">
        <f t="shared" si="387"/>
        <v>12188293.530789712</v>
      </c>
      <c r="AU937" s="350">
        <f t="shared" si="370"/>
        <v>12075897.551457442</v>
      </c>
      <c r="AV937" s="350">
        <f t="shared" si="371"/>
        <v>11952945.869065782</v>
      </c>
      <c r="AW937" s="350">
        <f t="shared" si="372"/>
        <v>11795824.402593669</v>
      </c>
      <c r="AX937" s="350">
        <f t="shared" si="373"/>
        <v>11584337.984374359</v>
      </c>
      <c r="AY937" s="350">
        <f t="shared" si="374"/>
        <v>59597299.338280968</v>
      </c>
      <c r="AZ937" s="365"/>
      <c r="BA937" s="377">
        <f t="shared" si="375"/>
        <v>0</v>
      </c>
      <c r="BB937" s="377">
        <f t="shared" si="376"/>
        <v>0</v>
      </c>
      <c r="BC937" s="377">
        <f t="shared" si="377"/>
        <v>0</v>
      </c>
      <c r="BD937" s="377">
        <f t="shared" si="378"/>
        <v>0</v>
      </c>
      <c r="BE937" s="377">
        <f t="shared" si="379"/>
        <v>0</v>
      </c>
      <c r="BF937" s="377">
        <f t="shared" si="380"/>
        <v>0</v>
      </c>
      <c r="BG937" s="328"/>
    </row>
    <row r="938" spans="2:59">
      <c r="B938" s="332">
        <v>923</v>
      </c>
      <c r="C938" s="350">
        <v>5213190.6022172468</v>
      </c>
      <c r="D938" s="350">
        <v>5194403.922421285</v>
      </c>
      <c r="E938" s="350">
        <v>5174087.0492674392</v>
      </c>
      <c r="F938" s="350">
        <v>5149712.6107724095</v>
      </c>
      <c r="G938" s="350">
        <v>5119041.6305968426</v>
      </c>
      <c r="H938" s="348">
        <v>25850435.815275222</v>
      </c>
      <c r="I938" s="369"/>
      <c r="J938" s="350">
        <v>20948190.934718799</v>
      </c>
      <c r="K938" s="350">
        <v>20555336.857963473</v>
      </c>
      <c r="L938" s="350">
        <v>20148975.484096788</v>
      </c>
      <c r="M938" s="350">
        <v>19696295.450084329</v>
      </c>
      <c r="N938" s="350">
        <v>19169631.593299247</v>
      </c>
      <c r="O938" s="348">
        <v>100518430.32016262</v>
      </c>
      <c r="P938" s="369"/>
      <c r="Q938" s="350">
        <f t="shared" si="381"/>
        <v>15735000.332501553</v>
      </c>
      <c r="R938" s="350">
        <f t="shared" si="382"/>
        <v>15360932.935542189</v>
      </c>
      <c r="S938" s="350">
        <f t="shared" si="383"/>
        <v>14974888.434829349</v>
      </c>
      <c r="T938" s="350">
        <f t="shared" si="384"/>
        <v>14546582.83931192</v>
      </c>
      <c r="U938" s="350">
        <f t="shared" si="385"/>
        <v>14050589.962702405</v>
      </c>
      <c r="V938" s="350">
        <f t="shared" si="386"/>
        <v>74667994.504887402</v>
      </c>
      <c r="W938" s="365"/>
      <c r="X938" s="377">
        <f t="shared" si="364"/>
        <v>0</v>
      </c>
      <c r="Y938" s="377">
        <f t="shared" si="365"/>
        <v>0</v>
      </c>
      <c r="Z938" s="377">
        <f t="shared" si="366"/>
        <v>0</v>
      </c>
      <c r="AA938" s="377">
        <f t="shared" si="367"/>
        <v>0</v>
      </c>
      <c r="AB938" s="377">
        <f t="shared" si="368"/>
        <v>0</v>
      </c>
      <c r="AC938" s="377">
        <f t="shared" si="369"/>
        <v>0</v>
      </c>
      <c r="AD938" s="376"/>
      <c r="AE938" s="332">
        <v>923</v>
      </c>
      <c r="AF938" s="350">
        <v>562316.90770165599</v>
      </c>
      <c r="AG938" s="350">
        <v>560290.49652759428</v>
      </c>
      <c r="AH938" s="350">
        <v>558099.03219072963</v>
      </c>
      <c r="AI938" s="350">
        <v>555469.90160117077</v>
      </c>
      <c r="AJ938" s="350">
        <v>552161.59924959985</v>
      </c>
      <c r="AK938" s="348">
        <v>2788337.9372707508</v>
      </c>
      <c r="AL938" s="369"/>
      <c r="AM938" s="350">
        <v>16109055.033350106</v>
      </c>
      <c r="AN938" s="350">
        <v>15966861.784097925</v>
      </c>
      <c r="AO938" s="350">
        <v>15811016.129148554</v>
      </c>
      <c r="AP938" s="350">
        <v>15611121.773884825</v>
      </c>
      <c r="AQ938" s="350">
        <v>15341168.310578428</v>
      </c>
      <c r="AR938" s="348">
        <v>78839223.031059831</v>
      </c>
      <c r="AS938" s="369"/>
      <c r="AT938" s="350">
        <f t="shared" si="387"/>
        <v>15546738.12564845</v>
      </c>
      <c r="AU938" s="350">
        <f t="shared" si="370"/>
        <v>15406571.287570331</v>
      </c>
      <c r="AV938" s="350">
        <f t="shared" si="371"/>
        <v>15252917.096957825</v>
      </c>
      <c r="AW938" s="350">
        <f t="shared" si="372"/>
        <v>15055651.872283654</v>
      </c>
      <c r="AX938" s="350">
        <f t="shared" si="373"/>
        <v>14789006.711328829</v>
      </c>
      <c r="AY938" s="350">
        <f t="shared" si="374"/>
        <v>76050885.093789086</v>
      </c>
      <c r="AZ938" s="365"/>
      <c r="BA938" s="377">
        <f t="shared" si="375"/>
        <v>0</v>
      </c>
      <c r="BB938" s="377">
        <f t="shared" si="376"/>
        <v>0</v>
      </c>
      <c r="BC938" s="377">
        <f t="shared" si="377"/>
        <v>0</v>
      </c>
      <c r="BD938" s="377">
        <f t="shared" si="378"/>
        <v>0</v>
      </c>
      <c r="BE938" s="377">
        <f t="shared" si="379"/>
        <v>0</v>
      </c>
      <c r="BF938" s="377">
        <f t="shared" si="380"/>
        <v>0</v>
      </c>
      <c r="BG938" s="328"/>
    </row>
    <row r="939" spans="2:59">
      <c r="B939" s="332">
        <v>924</v>
      </c>
      <c r="C939" s="350">
        <v>3724984.5362723889</v>
      </c>
      <c r="D939" s="350">
        <v>3711560.8775060866</v>
      </c>
      <c r="E939" s="350">
        <v>3697043.8486655722</v>
      </c>
      <c r="F939" s="350">
        <v>3679627.5649724929</v>
      </c>
      <c r="G939" s="350">
        <v>3657712.2091791113</v>
      </c>
      <c r="H939" s="348">
        <v>18470929.03659565</v>
      </c>
      <c r="I939" s="369"/>
      <c r="J939" s="350">
        <v>12149287.857443869</v>
      </c>
      <c r="K939" s="350">
        <v>11888897.955712035</v>
      </c>
      <c r="L939" s="350">
        <v>11621338.85967383</v>
      </c>
      <c r="M939" s="350">
        <v>11328632.170017159</v>
      </c>
      <c r="N939" s="350">
        <v>10995696.909888236</v>
      </c>
      <c r="O939" s="348">
        <v>57983853.75273513</v>
      </c>
      <c r="P939" s="369"/>
      <c r="Q939" s="350">
        <f t="shared" si="381"/>
        <v>8424303.3211714812</v>
      </c>
      <c r="R939" s="350">
        <f t="shared" si="382"/>
        <v>8177337.0782059487</v>
      </c>
      <c r="S939" s="350">
        <f t="shared" si="383"/>
        <v>7924295.011008257</v>
      </c>
      <c r="T939" s="350">
        <f t="shared" si="384"/>
        <v>7649004.6050446657</v>
      </c>
      <c r="U939" s="350">
        <f t="shared" si="385"/>
        <v>7337984.700709125</v>
      </c>
      <c r="V939" s="350">
        <f t="shared" si="386"/>
        <v>39512924.71613948</v>
      </c>
      <c r="W939" s="365"/>
      <c r="X939" s="377">
        <f t="shared" si="364"/>
        <v>0</v>
      </c>
      <c r="Y939" s="377">
        <f t="shared" si="365"/>
        <v>0</v>
      </c>
      <c r="Z939" s="377">
        <f t="shared" si="366"/>
        <v>0</v>
      </c>
      <c r="AA939" s="377">
        <f t="shared" si="367"/>
        <v>0</v>
      </c>
      <c r="AB939" s="377">
        <f t="shared" si="368"/>
        <v>0</v>
      </c>
      <c r="AC939" s="377">
        <f t="shared" si="369"/>
        <v>0</v>
      </c>
      <c r="AD939" s="376"/>
      <c r="AE939" s="332">
        <v>924</v>
      </c>
      <c r="AF939" s="350">
        <v>441384.65892206377</v>
      </c>
      <c r="AG939" s="350">
        <v>439794.04908506846</v>
      </c>
      <c r="AH939" s="350">
        <v>438073.88252841902</v>
      </c>
      <c r="AI939" s="350">
        <v>436010.17451494827</v>
      </c>
      <c r="AJ939" s="350">
        <v>433413.35787106049</v>
      </c>
      <c r="AK939" s="348">
        <v>2188676.12292156</v>
      </c>
      <c r="AL939" s="369"/>
      <c r="AM939" s="350">
        <v>12527117.48392009</v>
      </c>
      <c r="AN939" s="350">
        <v>12416351.371672681</v>
      </c>
      <c r="AO939" s="350">
        <v>12294972.428022867</v>
      </c>
      <c r="AP939" s="350">
        <v>12139349.289339794</v>
      </c>
      <c r="AQ939" s="350">
        <v>11929260.742688591</v>
      </c>
      <c r="AR939" s="348">
        <v>61307051.315644026</v>
      </c>
      <c r="AS939" s="369"/>
      <c r="AT939" s="350">
        <f t="shared" si="387"/>
        <v>12085732.824998027</v>
      </c>
      <c r="AU939" s="350">
        <f t="shared" si="370"/>
        <v>11976557.322587613</v>
      </c>
      <c r="AV939" s="350">
        <f t="shared" si="371"/>
        <v>11856898.545494448</v>
      </c>
      <c r="AW939" s="350">
        <f t="shared" si="372"/>
        <v>11703339.114824846</v>
      </c>
      <c r="AX939" s="350">
        <f t="shared" si="373"/>
        <v>11495847.384817529</v>
      </c>
      <c r="AY939" s="350">
        <f t="shared" si="374"/>
        <v>59118375.19272247</v>
      </c>
      <c r="AZ939" s="365"/>
      <c r="BA939" s="377">
        <f t="shared" si="375"/>
        <v>0</v>
      </c>
      <c r="BB939" s="377">
        <f t="shared" si="376"/>
        <v>0</v>
      </c>
      <c r="BC939" s="377">
        <f t="shared" si="377"/>
        <v>0</v>
      </c>
      <c r="BD939" s="377">
        <f t="shared" si="378"/>
        <v>0</v>
      </c>
      <c r="BE939" s="377">
        <f t="shared" si="379"/>
        <v>0</v>
      </c>
      <c r="BF939" s="377">
        <f t="shared" si="380"/>
        <v>0</v>
      </c>
      <c r="BG939" s="328"/>
    </row>
    <row r="940" spans="2:59">
      <c r="B940" s="332">
        <v>925</v>
      </c>
      <c r="C940" s="350">
        <v>5646918.4249360831</v>
      </c>
      <c r="D940" s="350">
        <v>5626568.7281039599</v>
      </c>
      <c r="E940" s="350">
        <v>5604561.5286547886</v>
      </c>
      <c r="F940" s="350">
        <v>5578159.1819275236</v>
      </c>
      <c r="G940" s="350">
        <v>5544936.4328896143</v>
      </c>
      <c r="H940" s="348">
        <v>28001144.29651197</v>
      </c>
      <c r="I940" s="369"/>
      <c r="J940" s="350">
        <v>19199362.799928147</v>
      </c>
      <c r="K940" s="350">
        <v>18798989.789114997</v>
      </c>
      <c r="L940" s="350">
        <v>18387060.367279872</v>
      </c>
      <c r="M940" s="350">
        <v>17934804.436381493</v>
      </c>
      <c r="N940" s="350">
        <v>17418060.448267858</v>
      </c>
      <c r="O940" s="348">
        <v>91738277.840972364</v>
      </c>
      <c r="P940" s="369"/>
      <c r="Q940" s="350">
        <f t="shared" si="381"/>
        <v>13552444.374992065</v>
      </c>
      <c r="R940" s="350">
        <f t="shared" si="382"/>
        <v>13172421.061011037</v>
      </c>
      <c r="S940" s="350">
        <f t="shared" si="383"/>
        <v>12782498.838625085</v>
      </c>
      <c r="T940" s="350">
        <f t="shared" si="384"/>
        <v>12356645.254453968</v>
      </c>
      <c r="U940" s="350">
        <f t="shared" si="385"/>
        <v>11873124.015378244</v>
      </c>
      <c r="V940" s="350">
        <f t="shared" si="386"/>
        <v>63737133.544460393</v>
      </c>
      <c r="W940" s="365"/>
      <c r="X940" s="377">
        <f t="shared" si="364"/>
        <v>0</v>
      </c>
      <c r="Y940" s="377">
        <f t="shared" si="365"/>
        <v>0</v>
      </c>
      <c r="Z940" s="377">
        <f t="shared" si="366"/>
        <v>0</v>
      </c>
      <c r="AA940" s="377">
        <f t="shared" si="367"/>
        <v>0</v>
      </c>
      <c r="AB940" s="377">
        <f t="shared" si="368"/>
        <v>0</v>
      </c>
      <c r="AC940" s="377">
        <f t="shared" si="369"/>
        <v>0</v>
      </c>
      <c r="AD940" s="376"/>
      <c r="AE940" s="332">
        <v>925</v>
      </c>
      <c r="AF940" s="350">
        <v>521593.05034313147</v>
      </c>
      <c r="AG940" s="350">
        <v>519713.39499033708</v>
      </c>
      <c r="AH940" s="350">
        <v>517680.63987924601</v>
      </c>
      <c r="AI940" s="350">
        <v>515241.91498021432</v>
      </c>
      <c r="AJ940" s="350">
        <v>512173.20498522918</v>
      </c>
      <c r="AK940" s="348">
        <v>2586402.2051781579</v>
      </c>
      <c r="AL940" s="369"/>
      <c r="AM940" s="350">
        <v>12809211.978536915</v>
      </c>
      <c r="AN940" s="350">
        <v>12692691.334674152</v>
      </c>
      <c r="AO940" s="350">
        <v>12565385.446044078</v>
      </c>
      <c r="AP940" s="350">
        <v>12403236.094986681</v>
      </c>
      <c r="AQ940" s="350">
        <v>12185663.270826282</v>
      </c>
      <c r="AR940" s="348">
        <v>62656188.125068113</v>
      </c>
      <c r="AS940" s="369"/>
      <c r="AT940" s="350">
        <f t="shared" si="387"/>
        <v>12287618.928193783</v>
      </c>
      <c r="AU940" s="350">
        <f t="shared" si="370"/>
        <v>12172977.939683814</v>
      </c>
      <c r="AV940" s="350">
        <f t="shared" si="371"/>
        <v>12047704.806164833</v>
      </c>
      <c r="AW940" s="350">
        <f t="shared" si="372"/>
        <v>11887994.180006467</v>
      </c>
      <c r="AX940" s="350">
        <f t="shared" si="373"/>
        <v>11673490.065841053</v>
      </c>
      <c r="AY940" s="350">
        <f t="shared" si="374"/>
        <v>60069785.919889957</v>
      </c>
      <c r="AZ940" s="365"/>
      <c r="BA940" s="377">
        <f t="shared" si="375"/>
        <v>0</v>
      </c>
      <c r="BB940" s="377">
        <f t="shared" si="376"/>
        <v>0</v>
      </c>
      <c r="BC940" s="377">
        <f t="shared" si="377"/>
        <v>0</v>
      </c>
      <c r="BD940" s="377">
        <f t="shared" si="378"/>
        <v>0</v>
      </c>
      <c r="BE940" s="377">
        <f t="shared" si="379"/>
        <v>0</v>
      </c>
      <c r="BF940" s="377">
        <f t="shared" si="380"/>
        <v>0</v>
      </c>
      <c r="BG940" s="328"/>
    </row>
    <row r="941" spans="2:59">
      <c r="B941" s="332">
        <v>926</v>
      </c>
      <c r="C941" s="350">
        <v>5179490.1406126115</v>
      </c>
      <c r="D941" s="350">
        <v>5160824.9065548647</v>
      </c>
      <c r="E941" s="350">
        <v>5140639.3710128376</v>
      </c>
      <c r="F941" s="350">
        <v>5116422.5000980683</v>
      </c>
      <c r="G941" s="350">
        <v>5085949.7912439741</v>
      </c>
      <c r="H941" s="348">
        <v>25683326.709522355</v>
      </c>
      <c r="I941" s="369"/>
      <c r="J941" s="350">
        <v>19174998.100501247</v>
      </c>
      <c r="K941" s="350">
        <v>18796487.6463749</v>
      </c>
      <c r="L941" s="350">
        <v>18405999.387510817</v>
      </c>
      <c r="M941" s="350">
        <v>17974110.061726373</v>
      </c>
      <c r="N941" s="350">
        <v>17476056.328478929</v>
      </c>
      <c r="O941" s="348">
        <v>91827651.52459228</v>
      </c>
      <c r="P941" s="369"/>
      <c r="Q941" s="350">
        <f t="shared" si="381"/>
        <v>13995507.959888635</v>
      </c>
      <c r="R941" s="350">
        <f t="shared" si="382"/>
        <v>13635662.739820035</v>
      </c>
      <c r="S941" s="350">
        <f t="shared" si="383"/>
        <v>13265360.016497981</v>
      </c>
      <c r="T941" s="350">
        <f t="shared" si="384"/>
        <v>12857687.561628304</v>
      </c>
      <c r="U941" s="350">
        <f t="shared" si="385"/>
        <v>12390106.537234955</v>
      </c>
      <c r="V941" s="350">
        <f t="shared" si="386"/>
        <v>66144324.815069929</v>
      </c>
      <c r="W941" s="365"/>
      <c r="X941" s="377">
        <f t="shared" si="364"/>
        <v>0</v>
      </c>
      <c r="Y941" s="377">
        <f t="shared" si="365"/>
        <v>0</v>
      </c>
      <c r="Z941" s="377">
        <f t="shared" si="366"/>
        <v>0</v>
      </c>
      <c r="AA941" s="377">
        <f t="shared" si="367"/>
        <v>0</v>
      </c>
      <c r="AB941" s="377">
        <f t="shared" si="368"/>
        <v>0</v>
      </c>
      <c r="AC941" s="377">
        <f t="shared" si="369"/>
        <v>0</v>
      </c>
      <c r="AD941" s="376"/>
      <c r="AE941" s="332">
        <v>926</v>
      </c>
      <c r="AF941" s="350">
        <v>360733.43866885401</v>
      </c>
      <c r="AG941" s="350">
        <v>359433.47016183537</v>
      </c>
      <c r="AH941" s="350">
        <v>358027.61795442353</v>
      </c>
      <c r="AI941" s="350">
        <v>356340.99728680484</v>
      </c>
      <c r="AJ941" s="350">
        <v>354218.67930722237</v>
      </c>
      <c r="AK941" s="348">
        <v>1788754.2033791402</v>
      </c>
      <c r="AL941" s="369"/>
      <c r="AM941" s="350">
        <v>9028665.0894387309</v>
      </c>
      <c r="AN941" s="350">
        <v>8946855.514919458</v>
      </c>
      <c r="AO941" s="350">
        <v>8857437.331604952</v>
      </c>
      <c r="AP941" s="350">
        <v>8743442.5699774381</v>
      </c>
      <c r="AQ941" s="350">
        <v>8590355.7594005018</v>
      </c>
      <c r="AR941" s="348">
        <v>44166756.265341081</v>
      </c>
      <c r="AS941" s="369"/>
      <c r="AT941" s="350">
        <f t="shared" si="387"/>
        <v>8667931.6507698763</v>
      </c>
      <c r="AU941" s="350">
        <f t="shared" si="370"/>
        <v>8587422.0447576232</v>
      </c>
      <c r="AV941" s="350">
        <f t="shared" si="371"/>
        <v>8499409.7136505283</v>
      </c>
      <c r="AW941" s="350">
        <f t="shared" si="372"/>
        <v>8387101.5726906331</v>
      </c>
      <c r="AX941" s="350">
        <f t="shared" si="373"/>
        <v>8236137.0800932795</v>
      </c>
      <c r="AY941" s="350">
        <f t="shared" si="374"/>
        <v>42378002.061961941</v>
      </c>
      <c r="AZ941" s="365"/>
      <c r="BA941" s="377">
        <f t="shared" si="375"/>
        <v>0</v>
      </c>
      <c r="BB941" s="377">
        <f t="shared" si="376"/>
        <v>0</v>
      </c>
      <c r="BC941" s="377">
        <f t="shared" si="377"/>
        <v>0</v>
      </c>
      <c r="BD941" s="377">
        <f t="shared" si="378"/>
        <v>0</v>
      </c>
      <c r="BE941" s="377">
        <f t="shared" si="379"/>
        <v>0</v>
      </c>
      <c r="BF941" s="377">
        <f t="shared" si="380"/>
        <v>0</v>
      </c>
      <c r="BG941" s="328"/>
    </row>
    <row r="942" spans="2:59">
      <c r="B942" s="332">
        <v>927</v>
      </c>
      <c r="C942" s="350">
        <v>5714974.4828682523</v>
      </c>
      <c r="D942" s="350">
        <v>5694379.53366266</v>
      </c>
      <c r="E942" s="350">
        <v>5672107.1057954496</v>
      </c>
      <c r="F942" s="350">
        <v>5645386.5608044229</v>
      </c>
      <c r="G942" s="350">
        <v>5611763.4147423236</v>
      </c>
      <c r="H942" s="348">
        <v>28338611.09787311</v>
      </c>
      <c r="I942" s="369"/>
      <c r="J942" s="350">
        <v>18110524.012219656</v>
      </c>
      <c r="K942" s="350">
        <v>17714841.107804034</v>
      </c>
      <c r="L942" s="350">
        <v>17308625.068636514</v>
      </c>
      <c r="M942" s="350">
        <v>16865319.265015617</v>
      </c>
      <c r="N942" s="350">
        <v>16362665.981508959</v>
      </c>
      <c r="O942" s="348">
        <v>86361975.435184777</v>
      </c>
      <c r="P942" s="369"/>
      <c r="Q942" s="350">
        <f t="shared" si="381"/>
        <v>12395549.529351404</v>
      </c>
      <c r="R942" s="350">
        <f t="shared" si="382"/>
        <v>12020461.574141374</v>
      </c>
      <c r="S942" s="350">
        <f t="shared" si="383"/>
        <v>11636517.962841064</v>
      </c>
      <c r="T942" s="350">
        <f t="shared" si="384"/>
        <v>11219932.704211194</v>
      </c>
      <c r="U942" s="350">
        <f t="shared" si="385"/>
        <v>10750902.566766635</v>
      </c>
      <c r="V942" s="350">
        <f t="shared" si="386"/>
        <v>58023364.33731167</v>
      </c>
      <c r="W942" s="365"/>
      <c r="X942" s="377">
        <f t="shared" si="364"/>
        <v>0</v>
      </c>
      <c r="Y942" s="377">
        <f t="shared" si="365"/>
        <v>0</v>
      </c>
      <c r="Z942" s="377">
        <f t="shared" si="366"/>
        <v>0</v>
      </c>
      <c r="AA942" s="377">
        <f t="shared" si="367"/>
        <v>0</v>
      </c>
      <c r="AB942" s="377">
        <f t="shared" si="368"/>
        <v>0</v>
      </c>
      <c r="AC942" s="377">
        <f t="shared" si="369"/>
        <v>0</v>
      </c>
      <c r="AD942" s="376"/>
      <c r="AE942" s="332">
        <v>927</v>
      </c>
      <c r="AF942" s="350">
        <v>241293.20785586635</v>
      </c>
      <c r="AG942" s="350">
        <v>240423.66392800753</v>
      </c>
      <c r="AH942" s="350">
        <v>239483.29480073889</v>
      </c>
      <c r="AI942" s="350">
        <v>238355.12073174358</v>
      </c>
      <c r="AJ942" s="350">
        <v>236935.51040874896</v>
      </c>
      <c r="AK942" s="348">
        <v>1196490.7977251052</v>
      </c>
      <c r="AL942" s="369"/>
      <c r="AM942" s="350">
        <v>7642957.0135538261</v>
      </c>
      <c r="AN942" s="350">
        <v>7576676.3277844181</v>
      </c>
      <c r="AO942" s="350">
        <v>7503894.0869395854</v>
      </c>
      <c r="AP942" s="350">
        <v>7410150.5310403053</v>
      </c>
      <c r="AQ942" s="350">
        <v>7283069.9584655259</v>
      </c>
      <c r="AR942" s="348">
        <v>37416747.917783655</v>
      </c>
      <c r="AS942" s="369"/>
      <c r="AT942" s="350">
        <f t="shared" si="387"/>
        <v>7401663.8056979598</v>
      </c>
      <c r="AU942" s="350">
        <f t="shared" si="370"/>
        <v>7336252.6638564104</v>
      </c>
      <c r="AV942" s="350">
        <f t="shared" si="371"/>
        <v>7264410.7921388466</v>
      </c>
      <c r="AW942" s="350">
        <f t="shared" si="372"/>
        <v>7171795.4103085613</v>
      </c>
      <c r="AX942" s="350">
        <f t="shared" si="373"/>
        <v>7046134.448056777</v>
      </c>
      <c r="AY942" s="350">
        <f t="shared" si="374"/>
        <v>36220257.120058551</v>
      </c>
      <c r="AZ942" s="365"/>
      <c r="BA942" s="377">
        <f t="shared" si="375"/>
        <v>0</v>
      </c>
      <c r="BB942" s="377">
        <f t="shared" si="376"/>
        <v>0</v>
      </c>
      <c r="BC942" s="377">
        <f t="shared" si="377"/>
        <v>0</v>
      </c>
      <c r="BD942" s="377">
        <f t="shared" si="378"/>
        <v>0</v>
      </c>
      <c r="BE942" s="377">
        <f t="shared" si="379"/>
        <v>0</v>
      </c>
      <c r="BF942" s="377">
        <f t="shared" si="380"/>
        <v>0</v>
      </c>
      <c r="BG942" s="328"/>
    </row>
    <row r="943" spans="2:59">
      <c r="B943" s="332">
        <v>928</v>
      </c>
      <c r="C943" s="350">
        <v>5256880.7291245023</v>
      </c>
      <c r="D943" s="350">
        <v>5237936.604015857</v>
      </c>
      <c r="E943" s="350">
        <v>5217449.4614753369</v>
      </c>
      <c r="F943" s="350">
        <v>5192870.7484021457</v>
      </c>
      <c r="G943" s="350">
        <v>5161942.7242935086</v>
      </c>
      <c r="H943" s="348">
        <v>26067080.26731135</v>
      </c>
      <c r="I943" s="369"/>
      <c r="J943" s="350">
        <v>19968209.89170808</v>
      </c>
      <c r="K943" s="350">
        <v>19580391.833506439</v>
      </c>
      <c r="L943" s="350">
        <v>19179970.812934812</v>
      </c>
      <c r="M943" s="350">
        <v>18736101.32607856</v>
      </c>
      <c r="N943" s="350">
        <v>18222807.573258065</v>
      </c>
      <c r="O943" s="348">
        <v>95687481.437485963</v>
      </c>
      <c r="P943" s="369"/>
      <c r="Q943" s="350">
        <f t="shared" si="381"/>
        <v>14711329.162583578</v>
      </c>
      <c r="R943" s="350">
        <f t="shared" si="382"/>
        <v>14342455.229490582</v>
      </c>
      <c r="S943" s="350">
        <f t="shared" si="383"/>
        <v>13962521.351459475</v>
      </c>
      <c r="T943" s="350">
        <f t="shared" si="384"/>
        <v>13543230.577676415</v>
      </c>
      <c r="U943" s="350">
        <f t="shared" si="385"/>
        <v>13060864.848964557</v>
      </c>
      <c r="V943" s="350">
        <f t="shared" si="386"/>
        <v>69620401.170174614</v>
      </c>
      <c r="W943" s="365"/>
      <c r="X943" s="377">
        <f t="shared" si="364"/>
        <v>0</v>
      </c>
      <c r="Y943" s="377">
        <f t="shared" si="365"/>
        <v>0</v>
      </c>
      <c r="Z943" s="377">
        <f t="shared" si="366"/>
        <v>0</v>
      </c>
      <c r="AA943" s="377">
        <f t="shared" si="367"/>
        <v>0</v>
      </c>
      <c r="AB943" s="377">
        <f t="shared" si="368"/>
        <v>0</v>
      </c>
      <c r="AC943" s="377">
        <f t="shared" si="369"/>
        <v>0</v>
      </c>
      <c r="AD943" s="376"/>
      <c r="AE943" s="332">
        <v>928</v>
      </c>
      <c r="AF943" s="350">
        <v>390507.59310911811</v>
      </c>
      <c r="AG943" s="350">
        <v>389100.32802533009</v>
      </c>
      <c r="AH943" s="350">
        <v>387578.43983051943</v>
      </c>
      <c r="AI943" s="350">
        <v>385752.60915668361</v>
      </c>
      <c r="AJ943" s="350">
        <v>383455.11966117896</v>
      </c>
      <c r="AK943" s="348">
        <v>1936394.0897828301</v>
      </c>
      <c r="AL943" s="369"/>
      <c r="AM943" s="350">
        <v>12013754.187165437</v>
      </c>
      <c r="AN943" s="350">
        <v>11909048.579335546</v>
      </c>
      <c r="AO943" s="350">
        <v>11794133.990810124</v>
      </c>
      <c r="AP943" s="350">
        <v>11646298.342681507</v>
      </c>
      <c r="AQ943" s="350">
        <v>11446104.034573903</v>
      </c>
      <c r="AR943" s="348">
        <v>58809339.134566516</v>
      </c>
      <c r="AS943" s="369"/>
      <c r="AT943" s="350">
        <f t="shared" si="387"/>
        <v>11623246.594056319</v>
      </c>
      <c r="AU943" s="350">
        <f t="shared" si="370"/>
        <v>11519948.251310216</v>
      </c>
      <c r="AV943" s="350">
        <f t="shared" si="371"/>
        <v>11406555.550979605</v>
      </c>
      <c r="AW943" s="350">
        <f t="shared" si="372"/>
        <v>11260545.733524824</v>
      </c>
      <c r="AX943" s="350">
        <f t="shared" si="373"/>
        <v>11062648.914912725</v>
      </c>
      <c r="AY943" s="350">
        <f t="shared" si="374"/>
        <v>56872945.044783689</v>
      </c>
      <c r="AZ943" s="365"/>
      <c r="BA943" s="377">
        <f t="shared" si="375"/>
        <v>0</v>
      </c>
      <c r="BB943" s="377">
        <f t="shared" si="376"/>
        <v>0</v>
      </c>
      <c r="BC943" s="377">
        <f t="shared" si="377"/>
        <v>0</v>
      </c>
      <c r="BD943" s="377">
        <f t="shared" si="378"/>
        <v>0</v>
      </c>
      <c r="BE943" s="377">
        <f t="shared" si="379"/>
        <v>0</v>
      </c>
      <c r="BF943" s="377">
        <f t="shared" si="380"/>
        <v>0</v>
      </c>
      <c r="BG943" s="328"/>
    </row>
    <row r="944" spans="2:59">
      <c r="B944" s="332">
        <v>929</v>
      </c>
      <c r="C944" s="350">
        <v>6352329.9191109668</v>
      </c>
      <c r="D944" s="350">
        <v>6329438.1437559873</v>
      </c>
      <c r="E944" s="350">
        <v>6304681.8110136036</v>
      </c>
      <c r="F944" s="350">
        <v>6274981.2904058089</v>
      </c>
      <c r="G944" s="350">
        <v>6237608.3647094332</v>
      </c>
      <c r="H944" s="348">
        <v>31499039.528995801</v>
      </c>
      <c r="I944" s="369"/>
      <c r="J944" s="350">
        <v>23992567.203950584</v>
      </c>
      <c r="K944" s="350">
        <v>23524919.330549113</v>
      </c>
      <c r="L944" s="350">
        <v>23042162.610758021</v>
      </c>
      <c r="M944" s="350">
        <v>22507288.917040832</v>
      </c>
      <c r="N944" s="350">
        <v>21889136.783664294</v>
      </c>
      <c r="O944" s="348">
        <v>114956074.84596282</v>
      </c>
      <c r="P944" s="369"/>
      <c r="Q944" s="350">
        <f t="shared" si="381"/>
        <v>17640237.284839615</v>
      </c>
      <c r="R944" s="350">
        <f t="shared" si="382"/>
        <v>17195481.186793126</v>
      </c>
      <c r="S944" s="350">
        <f t="shared" si="383"/>
        <v>16737480.799744418</v>
      </c>
      <c r="T944" s="350">
        <f t="shared" si="384"/>
        <v>16232307.626635022</v>
      </c>
      <c r="U944" s="350">
        <f t="shared" si="385"/>
        <v>15651528.41895486</v>
      </c>
      <c r="V944" s="350">
        <f t="shared" si="386"/>
        <v>83457035.316967025</v>
      </c>
      <c r="W944" s="365"/>
      <c r="X944" s="377">
        <f t="shared" si="364"/>
        <v>0</v>
      </c>
      <c r="Y944" s="377">
        <f t="shared" si="365"/>
        <v>0</v>
      </c>
      <c r="Z944" s="377">
        <f t="shared" si="366"/>
        <v>0</v>
      </c>
      <c r="AA944" s="377">
        <f t="shared" si="367"/>
        <v>0</v>
      </c>
      <c r="AB944" s="377">
        <f t="shared" si="368"/>
        <v>0</v>
      </c>
      <c r="AC944" s="377">
        <f t="shared" si="369"/>
        <v>0</v>
      </c>
      <c r="AD944" s="376"/>
      <c r="AE944" s="332">
        <v>929</v>
      </c>
      <c r="AF944" s="350">
        <v>548856.05875317601</v>
      </c>
      <c r="AG944" s="350">
        <v>546878.15619471506</v>
      </c>
      <c r="AH944" s="350">
        <v>544739.15154741402</v>
      </c>
      <c r="AI944" s="350">
        <v>542172.95758531068</v>
      </c>
      <c r="AJ944" s="350">
        <v>538943.85000384261</v>
      </c>
      <c r="AK944" s="348">
        <v>2721590.1740844585</v>
      </c>
      <c r="AL944" s="369"/>
      <c r="AM944" s="350">
        <v>16078359.1249319</v>
      </c>
      <c r="AN944" s="350">
        <v>15937011.646081045</v>
      </c>
      <c r="AO944" s="350">
        <v>15782026.038424436</v>
      </c>
      <c r="AP944" s="350">
        <v>15583045.36300228</v>
      </c>
      <c r="AQ944" s="350">
        <v>15314091.750662111</v>
      </c>
      <c r="AR944" s="348">
        <v>78694533.923101768</v>
      </c>
      <c r="AS944" s="369"/>
      <c r="AT944" s="350">
        <f t="shared" si="387"/>
        <v>15529503.066178724</v>
      </c>
      <c r="AU944" s="350">
        <f t="shared" si="370"/>
        <v>15390133.48988633</v>
      </c>
      <c r="AV944" s="350">
        <f t="shared" si="371"/>
        <v>15237286.886877023</v>
      </c>
      <c r="AW944" s="350">
        <f t="shared" si="372"/>
        <v>15040872.405416969</v>
      </c>
      <c r="AX944" s="350">
        <f t="shared" si="373"/>
        <v>14775147.900658268</v>
      </c>
      <c r="AY944" s="350">
        <f t="shared" si="374"/>
        <v>75972943.749017313</v>
      </c>
      <c r="AZ944" s="365"/>
      <c r="BA944" s="377">
        <f t="shared" si="375"/>
        <v>0</v>
      </c>
      <c r="BB944" s="377">
        <f t="shared" si="376"/>
        <v>0</v>
      </c>
      <c r="BC944" s="377">
        <f t="shared" si="377"/>
        <v>0</v>
      </c>
      <c r="BD944" s="377">
        <f t="shared" si="378"/>
        <v>0</v>
      </c>
      <c r="BE944" s="377">
        <f t="shared" si="379"/>
        <v>0</v>
      </c>
      <c r="BF944" s="377">
        <f t="shared" si="380"/>
        <v>0</v>
      </c>
      <c r="BG944" s="328"/>
    </row>
    <row r="945" spans="2:59">
      <c r="B945" s="332">
        <v>930</v>
      </c>
      <c r="C945" s="350">
        <v>1695100.0370562258</v>
      </c>
      <c r="D945" s="350">
        <v>1688991.4360001362</v>
      </c>
      <c r="E945" s="350">
        <v>1682385.2834414127</v>
      </c>
      <c r="F945" s="350">
        <v>1674459.789296123</v>
      </c>
      <c r="G945" s="350">
        <v>1664486.9370451351</v>
      </c>
      <c r="H945" s="348">
        <v>8405423.482839033</v>
      </c>
      <c r="I945" s="369"/>
      <c r="J945" s="350">
        <v>4839327.9242468281</v>
      </c>
      <c r="K945" s="350">
        <v>4725802.7280721599</v>
      </c>
      <c r="L945" s="350">
        <v>4609622.1272522286</v>
      </c>
      <c r="M945" s="350">
        <v>4483941.6362641864</v>
      </c>
      <c r="N945" s="350">
        <v>4343044.6004502373</v>
      </c>
      <c r="O945" s="348">
        <v>23001739.016285639</v>
      </c>
      <c r="P945" s="369"/>
      <c r="Q945" s="350">
        <f t="shared" si="381"/>
        <v>3144227.8871906023</v>
      </c>
      <c r="R945" s="350">
        <f t="shared" si="382"/>
        <v>3036811.2920720237</v>
      </c>
      <c r="S945" s="350">
        <f t="shared" si="383"/>
        <v>2927236.8438108158</v>
      </c>
      <c r="T945" s="350">
        <f t="shared" si="384"/>
        <v>2809481.8469680632</v>
      </c>
      <c r="U945" s="350">
        <f t="shared" si="385"/>
        <v>2678557.6634051022</v>
      </c>
      <c r="V945" s="350">
        <f t="shared" si="386"/>
        <v>14596315.533446606</v>
      </c>
      <c r="W945" s="365"/>
      <c r="X945" s="377">
        <f t="shared" si="364"/>
        <v>0</v>
      </c>
      <c r="Y945" s="377">
        <f t="shared" si="365"/>
        <v>0</v>
      </c>
      <c r="Z945" s="377">
        <f t="shared" si="366"/>
        <v>0</v>
      </c>
      <c r="AA945" s="377">
        <f t="shared" si="367"/>
        <v>0</v>
      </c>
      <c r="AB945" s="377">
        <f t="shared" si="368"/>
        <v>0</v>
      </c>
      <c r="AC945" s="377">
        <f t="shared" si="369"/>
        <v>0</v>
      </c>
      <c r="AD945" s="376"/>
      <c r="AE945" s="332">
        <v>930</v>
      </c>
      <c r="AF945" s="350">
        <v>404899.72719836276</v>
      </c>
      <c r="AG945" s="350">
        <v>403440.59744371456</v>
      </c>
      <c r="AH945" s="350">
        <v>401862.6201501129</v>
      </c>
      <c r="AI945" s="350">
        <v>399969.49859552155</v>
      </c>
      <c r="AJ945" s="350">
        <v>397587.33526147582</v>
      </c>
      <c r="AK945" s="348">
        <v>2007759.7786491874</v>
      </c>
      <c r="AL945" s="369"/>
      <c r="AM945" s="350">
        <v>10800812.023522433</v>
      </c>
      <c r="AN945" s="350">
        <v>10704180.788719799</v>
      </c>
      <c r="AO945" s="350">
        <v>10598422.289217589</v>
      </c>
      <c r="AP945" s="350">
        <v>10463198.165266493</v>
      </c>
      <c r="AQ945" s="350">
        <v>10281107.244347861</v>
      </c>
      <c r="AR945" s="348">
        <v>52847720.511074178</v>
      </c>
      <c r="AS945" s="369"/>
      <c r="AT945" s="350">
        <f t="shared" si="387"/>
        <v>10395912.296324071</v>
      </c>
      <c r="AU945" s="350">
        <f t="shared" si="370"/>
        <v>10300740.191276085</v>
      </c>
      <c r="AV945" s="350">
        <f t="shared" si="371"/>
        <v>10196559.669067476</v>
      </c>
      <c r="AW945" s="350">
        <f t="shared" si="372"/>
        <v>10063228.666670972</v>
      </c>
      <c r="AX945" s="350">
        <f t="shared" si="373"/>
        <v>9883519.9090863857</v>
      </c>
      <c r="AY945" s="350">
        <f t="shared" si="374"/>
        <v>50839960.732424989</v>
      </c>
      <c r="AZ945" s="365"/>
      <c r="BA945" s="377">
        <f t="shared" si="375"/>
        <v>0</v>
      </c>
      <c r="BB945" s="377">
        <f t="shared" si="376"/>
        <v>0</v>
      </c>
      <c r="BC945" s="377">
        <f t="shared" si="377"/>
        <v>0</v>
      </c>
      <c r="BD945" s="377">
        <f t="shared" si="378"/>
        <v>0</v>
      </c>
      <c r="BE945" s="377">
        <f t="shared" si="379"/>
        <v>0</v>
      </c>
      <c r="BF945" s="377">
        <f t="shared" si="380"/>
        <v>0</v>
      </c>
      <c r="BG945" s="328"/>
    </row>
    <row r="946" spans="2:59">
      <c r="B946" s="332">
        <v>931</v>
      </c>
      <c r="C946" s="350">
        <v>6032288.1061834097</v>
      </c>
      <c r="D946" s="350">
        <v>6010549.6596666733</v>
      </c>
      <c r="E946" s="350">
        <v>5987040.5955191515</v>
      </c>
      <c r="F946" s="350">
        <v>5958836.4405883998</v>
      </c>
      <c r="G946" s="350">
        <v>5923346.4301446294</v>
      </c>
      <c r="H946" s="348">
        <v>29912061.232102264</v>
      </c>
      <c r="I946" s="369"/>
      <c r="J946" s="350">
        <v>20663950.226558425</v>
      </c>
      <c r="K946" s="350">
        <v>20235141.667426795</v>
      </c>
      <c r="L946" s="350">
        <v>19793852.130287051</v>
      </c>
      <c r="M946" s="350">
        <v>19309048.822581105</v>
      </c>
      <c r="N946" s="350">
        <v>18754664.699768782</v>
      </c>
      <c r="O946" s="348">
        <v>98756657.546622157</v>
      </c>
      <c r="P946" s="369"/>
      <c r="Q946" s="350">
        <f t="shared" si="381"/>
        <v>14631662.120375015</v>
      </c>
      <c r="R946" s="350">
        <f t="shared" si="382"/>
        <v>14224592.007760122</v>
      </c>
      <c r="S946" s="350">
        <f t="shared" si="383"/>
        <v>13806811.5347679</v>
      </c>
      <c r="T946" s="350">
        <f t="shared" si="384"/>
        <v>13350212.381992705</v>
      </c>
      <c r="U946" s="350">
        <f t="shared" si="385"/>
        <v>12831318.269624151</v>
      </c>
      <c r="V946" s="350">
        <f t="shared" si="386"/>
        <v>68844596.314519897</v>
      </c>
      <c r="W946" s="365"/>
      <c r="X946" s="377">
        <f t="shared" si="364"/>
        <v>0</v>
      </c>
      <c r="Y946" s="377">
        <f t="shared" si="365"/>
        <v>0</v>
      </c>
      <c r="Z946" s="377">
        <f t="shared" si="366"/>
        <v>0</v>
      </c>
      <c r="AA946" s="377">
        <f t="shared" si="367"/>
        <v>0</v>
      </c>
      <c r="AB946" s="377">
        <f t="shared" si="368"/>
        <v>0</v>
      </c>
      <c r="AC946" s="377">
        <f t="shared" si="369"/>
        <v>0</v>
      </c>
      <c r="AD946" s="376"/>
      <c r="AE946" s="332">
        <v>931</v>
      </c>
      <c r="AF946" s="350">
        <v>459836.41607054387</v>
      </c>
      <c r="AG946" s="350">
        <v>458179.31197318638</v>
      </c>
      <c r="AH946" s="350">
        <v>456387.23513393721</v>
      </c>
      <c r="AI946" s="350">
        <v>454237.25534295861</v>
      </c>
      <c r="AJ946" s="350">
        <v>451531.88071205519</v>
      </c>
      <c r="AK946" s="348">
        <v>2280172.0992326811</v>
      </c>
      <c r="AL946" s="369"/>
      <c r="AM946" s="350">
        <v>12209977.243690092</v>
      </c>
      <c r="AN946" s="350">
        <v>12100640.782832991</v>
      </c>
      <c r="AO946" s="350">
        <v>11980988.236275524</v>
      </c>
      <c r="AP946" s="350">
        <v>11828030.891742423</v>
      </c>
      <c r="AQ946" s="350">
        <v>11622100.172136111</v>
      </c>
      <c r="AR946" s="348">
        <v>59741737.326677144</v>
      </c>
      <c r="AS946" s="369"/>
      <c r="AT946" s="350">
        <f t="shared" si="387"/>
        <v>11750140.827619549</v>
      </c>
      <c r="AU946" s="350">
        <f t="shared" si="370"/>
        <v>11642461.470859805</v>
      </c>
      <c r="AV946" s="350">
        <f t="shared" si="371"/>
        <v>11524601.001141587</v>
      </c>
      <c r="AW946" s="350">
        <f t="shared" si="372"/>
        <v>11373793.636399465</v>
      </c>
      <c r="AX946" s="350">
        <f t="shared" si="373"/>
        <v>11170568.291424057</v>
      </c>
      <c r="AY946" s="350">
        <f t="shared" si="374"/>
        <v>57461565.227444462</v>
      </c>
      <c r="AZ946" s="365"/>
      <c r="BA946" s="377">
        <f t="shared" si="375"/>
        <v>0</v>
      </c>
      <c r="BB946" s="377">
        <f t="shared" si="376"/>
        <v>0</v>
      </c>
      <c r="BC946" s="377">
        <f t="shared" si="377"/>
        <v>0</v>
      </c>
      <c r="BD946" s="377">
        <f t="shared" si="378"/>
        <v>0</v>
      </c>
      <c r="BE946" s="377">
        <f t="shared" si="379"/>
        <v>0</v>
      </c>
      <c r="BF946" s="377">
        <f t="shared" si="380"/>
        <v>0</v>
      </c>
      <c r="BG946" s="328"/>
    </row>
    <row r="947" spans="2:59">
      <c r="B947" s="332">
        <v>932</v>
      </c>
      <c r="C947" s="350">
        <v>5618693.8539665462</v>
      </c>
      <c r="D947" s="350">
        <v>5598445.8695055321</v>
      </c>
      <c r="E947" s="350">
        <v>5576548.6669991091</v>
      </c>
      <c r="F947" s="350">
        <v>5550278.2851512497</v>
      </c>
      <c r="G947" s="350">
        <v>5517221.590900654</v>
      </c>
      <c r="H947" s="348">
        <v>27861188.266523093</v>
      </c>
      <c r="I947" s="369"/>
      <c r="J947" s="350">
        <v>17038688.983395845</v>
      </c>
      <c r="K947" s="350">
        <v>16655198.250330484</v>
      </c>
      <c r="L947" s="350">
        <v>16262026.990747314</v>
      </c>
      <c r="M947" s="350">
        <v>15834552.820970114</v>
      </c>
      <c r="N947" s="350">
        <v>15352167.769716365</v>
      </c>
      <c r="O947" s="348">
        <v>81142634.815160125</v>
      </c>
      <c r="P947" s="369"/>
      <c r="Q947" s="350">
        <f t="shared" si="381"/>
        <v>11419995.129429299</v>
      </c>
      <c r="R947" s="350">
        <f t="shared" si="382"/>
        <v>11056752.380824951</v>
      </c>
      <c r="S947" s="350">
        <f t="shared" si="383"/>
        <v>10685478.323748205</v>
      </c>
      <c r="T947" s="350">
        <f t="shared" si="384"/>
        <v>10284274.535818864</v>
      </c>
      <c r="U947" s="350">
        <f t="shared" si="385"/>
        <v>9834946.1788157113</v>
      </c>
      <c r="V947" s="350">
        <f t="shared" si="386"/>
        <v>53281446.548637033</v>
      </c>
      <c r="W947" s="365"/>
      <c r="X947" s="377">
        <f t="shared" si="364"/>
        <v>0</v>
      </c>
      <c r="Y947" s="377">
        <f t="shared" si="365"/>
        <v>0</v>
      </c>
      <c r="Z947" s="377">
        <f t="shared" si="366"/>
        <v>0</v>
      </c>
      <c r="AA947" s="377">
        <f t="shared" si="367"/>
        <v>0</v>
      </c>
      <c r="AB947" s="377">
        <f t="shared" si="368"/>
        <v>0</v>
      </c>
      <c r="AC947" s="377">
        <f t="shared" si="369"/>
        <v>0</v>
      </c>
      <c r="AD947" s="376"/>
      <c r="AE947" s="332">
        <v>932</v>
      </c>
      <c r="AF947" s="350">
        <v>520887.57318778685</v>
      </c>
      <c r="AG947" s="350">
        <v>519010.46015013725</v>
      </c>
      <c r="AH947" s="350">
        <v>516980.45442823437</v>
      </c>
      <c r="AI947" s="350">
        <v>514545.02801008441</v>
      </c>
      <c r="AJ947" s="350">
        <v>511480.4685780647</v>
      </c>
      <c r="AK947" s="348">
        <v>2582903.9843543079</v>
      </c>
      <c r="AL947" s="369"/>
      <c r="AM947" s="350">
        <v>12092934.325865077</v>
      </c>
      <c r="AN947" s="350">
        <v>11981608.886944631</v>
      </c>
      <c r="AO947" s="350">
        <v>11860128.267603252</v>
      </c>
      <c r="AP947" s="350">
        <v>11705822.208132526</v>
      </c>
      <c r="AQ947" s="350">
        <v>11499300.619782398</v>
      </c>
      <c r="AR947" s="348">
        <v>59139794.308327883</v>
      </c>
      <c r="AS947" s="369"/>
      <c r="AT947" s="350">
        <f t="shared" si="387"/>
        <v>11572046.75267729</v>
      </c>
      <c r="AU947" s="350">
        <f t="shared" si="370"/>
        <v>11462598.426794494</v>
      </c>
      <c r="AV947" s="350">
        <f t="shared" si="371"/>
        <v>11343147.813175017</v>
      </c>
      <c r="AW947" s="350">
        <f t="shared" si="372"/>
        <v>11191277.180122441</v>
      </c>
      <c r="AX947" s="350">
        <f t="shared" si="373"/>
        <v>10987820.151204333</v>
      </c>
      <c r="AY947" s="350">
        <f t="shared" si="374"/>
        <v>56556890.323973574</v>
      </c>
      <c r="AZ947" s="365"/>
      <c r="BA947" s="377">
        <f t="shared" si="375"/>
        <v>0</v>
      </c>
      <c r="BB947" s="377">
        <f t="shared" si="376"/>
        <v>0</v>
      </c>
      <c r="BC947" s="377">
        <f t="shared" si="377"/>
        <v>0</v>
      </c>
      <c r="BD947" s="377">
        <f t="shared" si="378"/>
        <v>0</v>
      </c>
      <c r="BE947" s="377">
        <f t="shared" si="379"/>
        <v>0</v>
      </c>
      <c r="BF947" s="377">
        <f t="shared" si="380"/>
        <v>0</v>
      </c>
      <c r="BG947" s="328"/>
    </row>
    <row r="948" spans="2:59">
      <c r="B948" s="332">
        <v>933</v>
      </c>
      <c r="C948" s="350">
        <v>5719823.8211763436</v>
      </c>
      <c r="D948" s="350">
        <v>5699211.3964988254</v>
      </c>
      <c r="E948" s="350">
        <v>5676920.0697654868</v>
      </c>
      <c r="F948" s="350">
        <v>5650176.8515389413</v>
      </c>
      <c r="G948" s="350">
        <v>5616525.1751639359</v>
      </c>
      <c r="H948" s="348">
        <v>28362657.314143531</v>
      </c>
      <c r="I948" s="369"/>
      <c r="J948" s="350">
        <v>17061571.517025158</v>
      </c>
      <c r="K948" s="350">
        <v>16673223.803078461</v>
      </c>
      <c r="L948" s="350">
        <v>16275271.224980162</v>
      </c>
      <c r="M948" s="350">
        <v>15843198.561968885</v>
      </c>
      <c r="N948" s="350">
        <v>15356498.762466818</v>
      </c>
      <c r="O948" s="348">
        <v>81209763.869519472</v>
      </c>
      <c r="P948" s="369"/>
      <c r="Q948" s="350">
        <f t="shared" si="381"/>
        <v>11341747.695848815</v>
      </c>
      <c r="R948" s="350">
        <f t="shared" si="382"/>
        <v>10974012.406579636</v>
      </c>
      <c r="S948" s="350">
        <f t="shared" si="383"/>
        <v>10598351.155214675</v>
      </c>
      <c r="T948" s="350">
        <f t="shared" si="384"/>
        <v>10193021.710429944</v>
      </c>
      <c r="U948" s="350">
        <f t="shared" si="385"/>
        <v>9739973.5873028822</v>
      </c>
      <c r="V948" s="350">
        <f t="shared" si="386"/>
        <v>52847106.555375941</v>
      </c>
      <c r="W948" s="365"/>
      <c r="X948" s="377">
        <f t="shared" si="364"/>
        <v>0</v>
      </c>
      <c r="Y948" s="377">
        <f t="shared" si="365"/>
        <v>0</v>
      </c>
      <c r="Z948" s="377">
        <f t="shared" si="366"/>
        <v>0</v>
      </c>
      <c r="AA948" s="377">
        <f t="shared" si="367"/>
        <v>0</v>
      </c>
      <c r="AB948" s="377">
        <f t="shared" si="368"/>
        <v>0</v>
      </c>
      <c r="AC948" s="377">
        <f t="shared" si="369"/>
        <v>0</v>
      </c>
      <c r="AD948" s="376"/>
      <c r="AE948" s="332">
        <v>933</v>
      </c>
      <c r="AF948" s="350">
        <v>662796.02468104765</v>
      </c>
      <c r="AG948" s="350">
        <v>660407.51874757512</v>
      </c>
      <c r="AH948" s="350">
        <v>657824.46668065258</v>
      </c>
      <c r="AI948" s="350">
        <v>654725.54278336244</v>
      </c>
      <c r="AJ948" s="350">
        <v>650826.08748149988</v>
      </c>
      <c r="AK948" s="348">
        <v>3286579.6403741371</v>
      </c>
      <c r="AL948" s="369"/>
      <c r="AM948" s="350">
        <v>17230556.034350187</v>
      </c>
      <c r="AN948" s="350">
        <v>17075617.858644344</v>
      </c>
      <c r="AO948" s="350">
        <v>16906134.912344594</v>
      </c>
      <c r="AP948" s="350">
        <v>16689686.633076306</v>
      </c>
      <c r="AQ948" s="350">
        <v>16398536.062970012</v>
      </c>
      <c r="AR948" s="348">
        <v>84300531.50138545</v>
      </c>
      <c r="AS948" s="369"/>
      <c r="AT948" s="350">
        <f t="shared" si="387"/>
        <v>16567760.009669138</v>
      </c>
      <c r="AU948" s="350">
        <f t="shared" si="370"/>
        <v>16415210.339896768</v>
      </c>
      <c r="AV948" s="350">
        <f t="shared" si="371"/>
        <v>16248310.44566394</v>
      </c>
      <c r="AW948" s="350">
        <f t="shared" si="372"/>
        <v>16034961.090292944</v>
      </c>
      <c r="AX948" s="350">
        <f t="shared" si="373"/>
        <v>15747709.975488512</v>
      </c>
      <c r="AY948" s="350">
        <f t="shared" si="374"/>
        <v>81013951.861011311</v>
      </c>
      <c r="AZ948" s="365"/>
      <c r="BA948" s="377">
        <f t="shared" si="375"/>
        <v>0</v>
      </c>
      <c r="BB948" s="377">
        <f t="shared" si="376"/>
        <v>0</v>
      </c>
      <c r="BC948" s="377">
        <f t="shared" si="377"/>
        <v>0</v>
      </c>
      <c r="BD948" s="377">
        <f t="shared" si="378"/>
        <v>0</v>
      </c>
      <c r="BE948" s="377">
        <f t="shared" si="379"/>
        <v>0</v>
      </c>
      <c r="BF948" s="377">
        <f t="shared" si="380"/>
        <v>0</v>
      </c>
      <c r="BG948" s="328"/>
    </row>
    <row r="949" spans="2:59">
      <c r="B949" s="332">
        <v>934</v>
      </c>
      <c r="C949" s="350">
        <v>6024634.9663742697</v>
      </c>
      <c r="D949" s="350">
        <v>6002924.0993377389</v>
      </c>
      <c r="E949" s="350">
        <v>5979444.8610459352</v>
      </c>
      <c r="F949" s="350">
        <v>5951276.4886138113</v>
      </c>
      <c r="G949" s="350">
        <v>5915831.5042044371</v>
      </c>
      <c r="H949" s="348">
        <v>29874111.91957619</v>
      </c>
      <c r="I949" s="369"/>
      <c r="J949" s="350">
        <v>19757644.948722981</v>
      </c>
      <c r="K949" s="350">
        <v>19335723.538668234</v>
      </c>
      <c r="L949" s="350">
        <v>18902111.965288263</v>
      </c>
      <c r="M949" s="350">
        <v>18427523.487407655</v>
      </c>
      <c r="N949" s="350">
        <v>17887387.377587561</v>
      </c>
      <c r="O949" s="348">
        <v>94310391.317674696</v>
      </c>
      <c r="P949" s="369"/>
      <c r="Q949" s="350">
        <f t="shared" si="381"/>
        <v>13733009.98234871</v>
      </c>
      <c r="R949" s="350">
        <f t="shared" si="382"/>
        <v>13332799.439330496</v>
      </c>
      <c r="S949" s="350">
        <f t="shared" si="383"/>
        <v>12922667.104242329</v>
      </c>
      <c r="T949" s="350">
        <f t="shared" si="384"/>
        <v>12476246.998793844</v>
      </c>
      <c r="U949" s="350">
        <f t="shared" si="385"/>
        <v>11971555.873383123</v>
      </c>
      <c r="V949" s="350">
        <f t="shared" si="386"/>
        <v>64436279.398098506</v>
      </c>
      <c r="W949" s="365"/>
      <c r="X949" s="377">
        <f t="shared" si="364"/>
        <v>0</v>
      </c>
      <c r="Y949" s="377">
        <f t="shared" si="365"/>
        <v>0</v>
      </c>
      <c r="Z949" s="377">
        <f t="shared" si="366"/>
        <v>0</v>
      </c>
      <c r="AA949" s="377">
        <f t="shared" si="367"/>
        <v>0</v>
      </c>
      <c r="AB949" s="377">
        <f t="shared" si="368"/>
        <v>0</v>
      </c>
      <c r="AC949" s="377">
        <f t="shared" si="369"/>
        <v>0</v>
      </c>
      <c r="AD949" s="376"/>
      <c r="AE949" s="332">
        <v>934</v>
      </c>
      <c r="AF949" s="350">
        <v>384639.67694988789</v>
      </c>
      <c r="AG949" s="350">
        <v>383253.55796843237</v>
      </c>
      <c r="AH949" s="350">
        <v>381754.53824657446</v>
      </c>
      <c r="AI949" s="350">
        <v>379956.14320140268</v>
      </c>
      <c r="AJ949" s="350">
        <v>377693.17666005879</v>
      </c>
      <c r="AK949" s="348">
        <v>1907297.0930263563</v>
      </c>
      <c r="AL949" s="369"/>
      <c r="AM949" s="350">
        <v>12849762.184569411</v>
      </c>
      <c r="AN949" s="350">
        <v>12739303.412930669</v>
      </c>
      <c r="AO949" s="350">
        <v>12617893.937550329</v>
      </c>
      <c r="AP949" s="350">
        <v>12461191.68908152</v>
      </c>
      <c r="AQ949" s="350">
        <v>12248361.047580902</v>
      </c>
      <c r="AR949" s="348">
        <v>62916512.271712825</v>
      </c>
      <c r="AS949" s="369"/>
      <c r="AT949" s="350">
        <f t="shared" si="387"/>
        <v>12465122.507619523</v>
      </c>
      <c r="AU949" s="350">
        <f t="shared" si="370"/>
        <v>12356049.854962237</v>
      </c>
      <c r="AV949" s="350">
        <f t="shared" si="371"/>
        <v>12236139.399303755</v>
      </c>
      <c r="AW949" s="350">
        <f t="shared" si="372"/>
        <v>12081235.545880117</v>
      </c>
      <c r="AX949" s="350">
        <f t="shared" si="373"/>
        <v>11870667.870920843</v>
      </c>
      <c r="AY949" s="350">
        <f t="shared" si="374"/>
        <v>61009215.17868647</v>
      </c>
      <c r="AZ949" s="365"/>
      <c r="BA949" s="377">
        <f t="shared" si="375"/>
        <v>0</v>
      </c>
      <c r="BB949" s="377">
        <f t="shared" si="376"/>
        <v>0</v>
      </c>
      <c r="BC949" s="377">
        <f t="shared" si="377"/>
        <v>0</v>
      </c>
      <c r="BD949" s="377">
        <f t="shared" si="378"/>
        <v>0</v>
      </c>
      <c r="BE949" s="377">
        <f t="shared" si="379"/>
        <v>0</v>
      </c>
      <c r="BF949" s="377">
        <f t="shared" si="380"/>
        <v>0</v>
      </c>
      <c r="BG949" s="328"/>
    </row>
    <row r="950" spans="2:59">
      <c r="B950" s="332">
        <v>935</v>
      </c>
      <c r="C950" s="350">
        <v>6776563.6170500116</v>
      </c>
      <c r="D950" s="350">
        <v>6752143.0384630049</v>
      </c>
      <c r="E950" s="350">
        <v>6725733.3799770819</v>
      </c>
      <c r="F950" s="350">
        <v>6694049.3412194774</v>
      </c>
      <c r="G950" s="350">
        <v>6654180.5038382756</v>
      </c>
      <c r="H950" s="348">
        <v>33602669.880547851</v>
      </c>
      <c r="I950" s="369"/>
      <c r="J950" s="350">
        <v>21823061.871988799</v>
      </c>
      <c r="K950" s="350">
        <v>21351367.530434638</v>
      </c>
      <c r="L950" s="350">
        <v>20866876.669490598</v>
      </c>
      <c r="M950" s="350">
        <v>20337423.983018234</v>
      </c>
      <c r="N950" s="350">
        <v>19736037.996385761</v>
      </c>
      <c r="O950" s="348">
        <v>104114768.05131802</v>
      </c>
      <c r="P950" s="369"/>
      <c r="Q950" s="350">
        <f t="shared" si="381"/>
        <v>15046498.254938789</v>
      </c>
      <c r="R950" s="350">
        <f t="shared" si="382"/>
        <v>14599224.491971634</v>
      </c>
      <c r="S950" s="350">
        <f t="shared" si="383"/>
        <v>14141143.289513517</v>
      </c>
      <c r="T950" s="350">
        <f t="shared" si="384"/>
        <v>13643374.641798757</v>
      </c>
      <c r="U950" s="350">
        <f t="shared" si="385"/>
        <v>13081857.492547486</v>
      </c>
      <c r="V950" s="350">
        <f t="shared" si="386"/>
        <v>70512098.170770168</v>
      </c>
      <c r="W950" s="365"/>
      <c r="X950" s="377">
        <f t="shared" si="364"/>
        <v>0</v>
      </c>
      <c r="Y950" s="377">
        <f t="shared" si="365"/>
        <v>0</v>
      </c>
      <c r="Z950" s="377">
        <f t="shared" si="366"/>
        <v>0</v>
      </c>
      <c r="AA950" s="377">
        <f t="shared" si="367"/>
        <v>0</v>
      </c>
      <c r="AB950" s="377">
        <f t="shared" si="368"/>
        <v>0</v>
      </c>
      <c r="AC950" s="377">
        <f t="shared" si="369"/>
        <v>0</v>
      </c>
      <c r="AD950" s="376"/>
      <c r="AE950" s="332">
        <v>935</v>
      </c>
      <c r="AF950" s="350">
        <v>434653.0213469697</v>
      </c>
      <c r="AG950" s="350">
        <v>433086.67018940434</v>
      </c>
      <c r="AH950" s="350">
        <v>431392.73820523964</v>
      </c>
      <c r="AI950" s="350">
        <v>429360.50417738821</v>
      </c>
      <c r="AJ950" s="350">
        <v>426803.29205563827</v>
      </c>
      <c r="AK950" s="348">
        <v>2155296.2259746399</v>
      </c>
      <c r="AL950" s="369"/>
      <c r="AM950" s="350">
        <v>17060150.242207538</v>
      </c>
      <c r="AN950" s="350">
        <v>16917025.238376591</v>
      </c>
      <c r="AO950" s="350">
        <v>16759289.372115787</v>
      </c>
      <c r="AP950" s="350">
        <v>16554510.675973322</v>
      </c>
      <c r="AQ950" s="350">
        <v>16274922.015370723</v>
      </c>
      <c r="AR950" s="348">
        <v>83565897.544043973</v>
      </c>
      <c r="AS950" s="369"/>
      <c r="AT950" s="350">
        <f t="shared" si="387"/>
        <v>16625497.220860569</v>
      </c>
      <c r="AU950" s="350">
        <f t="shared" si="370"/>
        <v>16483938.568187186</v>
      </c>
      <c r="AV950" s="350">
        <f t="shared" si="371"/>
        <v>16327896.633910548</v>
      </c>
      <c r="AW950" s="350">
        <f t="shared" si="372"/>
        <v>16125150.171795934</v>
      </c>
      <c r="AX950" s="350">
        <f t="shared" si="373"/>
        <v>15848118.723315084</v>
      </c>
      <c r="AY950" s="350">
        <f t="shared" si="374"/>
        <v>81410601.318069339</v>
      </c>
      <c r="AZ950" s="365"/>
      <c r="BA950" s="377">
        <f t="shared" si="375"/>
        <v>0</v>
      </c>
      <c r="BB950" s="377">
        <f t="shared" si="376"/>
        <v>0</v>
      </c>
      <c r="BC950" s="377">
        <f t="shared" si="377"/>
        <v>0</v>
      </c>
      <c r="BD950" s="377">
        <f t="shared" si="378"/>
        <v>0</v>
      </c>
      <c r="BE950" s="377">
        <f t="shared" si="379"/>
        <v>0</v>
      </c>
      <c r="BF950" s="377">
        <f t="shared" si="380"/>
        <v>0</v>
      </c>
      <c r="BG950" s="328"/>
    </row>
    <row r="951" spans="2:59">
      <c r="B951" s="332">
        <v>936</v>
      </c>
      <c r="C951" s="350">
        <v>5271567.863615945</v>
      </c>
      <c r="D951" s="350">
        <v>5252570.8107488751</v>
      </c>
      <c r="E951" s="350">
        <v>5232026.4294324825</v>
      </c>
      <c r="F951" s="350">
        <v>5207379.0461947713</v>
      </c>
      <c r="G951" s="350">
        <v>5176364.6126595102</v>
      </c>
      <c r="H951" s="348">
        <v>26139908.762651581</v>
      </c>
      <c r="I951" s="369"/>
      <c r="J951" s="350">
        <v>14996322.534461278</v>
      </c>
      <c r="K951" s="350">
        <v>14643657.246688563</v>
      </c>
      <c r="L951" s="350">
        <v>14282781.006993629</v>
      </c>
      <c r="M951" s="350">
        <v>13892511.868727915</v>
      </c>
      <c r="N951" s="350">
        <v>13455160.530267846</v>
      </c>
      <c r="O951" s="348">
        <v>71270433.187139228</v>
      </c>
      <c r="P951" s="369"/>
      <c r="Q951" s="350">
        <f t="shared" si="381"/>
        <v>9724754.6708453335</v>
      </c>
      <c r="R951" s="350">
        <f t="shared" si="382"/>
        <v>9391086.4359396882</v>
      </c>
      <c r="S951" s="350">
        <f t="shared" si="383"/>
        <v>9050754.5775611475</v>
      </c>
      <c r="T951" s="350">
        <f t="shared" si="384"/>
        <v>8685132.8225331437</v>
      </c>
      <c r="U951" s="350">
        <f t="shared" si="385"/>
        <v>8278795.9176083356</v>
      </c>
      <c r="V951" s="350">
        <f t="shared" si="386"/>
        <v>45130524.42448765</v>
      </c>
      <c r="W951" s="365"/>
      <c r="X951" s="377">
        <f t="shared" si="364"/>
        <v>0</v>
      </c>
      <c r="Y951" s="377">
        <f t="shared" si="365"/>
        <v>0</v>
      </c>
      <c r="Z951" s="377">
        <f t="shared" si="366"/>
        <v>0</v>
      </c>
      <c r="AA951" s="377">
        <f t="shared" si="367"/>
        <v>0</v>
      </c>
      <c r="AB951" s="377">
        <f t="shared" si="368"/>
        <v>0</v>
      </c>
      <c r="AC951" s="377">
        <f t="shared" si="369"/>
        <v>0</v>
      </c>
      <c r="AD951" s="376"/>
      <c r="AE951" s="332">
        <v>936</v>
      </c>
      <c r="AF951" s="350">
        <v>455801.2415370107</v>
      </c>
      <c r="AG951" s="350">
        <v>454158.67892444954</v>
      </c>
      <c r="AH951" s="350">
        <v>452382.32798808918</v>
      </c>
      <c r="AI951" s="350">
        <v>450251.21478400315</v>
      </c>
      <c r="AJ951" s="350">
        <v>447569.58046255063</v>
      </c>
      <c r="AK951" s="348">
        <v>2260163.0436961032</v>
      </c>
      <c r="AL951" s="369"/>
      <c r="AM951" s="350">
        <v>11567973.963588899</v>
      </c>
      <c r="AN951" s="350">
        <v>11463451.870972563</v>
      </c>
      <c r="AO951" s="350">
        <v>11349175.198601164</v>
      </c>
      <c r="AP951" s="350">
        <v>11203394.168962291</v>
      </c>
      <c r="AQ951" s="350">
        <v>11007502.062075723</v>
      </c>
      <c r="AR951" s="348">
        <v>56591497.264200643</v>
      </c>
      <c r="AS951" s="369"/>
      <c r="AT951" s="350">
        <f t="shared" si="387"/>
        <v>11112172.722051889</v>
      </c>
      <c r="AU951" s="350">
        <f t="shared" si="370"/>
        <v>11009293.192048114</v>
      </c>
      <c r="AV951" s="350">
        <f t="shared" si="371"/>
        <v>10896792.870613074</v>
      </c>
      <c r="AW951" s="350">
        <f t="shared" si="372"/>
        <v>10753142.954178287</v>
      </c>
      <c r="AX951" s="350">
        <f t="shared" si="373"/>
        <v>10559932.481613172</v>
      </c>
      <c r="AY951" s="350">
        <f t="shared" si="374"/>
        <v>54331334.220504537</v>
      </c>
      <c r="AZ951" s="365"/>
      <c r="BA951" s="377">
        <f t="shared" si="375"/>
        <v>0</v>
      </c>
      <c r="BB951" s="377">
        <f t="shared" si="376"/>
        <v>0</v>
      </c>
      <c r="BC951" s="377">
        <f t="shared" si="377"/>
        <v>0</v>
      </c>
      <c r="BD951" s="377">
        <f t="shared" si="378"/>
        <v>0</v>
      </c>
      <c r="BE951" s="377">
        <f t="shared" si="379"/>
        <v>0</v>
      </c>
      <c r="BF951" s="377">
        <f t="shared" si="380"/>
        <v>0</v>
      </c>
      <c r="BG951" s="328"/>
    </row>
    <row r="952" spans="2:59">
      <c r="B952" s="332">
        <v>937</v>
      </c>
      <c r="C952" s="350">
        <v>3753381.4171576025</v>
      </c>
      <c r="D952" s="350">
        <v>3739855.4250700967</v>
      </c>
      <c r="E952" s="350">
        <v>3725227.7277597464</v>
      </c>
      <c r="F952" s="350">
        <v>3707678.6735467687</v>
      </c>
      <c r="G952" s="350">
        <v>3685596.2492080117</v>
      </c>
      <c r="H952" s="348">
        <v>18611739.492742226</v>
      </c>
      <c r="I952" s="369"/>
      <c r="J952" s="350">
        <v>11635085.272880882</v>
      </c>
      <c r="K952" s="350">
        <v>11377083.905358372</v>
      </c>
      <c r="L952" s="350">
        <v>11112393.038610145</v>
      </c>
      <c r="M952" s="350">
        <v>10824073.972730597</v>
      </c>
      <c r="N952" s="350">
        <v>10497939.670557141</v>
      </c>
      <c r="O952" s="348">
        <v>55446575.860137142</v>
      </c>
      <c r="P952" s="369"/>
      <c r="Q952" s="350">
        <f t="shared" si="381"/>
        <v>7881703.8557232795</v>
      </c>
      <c r="R952" s="350">
        <f t="shared" si="382"/>
        <v>7637228.4802882755</v>
      </c>
      <c r="S952" s="350">
        <f t="shared" si="383"/>
        <v>7387165.3108503986</v>
      </c>
      <c r="T952" s="350">
        <f t="shared" si="384"/>
        <v>7116395.2991838288</v>
      </c>
      <c r="U952" s="350">
        <f t="shared" si="385"/>
        <v>6812343.4213491296</v>
      </c>
      <c r="V952" s="350">
        <f t="shared" si="386"/>
        <v>36834836.367394917</v>
      </c>
      <c r="W952" s="365"/>
      <c r="X952" s="377">
        <f t="shared" si="364"/>
        <v>0</v>
      </c>
      <c r="Y952" s="377">
        <f t="shared" si="365"/>
        <v>0</v>
      </c>
      <c r="Z952" s="377">
        <f t="shared" si="366"/>
        <v>0</v>
      </c>
      <c r="AA952" s="377">
        <f t="shared" si="367"/>
        <v>0</v>
      </c>
      <c r="AB952" s="377">
        <f t="shared" si="368"/>
        <v>0</v>
      </c>
      <c r="AC952" s="377">
        <f t="shared" si="369"/>
        <v>0</v>
      </c>
      <c r="AD952" s="376"/>
      <c r="AE952" s="332">
        <v>937</v>
      </c>
      <c r="AF952" s="350">
        <v>499343.98669439188</v>
      </c>
      <c r="AG952" s="350">
        <v>497544.50988606713</v>
      </c>
      <c r="AH952" s="350">
        <v>495598.4639399451</v>
      </c>
      <c r="AI952" s="350">
        <v>493263.76524575782</v>
      </c>
      <c r="AJ952" s="350">
        <v>490325.95408838755</v>
      </c>
      <c r="AK952" s="348">
        <v>2476076.6798545495</v>
      </c>
      <c r="AL952" s="369"/>
      <c r="AM952" s="350">
        <v>16623285.537988901</v>
      </c>
      <c r="AN952" s="350">
        <v>16480307.754258832</v>
      </c>
      <c r="AO952" s="350">
        <v>16323165.08730812</v>
      </c>
      <c r="AP952" s="350">
        <v>16120369.678904118</v>
      </c>
      <c r="AQ952" s="350">
        <v>15844969.62366304</v>
      </c>
      <c r="AR952" s="348">
        <v>81392097.682123005</v>
      </c>
      <c r="AS952" s="369"/>
      <c r="AT952" s="350">
        <f t="shared" si="387"/>
        <v>16123941.551294509</v>
      </c>
      <c r="AU952" s="350">
        <f t="shared" si="370"/>
        <v>15982763.244372765</v>
      </c>
      <c r="AV952" s="350">
        <f t="shared" si="371"/>
        <v>15827566.623368176</v>
      </c>
      <c r="AW952" s="350">
        <f t="shared" si="372"/>
        <v>15627105.91365836</v>
      </c>
      <c r="AX952" s="350">
        <f t="shared" si="373"/>
        <v>15354643.669574652</v>
      </c>
      <c r="AY952" s="350">
        <f t="shared" si="374"/>
        <v>78916021.002268463</v>
      </c>
      <c r="AZ952" s="365"/>
      <c r="BA952" s="377">
        <f t="shared" si="375"/>
        <v>0</v>
      </c>
      <c r="BB952" s="377">
        <f t="shared" si="376"/>
        <v>0</v>
      </c>
      <c r="BC952" s="377">
        <f t="shared" si="377"/>
        <v>0</v>
      </c>
      <c r="BD952" s="377">
        <f t="shared" si="378"/>
        <v>0</v>
      </c>
      <c r="BE952" s="377">
        <f t="shared" si="379"/>
        <v>0</v>
      </c>
      <c r="BF952" s="377">
        <f t="shared" si="380"/>
        <v>0</v>
      </c>
      <c r="BG952" s="328"/>
    </row>
    <row r="953" spans="2:59">
      <c r="B953" s="332">
        <v>938</v>
      </c>
      <c r="C953" s="350">
        <v>5680196.6703703748</v>
      </c>
      <c r="D953" s="350">
        <v>5659727.0493327435</v>
      </c>
      <c r="E953" s="350">
        <v>5637590.1577347778</v>
      </c>
      <c r="F953" s="350">
        <v>5611032.2175123859</v>
      </c>
      <c r="G953" s="350">
        <v>5577613.6811948866</v>
      </c>
      <c r="H953" s="348">
        <v>28166159.776145168</v>
      </c>
      <c r="I953" s="369"/>
      <c r="J953" s="350">
        <v>18458746.808855344</v>
      </c>
      <c r="K953" s="350">
        <v>18062167.698627196</v>
      </c>
      <c r="L953" s="350">
        <v>17654715.87002464</v>
      </c>
      <c r="M953" s="350">
        <v>17209107.302699361</v>
      </c>
      <c r="N953" s="350">
        <v>16702457.53325212</v>
      </c>
      <c r="O953" s="348">
        <v>88087195.213458657</v>
      </c>
      <c r="P953" s="369"/>
      <c r="Q953" s="350">
        <f t="shared" si="381"/>
        <v>12778550.13848497</v>
      </c>
      <c r="R953" s="350">
        <f t="shared" si="382"/>
        <v>12402440.649294453</v>
      </c>
      <c r="S953" s="350">
        <f t="shared" si="383"/>
        <v>12017125.712289862</v>
      </c>
      <c r="T953" s="350">
        <f t="shared" si="384"/>
        <v>11598075.085186975</v>
      </c>
      <c r="U953" s="350">
        <f t="shared" si="385"/>
        <v>11124843.852057233</v>
      </c>
      <c r="V953" s="350">
        <f t="shared" si="386"/>
        <v>59921035.43731349</v>
      </c>
      <c r="W953" s="365"/>
      <c r="X953" s="377">
        <f t="shared" si="364"/>
        <v>0</v>
      </c>
      <c r="Y953" s="377">
        <f t="shared" si="365"/>
        <v>0</v>
      </c>
      <c r="Z953" s="377">
        <f t="shared" si="366"/>
        <v>0</v>
      </c>
      <c r="AA953" s="377">
        <f t="shared" si="367"/>
        <v>0</v>
      </c>
      <c r="AB953" s="377">
        <f t="shared" si="368"/>
        <v>0</v>
      </c>
      <c r="AC953" s="377">
        <f t="shared" si="369"/>
        <v>0</v>
      </c>
      <c r="AD953" s="376"/>
      <c r="AE953" s="332">
        <v>938</v>
      </c>
      <c r="AF953" s="350">
        <v>408149.36004026578</v>
      </c>
      <c r="AG953" s="350">
        <v>406678.51964307373</v>
      </c>
      <c r="AH953" s="350">
        <v>405087.87786369299</v>
      </c>
      <c r="AI953" s="350">
        <v>403179.56254737673</v>
      </c>
      <c r="AJ953" s="350">
        <v>400778.280513848</v>
      </c>
      <c r="AK953" s="348">
        <v>2023873.6006082573</v>
      </c>
      <c r="AL953" s="369"/>
      <c r="AM953" s="350">
        <v>13100881.065844819</v>
      </c>
      <c r="AN953" s="350">
        <v>12987521.626411742</v>
      </c>
      <c r="AO953" s="350">
        <v>12863012.628869202</v>
      </c>
      <c r="AP953" s="350">
        <v>12702560.258637397</v>
      </c>
      <c r="AQ953" s="350">
        <v>12484943.687746564</v>
      </c>
      <c r="AR953" s="348">
        <v>64138919.267509721</v>
      </c>
      <c r="AS953" s="369"/>
      <c r="AT953" s="350">
        <f t="shared" si="387"/>
        <v>12692731.705804553</v>
      </c>
      <c r="AU953" s="350">
        <f t="shared" si="370"/>
        <v>12580843.106768668</v>
      </c>
      <c r="AV953" s="350">
        <f t="shared" si="371"/>
        <v>12457924.75100551</v>
      </c>
      <c r="AW953" s="350">
        <f t="shared" si="372"/>
        <v>12299380.69609002</v>
      </c>
      <c r="AX953" s="350">
        <f t="shared" si="373"/>
        <v>12084165.407232717</v>
      </c>
      <c r="AY953" s="350">
        <f t="shared" si="374"/>
        <v>62115045.666901462</v>
      </c>
      <c r="AZ953" s="365"/>
      <c r="BA953" s="377">
        <f t="shared" si="375"/>
        <v>0</v>
      </c>
      <c r="BB953" s="377">
        <f t="shared" si="376"/>
        <v>0</v>
      </c>
      <c r="BC953" s="377">
        <f t="shared" si="377"/>
        <v>0</v>
      </c>
      <c r="BD953" s="377">
        <f t="shared" si="378"/>
        <v>0</v>
      </c>
      <c r="BE953" s="377">
        <f t="shared" si="379"/>
        <v>0</v>
      </c>
      <c r="BF953" s="377">
        <f t="shared" si="380"/>
        <v>0</v>
      </c>
      <c r="BG953" s="328"/>
    </row>
    <row r="954" spans="2:59">
      <c r="B954" s="332">
        <v>939</v>
      </c>
      <c r="C954" s="350">
        <v>6741911.5974717485</v>
      </c>
      <c r="D954" s="350">
        <v>6717615.8937350567</v>
      </c>
      <c r="E954" s="350">
        <v>6691341.2812775653</v>
      </c>
      <c r="F954" s="350">
        <v>6659819.2591397967</v>
      </c>
      <c r="G954" s="350">
        <v>6620154.2914205026</v>
      </c>
      <c r="H954" s="348">
        <v>33430842.323044673</v>
      </c>
      <c r="I954" s="369"/>
      <c r="J954" s="350">
        <v>20339850.58251448</v>
      </c>
      <c r="K954" s="350">
        <v>19880454.009978704</v>
      </c>
      <c r="L954" s="350">
        <v>19409534.159811646</v>
      </c>
      <c r="M954" s="350">
        <v>18897750.064841755</v>
      </c>
      <c r="N954" s="350">
        <v>18320548.638369765</v>
      </c>
      <c r="O954" s="348">
        <v>96848137.455516353</v>
      </c>
      <c r="P954" s="369"/>
      <c r="Q954" s="350">
        <f t="shared" si="381"/>
        <v>13597938.985042732</v>
      </c>
      <c r="R954" s="350">
        <f t="shared" si="382"/>
        <v>13162838.116243647</v>
      </c>
      <c r="S954" s="350">
        <f t="shared" si="383"/>
        <v>12718192.87853408</v>
      </c>
      <c r="T954" s="350">
        <f t="shared" si="384"/>
        <v>12237930.805701958</v>
      </c>
      <c r="U954" s="350">
        <f t="shared" si="385"/>
        <v>11700394.346949263</v>
      </c>
      <c r="V954" s="350">
        <f t="shared" si="386"/>
        <v>63417295.132471681</v>
      </c>
      <c r="W954" s="365"/>
      <c r="X954" s="377">
        <f t="shared" si="364"/>
        <v>0</v>
      </c>
      <c r="Y954" s="377">
        <f t="shared" si="365"/>
        <v>0</v>
      </c>
      <c r="Z954" s="377">
        <f t="shared" si="366"/>
        <v>0</v>
      </c>
      <c r="AA954" s="377">
        <f t="shared" si="367"/>
        <v>0</v>
      </c>
      <c r="AB954" s="377">
        <f t="shared" si="368"/>
        <v>0</v>
      </c>
      <c r="AC954" s="377">
        <f t="shared" si="369"/>
        <v>0</v>
      </c>
      <c r="AD954" s="376"/>
      <c r="AE954" s="332">
        <v>939</v>
      </c>
      <c r="AF954" s="350">
        <v>359224.08938646701</v>
      </c>
      <c r="AG954" s="350">
        <v>357929.56009390112</v>
      </c>
      <c r="AH954" s="350">
        <v>356529.5901302541</v>
      </c>
      <c r="AI954" s="350">
        <v>354850.0264732184</v>
      </c>
      <c r="AJ954" s="350">
        <v>352736.58851077902</v>
      </c>
      <c r="AK954" s="348">
        <v>1781269.8545946195</v>
      </c>
      <c r="AL954" s="369"/>
      <c r="AM954" s="350">
        <v>12816938.402508613</v>
      </c>
      <c r="AN954" s="350">
        <v>12707895.39348744</v>
      </c>
      <c r="AO954" s="350">
        <v>12587906.505260127</v>
      </c>
      <c r="AP954" s="350">
        <v>12432655.23709837</v>
      </c>
      <c r="AQ954" s="350">
        <v>12221325.618245259</v>
      </c>
      <c r="AR954" s="348">
        <v>62766721.156599805</v>
      </c>
      <c r="AS954" s="369"/>
      <c r="AT954" s="350">
        <f t="shared" si="387"/>
        <v>12457714.313122146</v>
      </c>
      <c r="AU954" s="350">
        <f t="shared" si="370"/>
        <v>12349965.83339354</v>
      </c>
      <c r="AV954" s="350">
        <f t="shared" si="371"/>
        <v>12231376.915129872</v>
      </c>
      <c r="AW954" s="350">
        <f t="shared" si="372"/>
        <v>12077805.210625151</v>
      </c>
      <c r="AX954" s="350">
        <f t="shared" si="373"/>
        <v>11868589.029734479</v>
      </c>
      <c r="AY954" s="350">
        <f t="shared" si="374"/>
        <v>60985451.302005187</v>
      </c>
      <c r="AZ954" s="365"/>
      <c r="BA954" s="377">
        <f t="shared" si="375"/>
        <v>0</v>
      </c>
      <c r="BB954" s="377">
        <f t="shared" si="376"/>
        <v>0</v>
      </c>
      <c r="BC954" s="377">
        <f t="shared" si="377"/>
        <v>0</v>
      </c>
      <c r="BD954" s="377">
        <f t="shared" si="378"/>
        <v>0</v>
      </c>
      <c r="BE954" s="377">
        <f t="shared" si="379"/>
        <v>0</v>
      </c>
      <c r="BF954" s="377">
        <f t="shared" si="380"/>
        <v>0</v>
      </c>
      <c r="BG954" s="328"/>
    </row>
    <row r="955" spans="2:59">
      <c r="B955" s="332">
        <v>940</v>
      </c>
      <c r="C955" s="350">
        <v>6747857.5736373477</v>
      </c>
      <c r="D955" s="350">
        <v>6723540.4424949009</v>
      </c>
      <c r="E955" s="350">
        <v>6697242.657348603</v>
      </c>
      <c r="F955" s="350">
        <v>6665692.834610126</v>
      </c>
      <c r="G955" s="350">
        <v>6625992.8846830036</v>
      </c>
      <c r="H955" s="348">
        <v>33460326.392773986</v>
      </c>
      <c r="I955" s="369"/>
      <c r="J955" s="350">
        <v>25814795.859023076</v>
      </c>
      <c r="K955" s="350">
        <v>25315663.494411051</v>
      </c>
      <c r="L955" s="350">
        <v>24800192.412045866</v>
      </c>
      <c r="M955" s="350">
        <v>24228433.468386963</v>
      </c>
      <c r="N955" s="350">
        <v>23566739.041207183</v>
      </c>
      <c r="O955" s="348">
        <v>123725824.27507414</v>
      </c>
      <c r="P955" s="369"/>
      <c r="Q955" s="350">
        <f t="shared" si="381"/>
        <v>19066938.285385728</v>
      </c>
      <c r="R955" s="350">
        <f t="shared" si="382"/>
        <v>18592123.051916152</v>
      </c>
      <c r="S955" s="350">
        <f t="shared" si="383"/>
        <v>18102949.754697263</v>
      </c>
      <c r="T955" s="350">
        <f t="shared" si="384"/>
        <v>17562740.633776836</v>
      </c>
      <c r="U955" s="350">
        <f t="shared" si="385"/>
        <v>16940746.156524181</v>
      </c>
      <c r="V955" s="350">
        <f t="shared" si="386"/>
        <v>90265497.882300153</v>
      </c>
      <c r="W955" s="365"/>
      <c r="X955" s="377">
        <f t="shared" si="364"/>
        <v>0</v>
      </c>
      <c r="Y955" s="377">
        <f t="shared" si="365"/>
        <v>0</v>
      </c>
      <c r="Z955" s="377">
        <f t="shared" si="366"/>
        <v>0</v>
      </c>
      <c r="AA955" s="377">
        <f t="shared" si="367"/>
        <v>0</v>
      </c>
      <c r="AB955" s="377">
        <f t="shared" si="368"/>
        <v>0</v>
      </c>
      <c r="AC955" s="377">
        <f t="shared" si="369"/>
        <v>0</v>
      </c>
      <c r="AD955" s="376"/>
      <c r="AE955" s="332">
        <v>940</v>
      </c>
      <c r="AF955" s="350">
        <v>489682.18400139757</v>
      </c>
      <c r="AG955" s="350">
        <v>487917.52525504201</v>
      </c>
      <c r="AH955" s="350">
        <v>486009.13333593146</v>
      </c>
      <c r="AI955" s="350">
        <v>483719.60870758235</v>
      </c>
      <c r="AJ955" s="350">
        <v>480838.64123414172</v>
      </c>
      <c r="AK955" s="348">
        <v>2428167.092534095</v>
      </c>
      <c r="AL955" s="369"/>
      <c r="AM955" s="350">
        <v>14587797.727810292</v>
      </c>
      <c r="AN955" s="350">
        <v>14459938.71667216</v>
      </c>
      <c r="AO955" s="350">
        <v>14319698.058400271</v>
      </c>
      <c r="AP955" s="350">
        <v>14139520.661937999</v>
      </c>
      <c r="AQ955" s="350">
        <v>13895825.57052565</v>
      </c>
      <c r="AR955" s="348">
        <v>71402780.735346377</v>
      </c>
      <c r="AS955" s="369"/>
      <c r="AT955" s="350">
        <f t="shared" si="387"/>
        <v>14098115.543808894</v>
      </c>
      <c r="AU955" s="350">
        <f t="shared" si="370"/>
        <v>13972021.191417119</v>
      </c>
      <c r="AV955" s="350">
        <f t="shared" si="371"/>
        <v>13833688.92506434</v>
      </c>
      <c r="AW955" s="350">
        <f t="shared" si="372"/>
        <v>13655801.053230416</v>
      </c>
      <c r="AX955" s="350">
        <f t="shared" si="373"/>
        <v>13414986.929291509</v>
      </c>
      <c r="AY955" s="350">
        <f t="shared" si="374"/>
        <v>68974613.642812282</v>
      </c>
      <c r="AZ955" s="365"/>
      <c r="BA955" s="377">
        <f t="shared" si="375"/>
        <v>0</v>
      </c>
      <c r="BB955" s="377">
        <f t="shared" si="376"/>
        <v>0</v>
      </c>
      <c r="BC955" s="377">
        <f t="shared" si="377"/>
        <v>0</v>
      </c>
      <c r="BD955" s="377">
        <f t="shared" si="378"/>
        <v>0</v>
      </c>
      <c r="BE955" s="377">
        <f t="shared" si="379"/>
        <v>0</v>
      </c>
      <c r="BF955" s="377">
        <f t="shared" si="380"/>
        <v>0</v>
      </c>
      <c r="BG955" s="328"/>
    </row>
    <row r="956" spans="2:59">
      <c r="B956" s="332">
        <v>941</v>
      </c>
      <c r="C956" s="350">
        <v>5449126.5084843636</v>
      </c>
      <c r="D956" s="350">
        <v>5429489.5907704709</v>
      </c>
      <c r="E956" s="350">
        <v>5408253.2269925848</v>
      </c>
      <c r="F956" s="350">
        <v>5382775.6626625555</v>
      </c>
      <c r="G956" s="350">
        <v>5350716.5909983069</v>
      </c>
      <c r="H956" s="348">
        <v>27020361.579908282</v>
      </c>
      <c r="I956" s="369"/>
      <c r="J956" s="350">
        <v>18630884.644332856</v>
      </c>
      <c r="K956" s="350">
        <v>18243785.678925291</v>
      </c>
      <c r="L956" s="350">
        <v>17845443.496377237</v>
      </c>
      <c r="M956" s="350">
        <v>17407894.019978508</v>
      </c>
      <c r="N956" s="350">
        <v>16907649.070447735</v>
      </c>
      <c r="O956" s="348">
        <v>89035656.910061628</v>
      </c>
      <c r="P956" s="369"/>
      <c r="Q956" s="350">
        <f t="shared" si="381"/>
        <v>13181758.135848492</v>
      </c>
      <c r="R956" s="350">
        <f t="shared" si="382"/>
        <v>12814296.088154819</v>
      </c>
      <c r="S956" s="350">
        <f t="shared" si="383"/>
        <v>12437190.269384652</v>
      </c>
      <c r="T956" s="350">
        <f t="shared" si="384"/>
        <v>12025118.357315954</v>
      </c>
      <c r="U956" s="350">
        <f t="shared" si="385"/>
        <v>11556932.479449429</v>
      </c>
      <c r="V956" s="350">
        <f t="shared" si="386"/>
        <v>62015295.330153346</v>
      </c>
      <c r="W956" s="365"/>
      <c r="X956" s="377">
        <f t="shared" si="364"/>
        <v>0</v>
      </c>
      <c r="Y956" s="377">
        <f t="shared" si="365"/>
        <v>0</v>
      </c>
      <c r="Z956" s="377">
        <f t="shared" si="366"/>
        <v>0</v>
      </c>
      <c r="AA956" s="377">
        <f t="shared" si="367"/>
        <v>0</v>
      </c>
      <c r="AB956" s="377">
        <f t="shared" si="368"/>
        <v>0</v>
      </c>
      <c r="AC956" s="377">
        <f t="shared" si="369"/>
        <v>0</v>
      </c>
      <c r="AD956" s="376"/>
      <c r="AE956" s="332">
        <v>941</v>
      </c>
      <c r="AF956" s="350">
        <v>443750.6557301369</v>
      </c>
      <c r="AG956" s="350">
        <v>442151.51959364029</v>
      </c>
      <c r="AH956" s="350">
        <v>440422.13226209505</v>
      </c>
      <c r="AI956" s="350">
        <v>438347.36195528455</v>
      </c>
      <c r="AJ956" s="350">
        <v>435736.62534438749</v>
      </c>
      <c r="AK956" s="348">
        <v>2200408.2948855441</v>
      </c>
      <c r="AL956" s="369"/>
      <c r="AM956" s="350">
        <v>11810187.569163658</v>
      </c>
      <c r="AN956" s="350">
        <v>11704478.857864972</v>
      </c>
      <c r="AO956" s="350">
        <v>11588790.863833129</v>
      </c>
      <c r="AP956" s="350">
        <v>11440886.048678586</v>
      </c>
      <c r="AQ956" s="350">
        <v>11241738.426416842</v>
      </c>
      <c r="AR956" s="348">
        <v>57786081.765957184</v>
      </c>
      <c r="AS956" s="369"/>
      <c r="AT956" s="350">
        <f t="shared" si="387"/>
        <v>11366436.91343352</v>
      </c>
      <c r="AU956" s="350">
        <f t="shared" si="370"/>
        <v>11262327.338271331</v>
      </c>
      <c r="AV956" s="350">
        <f t="shared" si="371"/>
        <v>11148368.731571034</v>
      </c>
      <c r="AW956" s="350">
        <f t="shared" si="372"/>
        <v>11002538.686723301</v>
      </c>
      <c r="AX956" s="350">
        <f t="shared" si="373"/>
        <v>10806001.801072454</v>
      </c>
      <c r="AY956" s="350">
        <f t="shared" si="374"/>
        <v>55585673.471071638</v>
      </c>
      <c r="AZ956" s="365"/>
      <c r="BA956" s="377">
        <f t="shared" si="375"/>
        <v>0</v>
      </c>
      <c r="BB956" s="377">
        <f t="shared" si="376"/>
        <v>0</v>
      </c>
      <c r="BC956" s="377">
        <f t="shared" si="377"/>
        <v>0</v>
      </c>
      <c r="BD956" s="377">
        <f t="shared" si="378"/>
        <v>0</v>
      </c>
      <c r="BE956" s="377">
        <f t="shared" si="379"/>
        <v>0</v>
      </c>
      <c r="BF956" s="377">
        <f t="shared" si="380"/>
        <v>0</v>
      </c>
      <c r="BG956" s="328"/>
    </row>
    <row r="957" spans="2:59">
      <c r="B957" s="332">
        <v>942</v>
      </c>
      <c r="C957" s="350">
        <v>4098127.9243709724</v>
      </c>
      <c r="D957" s="350">
        <v>4083359.5755894594</v>
      </c>
      <c r="E957" s="350">
        <v>4067388.3304229639</v>
      </c>
      <c r="F957" s="350">
        <v>4048227.4029489406</v>
      </c>
      <c r="G957" s="350">
        <v>4024116.7172065368</v>
      </c>
      <c r="H957" s="348">
        <v>20321219.950538874</v>
      </c>
      <c r="I957" s="369"/>
      <c r="J957" s="350">
        <v>13006168.632580142</v>
      </c>
      <c r="K957" s="350">
        <v>12722290.400248028</v>
      </c>
      <c r="L957" s="350">
        <v>12430841.951592825</v>
      </c>
      <c r="M957" s="350">
        <v>12112742.345187567</v>
      </c>
      <c r="N957" s="350">
        <v>11751998.687384777</v>
      </c>
      <c r="O957" s="348">
        <v>62024042.016993344</v>
      </c>
      <c r="P957" s="369"/>
      <c r="Q957" s="350">
        <f t="shared" si="381"/>
        <v>8908040.70820917</v>
      </c>
      <c r="R957" s="350">
        <f t="shared" si="382"/>
        <v>8638930.8246585689</v>
      </c>
      <c r="S957" s="350">
        <f t="shared" si="383"/>
        <v>8363453.6211698614</v>
      </c>
      <c r="T957" s="350">
        <f t="shared" si="384"/>
        <v>8064514.942238627</v>
      </c>
      <c r="U957" s="350">
        <f t="shared" si="385"/>
        <v>7727881.97017824</v>
      </c>
      <c r="V957" s="350">
        <f t="shared" si="386"/>
        <v>41702822.06645447</v>
      </c>
      <c r="W957" s="365"/>
      <c r="X957" s="377">
        <f t="shared" si="364"/>
        <v>0</v>
      </c>
      <c r="Y957" s="377">
        <f t="shared" si="365"/>
        <v>0</v>
      </c>
      <c r="Z957" s="377">
        <f t="shared" si="366"/>
        <v>0</v>
      </c>
      <c r="AA957" s="377">
        <f t="shared" si="367"/>
        <v>0</v>
      </c>
      <c r="AB957" s="377">
        <f t="shared" si="368"/>
        <v>0</v>
      </c>
      <c r="AC957" s="377">
        <f t="shared" si="369"/>
        <v>0</v>
      </c>
      <c r="AD957" s="376"/>
      <c r="AE957" s="332">
        <v>942</v>
      </c>
      <c r="AF957" s="350">
        <v>528325.06959152513</v>
      </c>
      <c r="AG957" s="350">
        <v>526421.15418387181</v>
      </c>
      <c r="AH957" s="350">
        <v>524362.16301283683</v>
      </c>
      <c r="AI957" s="350">
        <v>521891.96234366036</v>
      </c>
      <c r="AJ957" s="350">
        <v>518783.64558102289</v>
      </c>
      <c r="AK957" s="348">
        <v>2619783.9947129171</v>
      </c>
      <c r="AL957" s="369"/>
      <c r="AM957" s="350">
        <v>14411262.721559679</v>
      </c>
      <c r="AN957" s="350">
        <v>14282883.174761392</v>
      </c>
      <c r="AO957" s="350">
        <v>14142314.04313512</v>
      </c>
      <c r="AP957" s="350">
        <v>13962400.478618769</v>
      </c>
      <c r="AQ957" s="350">
        <v>13719908.133420428</v>
      </c>
      <c r="AR957" s="348">
        <v>70518768.551495388</v>
      </c>
      <c r="AS957" s="369"/>
      <c r="AT957" s="350">
        <f t="shared" si="387"/>
        <v>13882937.651968153</v>
      </c>
      <c r="AU957" s="350">
        <f t="shared" si="370"/>
        <v>13756462.02057752</v>
      </c>
      <c r="AV957" s="350">
        <f t="shared" si="371"/>
        <v>13617951.880122283</v>
      </c>
      <c r="AW957" s="350">
        <f t="shared" si="372"/>
        <v>13440508.516275108</v>
      </c>
      <c r="AX957" s="350">
        <f t="shared" si="373"/>
        <v>13201124.487839404</v>
      </c>
      <c r="AY957" s="350">
        <f t="shared" si="374"/>
        <v>67898984.556782469</v>
      </c>
      <c r="AZ957" s="365"/>
      <c r="BA957" s="377">
        <f t="shared" si="375"/>
        <v>0</v>
      </c>
      <c r="BB957" s="377">
        <f t="shared" si="376"/>
        <v>0</v>
      </c>
      <c r="BC957" s="377">
        <f t="shared" si="377"/>
        <v>0</v>
      </c>
      <c r="BD957" s="377">
        <f t="shared" si="378"/>
        <v>0</v>
      </c>
      <c r="BE957" s="377">
        <f t="shared" si="379"/>
        <v>0</v>
      </c>
      <c r="BF957" s="377">
        <f t="shared" si="380"/>
        <v>0</v>
      </c>
      <c r="BG957" s="328"/>
    </row>
    <row r="958" spans="2:59">
      <c r="B958" s="332">
        <v>943</v>
      </c>
      <c r="C958" s="350">
        <v>7201121.7869552532</v>
      </c>
      <c r="D958" s="350">
        <v>7175171.2358425222</v>
      </c>
      <c r="E958" s="350">
        <v>7147106.9870792516</v>
      </c>
      <c r="F958" s="350">
        <v>7113437.9130928293</v>
      </c>
      <c r="G958" s="350">
        <v>7071071.2550474498</v>
      </c>
      <c r="H958" s="348">
        <v>35707909.178017303</v>
      </c>
      <c r="I958" s="369"/>
      <c r="J958" s="350">
        <v>23614009.159861654</v>
      </c>
      <c r="K958" s="350">
        <v>23109708.874250017</v>
      </c>
      <c r="L958" s="350">
        <v>22591437.247267585</v>
      </c>
      <c r="M958" s="350">
        <v>22024192.118450239</v>
      </c>
      <c r="N958" s="350">
        <v>21378607.756768819</v>
      </c>
      <c r="O958" s="348">
        <v>112717955.15659831</v>
      </c>
      <c r="P958" s="369"/>
      <c r="Q958" s="350">
        <f t="shared" si="381"/>
        <v>16412887.372906402</v>
      </c>
      <c r="R958" s="350">
        <f t="shared" si="382"/>
        <v>15934537.638407495</v>
      </c>
      <c r="S958" s="350">
        <f t="shared" si="383"/>
        <v>15444330.260188334</v>
      </c>
      <c r="T958" s="350">
        <f t="shared" si="384"/>
        <v>14910754.20535741</v>
      </c>
      <c r="U958" s="350">
        <f t="shared" si="385"/>
        <v>14307536.501721369</v>
      </c>
      <c r="V958" s="350">
        <f t="shared" si="386"/>
        <v>77010045.978581011</v>
      </c>
      <c r="W958" s="365"/>
      <c r="X958" s="377">
        <f t="shared" si="364"/>
        <v>0</v>
      </c>
      <c r="Y958" s="377">
        <f t="shared" si="365"/>
        <v>0</v>
      </c>
      <c r="Z958" s="377">
        <f t="shared" si="366"/>
        <v>0</v>
      </c>
      <c r="AA958" s="377">
        <f t="shared" si="367"/>
        <v>0</v>
      </c>
      <c r="AB958" s="377">
        <f t="shared" si="368"/>
        <v>0</v>
      </c>
      <c r="AC958" s="377">
        <f t="shared" si="369"/>
        <v>0</v>
      </c>
      <c r="AD958" s="376"/>
      <c r="AE958" s="332">
        <v>943</v>
      </c>
      <c r="AF958" s="350">
        <v>594417.40532176499</v>
      </c>
      <c r="AG958" s="350">
        <v>592275.31417048874</v>
      </c>
      <c r="AH958" s="350">
        <v>589958.7476096527</v>
      </c>
      <c r="AI958" s="350">
        <v>587179.53012233728</v>
      </c>
      <c r="AJ958" s="350">
        <v>583682.36958366795</v>
      </c>
      <c r="AK958" s="348">
        <v>2947513.3668079115</v>
      </c>
      <c r="AL958" s="369"/>
      <c r="AM958" s="350">
        <v>17824421.453119036</v>
      </c>
      <c r="AN958" s="350">
        <v>17668375.589664135</v>
      </c>
      <c r="AO958" s="350">
        <v>17497197.232523523</v>
      </c>
      <c r="AP958" s="350">
        <v>17277211.726525959</v>
      </c>
      <c r="AQ958" s="350">
        <v>16979600.786171608</v>
      </c>
      <c r="AR958" s="348">
        <v>87246806.788004249</v>
      </c>
      <c r="AS958" s="369"/>
      <c r="AT958" s="350">
        <f t="shared" si="387"/>
        <v>17230004.04779727</v>
      </c>
      <c r="AU958" s="350">
        <f t="shared" si="370"/>
        <v>17076100.275493648</v>
      </c>
      <c r="AV958" s="350">
        <f t="shared" si="371"/>
        <v>16907238.484913871</v>
      </c>
      <c r="AW958" s="350">
        <f t="shared" si="372"/>
        <v>16690032.196403621</v>
      </c>
      <c r="AX958" s="350">
        <f t="shared" si="373"/>
        <v>16395918.416587939</v>
      </c>
      <c r="AY958" s="350">
        <f t="shared" si="374"/>
        <v>84299293.421196342</v>
      </c>
      <c r="AZ958" s="365"/>
      <c r="BA958" s="377">
        <f t="shared" si="375"/>
        <v>0</v>
      </c>
      <c r="BB958" s="377">
        <f t="shared" si="376"/>
        <v>0</v>
      </c>
      <c r="BC958" s="377">
        <f t="shared" si="377"/>
        <v>0</v>
      </c>
      <c r="BD958" s="377">
        <f t="shared" si="378"/>
        <v>0</v>
      </c>
      <c r="BE958" s="377">
        <f t="shared" si="379"/>
        <v>0</v>
      </c>
      <c r="BF958" s="377">
        <f t="shared" si="380"/>
        <v>0</v>
      </c>
      <c r="BG958" s="328"/>
    </row>
    <row r="959" spans="2:59">
      <c r="B959" s="332">
        <v>944</v>
      </c>
      <c r="C959" s="350">
        <v>5197939.8144733161</v>
      </c>
      <c r="D959" s="350">
        <v>5179208.0936627137</v>
      </c>
      <c r="E959" s="350">
        <v>5158950.6559570851</v>
      </c>
      <c r="F959" s="350">
        <v>5134647.5230052862</v>
      </c>
      <c r="G959" s="350">
        <v>5104066.2684208704</v>
      </c>
      <c r="H959" s="348">
        <v>25774812.355519269</v>
      </c>
      <c r="I959" s="369"/>
      <c r="J959" s="350">
        <v>16341288.721166976</v>
      </c>
      <c r="K959" s="350">
        <v>15982345.843610967</v>
      </c>
      <c r="L959" s="350">
        <v>15613937.920730624</v>
      </c>
      <c r="M959" s="350">
        <v>15212164.502623793</v>
      </c>
      <c r="N959" s="350">
        <v>14756998.958063075</v>
      </c>
      <c r="O959" s="348">
        <v>77906735.946195439</v>
      </c>
      <c r="P959" s="369"/>
      <c r="Q959" s="350">
        <f t="shared" si="381"/>
        <v>11143348.90669366</v>
      </c>
      <c r="R959" s="350">
        <f t="shared" si="382"/>
        <v>10803137.749948252</v>
      </c>
      <c r="S959" s="350">
        <f t="shared" si="383"/>
        <v>10454987.26477354</v>
      </c>
      <c r="T959" s="350">
        <f t="shared" si="384"/>
        <v>10077516.979618507</v>
      </c>
      <c r="U959" s="350">
        <f t="shared" si="385"/>
        <v>9652932.6896422058</v>
      </c>
      <c r="V959" s="350">
        <f t="shared" si="386"/>
        <v>52131923.590676174</v>
      </c>
      <c r="W959" s="365"/>
      <c r="X959" s="377">
        <f t="shared" si="364"/>
        <v>0</v>
      </c>
      <c r="Y959" s="377">
        <f t="shared" si="365"/>
        <v>0</v>
      </c>
      <c r="Z959" s="377">
        <f t="shared" si="366"/>
        <v>0</v>
      </c>
      <c r="AA959" s="377">
        <f t="shared" si="367"/>
        <v>0</v>
      </c>
      <c r="AB959" s="377">
        <f t="shared" si="368"/>
        <v>0</v>
      </c>
      <c r="AC959" s="377">
        <f t="shared" si="369"/>
        <v>0</v>
      </c>
      <c r="AD959" s="376"/>
      <c r="AE959" s="332">
        <v>944</v>
      </c>
      <c r="AF959" s="350">
        <v>493051.23436921841</v>
      </c>
      <c r="AG959" s="350">
        <v>491274.43463756109</v>
      </c>
      <c r="AH959" s="350">
        <v>489352.91283807682</v>
      </c>
      <c r="AI959" s="350">
        <v>487047.63610756176</v>
      </c>
      <c r="AJ959" s="350">
        <v>484146.84736056207</v>
      </c>
      <c r="AK959" s="348">
        <v>2444873.0653129802</v>
      </c>
      <c r="AL959" s="369"/>
      <c r="AM959" s="350">
        <v>16403442.893454101</v>
      </c>
      <c r="AN959" s="350">
        <v>16262341.556112502</v>
      </c>
      <c r="AO959" s="350">
        <v>16107262.96057496</v>
      </c>
      <c r="AP959" s="350">
        <v>15907136.141061239</v>
      </c>
      <c r="AQ959" s="350">
        <v>15635366.058075693</v>
      </c>
      <c r="AR959" s="348">
        <v>80315549.6092785</v>
      </c>
      <c r="AS959" s="369"/>
      <c r="AT959" s="350">
        <f t="shared" si="387"/>
        <v>15910391.659084883</v>
      </c>
      <c r="AU959" s="350">
        <f t="shared" si="370"/>
        <v>15771067.12147494</v>
      </c>
      <c r="AV959" s="350">
        <f t="shared" si="371"/>
        <v>15617910.047736883</v>
      </c>
      <c r="AW959" s="350">
        <f t="shared" si="372"/>
        <v>15420088.504953677</v>
      </c>
      <c r="AX959" s="350">
        <f t="shared" si="373"/>
        <v>15151219.21071513</v>
      </c>
      <c r="AY959" s="350">
        <f t="shared" si="374"/>
        <v>77870676.543965518</v>
      </c>
      <c r="AZ959" s="365"/>
      <c r="BA959" s="377">
        <f t="shared" si="375"/>
        <v>0</v>
      </c>
      <c r="BB959" s="377">
        <f t="shared" si="376"/>
        <v>0</v>
      </c>
      <c r="BC959" s="377">
        <f t="shared" si="377"/>
        <v>0</v>
      </c>
      <c r="BD959" s="377">
        <f t="shared" si="378"/>
        <v>0</v>
      </c>
      <c r="BE959" s="377">
        <f t="shared" si="379"/>
        <v>0</v>
      </c>
      <c r="BF959" s="377">
        <f t="shared" si="380"/>
        <v>0</v>
      </c>
      <c r="BG959" s="328"/>
    </row>
    <row r="960" spans="2:59">
      <c r="B960" s="332">
        <v>945</v>
      </c>
      <c r="C960" s="350">
        <v>3630003.1588397566</v>
      </c>
      <c r="D960" s="350">
        <v>3616921.7827292336</v>
      </c>
      <c r="E960" s="350">
        <v>3602774.9158000154</v>
      </c>
      <c r="F960" s="350">
        <v>3585802.7205585307</v>
      </c>
      <c r="G960" s="350">
        <v>3564446.1726366766</v>
      </c>
      <c r="H960" s="348">
        <v>17999948.750564214</v>
      </c>
      <c r="I960" s="369"/>
      <c r="J960" s="350">
        <v>13500462.812667901</v>
      </c>
      <c r="K960" s="350">
        <v>13234741.288116457</v>
      </c>
      <c r="L960" s="350">
        <v>12960570.778137855</v>
      </c>
      <c r="M960" s="350">
        <v>12657210.343393743</v>
      </c>
      <c r="N960" s="350">
        <v>12307202.012674183</v>
      </c>
      <c r="O960" s="348">
        <v>64660187.234990135</v>
      </c>
      <c r="P960" s="369"/>
      <c r="Q960" s="350">
        <f t="shared" si="381"/>
        <v>9870459.6538281441</v>
      </c>
      <c r="R960" s="350">
        <f t="shared" si="382"/>
        <v>9617819.5053872243</v>
      </c>
      <c r="S960" s="350">
        <f t="shared" si="383"/>
        <v>9357795.8623378389</v>
      </c>
      <c r="T960" s="350">
        <f t="shared" si="384"/>
        <v>9071407.6228352115</v>
      </c>
      <c r="U960" s="350">
        <f t="shared" si="385"/>
        <v>8742755.8400375061</v>
      </c>
      <c r="V960" s="350">
        <f t="shared" si="386"/>
        <v>46660238.484425917</v>
      </c>
      <c r="W960" s="365"/>
      <c r="X960" s="377">
        <f t="shared" si="364"/>
        <v>0</v>
      </c>
      <c r="Y960" s="377">
        <f t="shared" si="365"/>
        <v>0</v>
      </c>
      <c r="Z960" s="377">
        <f t="shared" si="366"/>
        <v>0</v>
      </c>
      <c r="AA960" s="377">
        <f t="shared" si="367"/>
        <v>0</v>
      </c>
      <c r="AB960" s="377">
        <f t="shared" si="368"/>
        <v>0</v>
      </c>
      <c r="AC960" s="377">
        <f t="shared" si="369"/>
        <v>0</v>
      </c>
      <c r="AD960" s="376"/>
      <c r="AE960" s="332">
        <v>945</v>
      </c>
      <c r="AF960" s="350">
        <v>450262.53293122345</v>
      </c>
      <c r="AG960" s="350">
        <v>448639.93006174464</v>
      </c>
      <c r="AH960" s="350">
        <v>446885.16460897139</v>
      </c>
      <c r="AI960" s="350">
        <v>444779.94781316095</v>
      </c>
      <c r="AJ960" s="350">
        <v>442130.89960543578</v>
      </c>
      <c r="AK960" s="348">
        <v>2232698.4750205362</v>
      </c>
      <c r="AL960" s="369"/>
      <c r="AM960" s="350">
        <v>11554007.789286304</v>
      </c>
      <c r="AN960" s="350">
        <v>11449843.331651883</v>
      </c>
      <c r="AO960" s="350">
        <v>11335931.345003402</v>
      </c>
      <c r="AP960" s="350">
        <v>11190540.835804105</v>
      </c>
      <c r="AQ960" s="350">
        <v>10995080.693556517</v>
      </c>
      <c r="AR960" s="348">
        <v>56525403.995302215</v>
      </c>
      <c r="AS960" s="369"/>
      <c r="AT960" s="350">
        <f t="shared" si="387"/>
        <v>11103745.256355081</v>
      </c>
      <c r="AU960" s="350">
        <f t="shared" si="370"/>
        <v>11001203.401590139</v>
      </c>
      <c r="AV960" s="350">
        <f t="shared" si="371"/>
        <v>10889046.18039443</v>
      </c>
      <c r="AW960" s="350">
        <f t="shared" si="372"/>
        <v>10745760.887990944</v>
      </c>
      <c r="AX960" s="350">
        <f t="shared" si="373"/>
        <v>10552949.793951081</v>
      </c>
      <c r="AY960" s="350">
        <f t="shared" si="374"/>
        <v>54292705.52028168</v>
      </c>
      <c r="AZ960" s="365"/>
      <c r="BA960" s="377">
        <f t="shared" si="375"/>
        <v>0</v>
      </c>
      <c r="BB960" s="377">
        <f t="shared" si="376"/>
        <v>0</v>
      </c>
      <c r="BC960" s="377">
        <f t="shared" si="377"/>
        <v>0</v>
      </c>
      <c r="BD960" s="377">
        <f t="shared" si="378"/>
        <v>0</v>
      </c>
      <c r="BE960" s="377">
        <f t="shared" si="379"/>
        <v>0</v>
      </c>
      <c r="BF960" s="377">
        <f t="shared" si="380"/>
        <v>0</v>
      </c>
      <c r="BG960" s="328"/>
    </row>
    <row r="961" spans="2:59">
      <c r="B961" s="332">
        <v>946</v>
      </c>
      <c r="C961" s="350">
        <v>5420326.9279285073</v>
      </c>
      <c r="D961" s="350">
        <v>5400793.7947372682</v>
      </c>
      <c r="E961" s="350">
        <v>5379669.6688324409</v>
      </c>
      <c r="F961" s="350">
        <v>5354326.7578574307</v>
      </c>
      <c r="G961" s="350">
        <v>5322437.1239582077</v>
      </c>
      <c r="H961" s="348">
        <v>26877554.273313854</v>
      </c>
      <c r="I961" s="369"/>
      <c r="J961" s="350">
        <v>17827619.514455602</v>
      </c>
      <c r="K961" s="350">
        <v>17447646.167319812</v>
      </c>
      <c r="L961" s="350">
        <v>17057109.649193019</v>
      </c>
      <c r="M961" s="350">
        <v>16629560.431295838</v>
      </c>
      <c r="N961" s="350">
        <v>16142806.278036043</v>
      </c>
      <c r="O961" s="348">
        <v>85104742.04030031</v>
      </c>
      <c r="P961" s="369"/>
      <c r="Q961" s="350">
        <f t="shared" si="381"/>
        <v>12407292.586527094</v>
      </c>
      <c r="R961" s="350">
        <f t="shared" si="382"/>
        <v>12046852.372582544</v>
      </c>
      <c r="S961" s="350">
        <f t="shared" si="383"/>
        <v>11677439.980360579</v>
      </c>
      <c r="T961" s="350">
        <f t="shared" si="384"/>
        <v>11275233.673438407</v>
      </c>
      <c r="U961" s="350">
        <f t="shared" si="385"/>
        <v>10820369.154077835</v>
      </c>
      <c r="V961" s="350">
        <f t="shared" si="386"/>
        <v>58227187.766986459</v>
      </c>
      <c r="W961" s="365"/>
      <c r="X961" s="377">
        <f t="shared" si="364"/>
        <v>0</v>
      </c>
      <c r="Y961" s="377">
        <f t="shared" si="365"/>
        <v>0</v>
      </c>
      <c r="Z961" s="377">
        <f t="shared" si="366"/>
        <v>0</v>
      </c>
      <c r="AA961" s="377">
        <f t="shared" si="367"/>
        <v>0</v>
      </c>
      <c r="AB961" s="377">
        <f t="shared" si="368"/>
        <v>0</v>
      </c>
      <c r="AC961" s="377">
        <f t="shared" si="369"/>
        <v>0</v>
      </c>
      <c r="AD961" s="376"/>
      <c r="AE961" s="332">
        <v>946</v>
      </c>
      <c r="AF961" s="350">
        <v>498754.65272503201</v>
      </c>
      <c r="AG961" s="350">
        <v>496957.29968877329</v>
      </c>
      <c r="AH961" s="350">
        <v>495013.5504980195</v>
      </c>
      <c r="AI961" s="350">
        <v>492681.607253553</v>
      </c>
      <c r="AJ961" s="350">
        <v>489747.26334913203</v>
      </c>
      <c r="AK961" s="348">
        <v>2473154.3735145098</v>
      </c>
      <c r="AL961" s="369"/>
      <c r="AM961" s="350">
        <v>12439838.151811678</v>
      </c>
      <c r="AN961" s="350">
        <v>12327039.336944705</v>
      </c>
      <c r="AO961" s="350">
        <v>12203758.899440225</v>
      </c>
      <c r="AP961" s="350">
        <v>12046620.694300054</v>
      </c>
      <c r="AQ961" s="350">
        <v>11835627.453311102</v>
      </c>
      <c r="AR961" s="348">
        <v>60852884.535807759</v>
      </c>
      <c r="AS961" s="369"/>
      <c r="AT961" s="350">
        <f t="shared" si="387"/>
        <v>11941083.499086646</v>
      </c>
      <c r="AU961" s="350">
        <f t="shared" si="370"/>
        <v>11830082.037255932</v>
      </c>
      <c r="AV961" s="350">
        <f t="shared" si="371"/>
        <v>11708745.348942205</v>
      </c>
      <c r="AW961" s="350">
        <f t="shared" si="372"/>
        <v>11553939.0870465</v>
      </c>
      <c r="AX961" s="350">
        <f t="shared" si="373"/>
        <v>11345880.18996197</v>
      </c>
      <c r="AY961" s="350">
        <f t="shared" si="374"/>
        <v>58379730.162293248</v>
      </c>
      <c r="AZ961" s="365"/>
      <c r="BA961" s="377">
        <f t="shared" si="375"/>
        <v>0</v>
      </c>
      <c r="BB961" s="377">
        <f t="shared" si="376"/>
        <v>0</v>
      </c>
      <c r="BC961" s="377">
        <f t="shared" si="377"/>
        <v>0</v>
      </c>
      <c r="BD961" s="377">
        <f t="shared" si="378"/>
        <v>0</v>
      </c>
      <c r="BE961" s="377">
        <f t="shared" si="379"/>
        <v>0</v>
      </c>
      <c r="BF961" s="377">
        <f t="shared" si="380"/>
        <v>0</v>
      </c>
      <c r="BG961" s="328"/>
    </row>
    <row r="962" spans="2:59">
      <c r="B962" s="332">
        <v>947</v>
      </c>
      <c r="C962" s="350">
        <v>4917572.4528904529</v>
      </c>
      <c r="D962" s="350">
        <v>4899851.0868221186</v>
      </c>
      <c r="E962" s="350">
        <v>4880686.2982360786</v>
      </c>
      <c r="F962" s="350">
        <v>4857694.0318019968</v>
      </c>
      <c r="G962" s="350">
        <v>4828762.274127461</v>
      </c>
      <c r="H962" s="348">
        <v>24384566.14387811</v>
      </c>
      <c r="I962" s="369"/>
      <c r="J962" s="350">
        <v>15381422.589184161</v>
      </c>
      <c r="K962" s="350">
        <v>15042405.829076115</v>
      </c>
      <c r="L962" s="350">
        <v>14694503.628886631</v>
      </c>
      <c r="M962" s="350">
        <v>14315256.810550096</v>
      </c>
      <c r="N962" s="350">
        <v>13885849.369420558</v>
      </c>
      <c r="O962" s="348">
        <v>73319438.227117568</v>
      </c>
      <c r="P962" s="369"/>
      <c r="Q962" s="350">
        <f t="shared" si="381"/>
        <v>10463850.136293709</v>
      </c>
      <c r="R962" s="350">
        <f t="shared" si="382"/>
        <v>10142554.742253996</v>
      </c>
      <c r="S962" s="350">
        <f t="shared" si="383"/>
        <v>9813817.3306505531</v>
      </c>
      <c r="T962" s="350">
        <f t="shared" si="384"/>
        <v>9457562.7787480988</v>
      </c>
      <c r="U962" s="350">
        <f t="shared" si="385"/>
        <v>9057087.0952930972</v>
      </c>
      <c r="V962" s="350">
        <f t="shared" si="386"/>
        <v>48934872.083239459</v>
      </c>
      <c r="W962" s="365"/>
      <c r="X962" s="377">
        <f t="shared" si="364"/>
        <v>0</v>
      </c>
      <c r="Y962" s="377">
        <f t="shared" si="365"/>
        <v>0</v>
      </c>
      <c r="Z962" s="377">
        <f t="shared" si="366"/>
        <v>0</v>
      </c>
      <c r="AA962" s="377">
        <f t="shared" si="367"/>
        <v>0</v>
      </c>
      <c r="AB962" s="377">
        <f t="shared" si="368"/>
        <v>0</v>
      </c>
      <c r="AC962" s="377">
        <f t="shared" si="369"/>
        <v>0</v>
      </c>
      <c r="AD962" s="376"/>
      <c r="AE962" s="332">
        <v>947</v>
      </c>
      <c r="AF962" s="350">
        <v>511925.82739152433</v>
      </c>
      <c r="AG962" s="350">
        <v>510081.00963358616</v>
      </c>
      <c r="AH962" s="350">
        <v>508085.92967336602</v>
      </c>
      <c r="AI962" s="350">
        <v>505692.40418276429</v>
      </c>
      <c r="AJ962" s="350">
        <v>502680.56976094062</v>
      </c>
      <c r="AK962" s="348">
        <v>2538465.7406421811</v>
      </c>
      <c r="AL962" s="369"/>
      <c r="AM962" s="350">
        <v>15713379.338419348</v>
      </c>
      <c r="AN962" s="350">
        <v>15576375.828322494</v>
      </c>
      <c r="AO962" s="350">
        <v>15426020.591475088</v>
      </c>
      <c r="AP962" s="350">
        <v>15232609.124853719</v>
      </c>
      <c r="AQ962" s="350">
        <v>14970719.632351337</v>
      </c>
      <c r="AR962" s="348">
        <v>76919104.515421987</v>
      </c>
      <c r="AS962" s="369"/>
      <c r="AT962" s="350">
        <f t="shared" si="387"/>
        <v>15201453.511027824</v>
      </c>
      <c r="AU962" s="350">
        <f t="shared" si="370"/>
        <v>15066294.818688909</v>
      </c>
      <c r="AV962" s="350">
        <f t="shared" si="371"/>
        <v>14917934.661801722</v>
      </c>
      <c r="AW962" s="350">
        <f t="shared" si="372"/>
        <v>14726916.720670955</v>
      </c>
      <c r="AX962" s="350">
        <f t="shared" si="373"/>
        <v>14468039.062590396</v>
      </c>
      <c r="AY962" s="350">
        <f t="shared" si="374"/>
        <v>74380638.774779812</v>
      </c>
      <c r="AZ962" s="365"/>
      <c r="BA962" s="377">
        <f t="shared" si="375"/>
        <v>0</v>
      </c>
      <c r="BB962" s="377">
        <f t="shared" si="376"/>
        <v>0</v>
      </c>
      <c r="BC962" s="377">
        <f t="shared" si="377"/>
        <v>0</v>
      </c>
      <c r="BD962" s="377">
        <f t="shared" si="378"/>
        <v>0</v>
      </c>
      <c r="BE962" s="377">
        <f t="shared" si="379"/>
        <v>0</v>
      </c>
      <c r="BF962" s="377">
        <f t="shared" si="380"/>
        <v>0</v>
      </c>
      <c r="BG962" s="328"/>
    </row>
    <row r="963" spans="2:59">
      <c r="B963" s="332">
        <v>948</v>
      </c>
      <c r="C963" s="350">
        <v>4829645.719784176</v>
      </c>
      <c r="D963" s="350">
        <v>4812241.2136786571</v>
      </c>
      <c r="E963" s="350">
        <v>4793419.0936078634</v>
      </c>
      <c r="F963" s="350">
        <v>4770837.9314114144</v>
      </c>
      <c r="G963" s="350">
        <v>4742423.4767272696</v>
      </c>
      <c r="H963" s="348">
        <v>23948567.435209379</v>
      </c>
      <c r="I963" s="369"/>
      <c r="J963" s="350">
        <v>18633083.829909958</v>
      </c>
      <c r="K963" s="350">
        <v>18274710.6419992</v>
      </c>
      <c r="L963" s="350">
        <v>17904505.395052485</v>
      </c>
      <c r="M963" s="350">
        <v>17493571.493871864</v>
      </c>
      <c r="N963" s="350">
        <v>17017565.863352343</v>
      </c>
      <c r="O963" s="348">
        <v>89323437.224185854</v>
      </c>
      <c r="P963" s="369"/>
      <c r="Q963" s="350">
        <f t="shared" si="381"/>
        <v>13803438.110125782</v>
      </c>
      <c r="R963" s="350">
        <f t="shared" si="382"/>
        <v>13462469.428320542</v>
      </c>
      <c r="S963" s="350">
        <f t="shared" si="383"/>
        <v>13111086.301444622</v>
      </c>
      <c r="T963" s="350">
        <f t="shared" si="384"/>
        <v>12722733.562460449</v>
      </c>
      <c r="U963" s="350">
        <f t="shared" si="385"/>
        <v>12275142.386625074</v>
      </c>
      <c r="V963" s="350">
        <f t="shared" si="386"/>
        <v>65374869.788976476</v>
      </c>
      <c r="W963" s="365"/>
      <c r="X963" s="377">
        <f t="shared" si="364"/>
        <v>0</v>
      </c>
      <c r="Y963" s="377">
        <f t="shared" si="365"/>
        <v>0</v>
      </c>
      <c r="Z963" s="377">
        <f t="shared" si="366"/>
        <v>0</v>
      </c>
      <c r="AA963" s="377">
        <f t="shared" si="367"/>
        <v>0</v>
      </c>
      <c r="AB963" s="377">
        <f t="shared" si="368"/>
        <v>0</v>
      </c>
      <c r="AC963" s="377">
        <f t="shared" si="369"/>
        <v>0</v>
      </c>
      <c r="AD963" s="376"/>
      <c r="AE963" s="332">
        <v>948</v>
      </c>
      <c r="AF963" s="350">
        <v>588721.30404794379</v>
      </c>
      <c r="AG963" s="350">
        <v>586599.73983283422</v>
      </c>
      <c r="AH963" s="350">
        <v>584305.37214709842</v>
      </c>
      <c r="AI963" s="350">
        <v>581552.78696248471</v>
      </c>
      <c r="AJ963" s="350">
        <v>578089.13853234507</v>
      </c>
      <c r="AK963" s="348">
        <v>2919268.3415227062</v>
      </c>
      <c r="AL963" s="369"/>
      <c r="AM963" s="350">
        <v>17473915.984298803</v>
      </c>
      <c r="AN963" s="350">
        <v>17320660.619289029</v>
      </c>
      <c r="AO963" s="350">
        <v>17152576.008678246</v>
      </c>
      <c r="AP963" s="350">
        <v>16936658.666863613</v>
      </c>
      <c r="AQ963" s="350">
        <v>16644665.235593028</v>
      </c>
      <c r="AR963" s="348">
        <v>85528476.514722705</v>
      </c>
      <c r="AS963" s="369"/>
      <c r="AT963" s="350">
        <f t="shared" si="387"/>
        <v>16885194.680250861</v>
      </c>
      <c r="AU963" s="350">
        <f t="shared" si="370"/>
        <v>16734060.879456196</v>
      </c>
      <c r="AV963" s="350">
        <f t="shared" si="371"/>
        <v>16568270.636531148</v>
      </c>
      <c r="AW963" s="350">
        <f t="shared" si="372"/>
        <v>16355105.879901128</v>
      </c>
      <c r="AX963" s="350">
        <f t="shared" si="373"/>
        <v>16066576.097060684</v>
      </c>
      <c r="AY963" s="350">
        <f t="shared" si="374"/>
        <v>82609208.173199996</v>
      </c>
      <c r="AZ963" s="365"/>
      <c r="BA963" s="377">
        <f t="shared" si="375"/>
        <v>0</v>
      </c>
      <c r="BB963" s="377">
        <f t="shared" si="376"/>
        <v>0</v>
      </c>
      <c r="BC963" s="377">
        <f t="shared" si="377"/>
        <v>0</v>
      </c>
      <c r="BD963" s="377">
        <f t="shared" si="378"/>
        <v>0</v>
      </c>
      <c r="BE963" s="377">
        <f t="shared" si="379"/>
        <v>0</v>
      </c>
      <c r="BF963" s="377">
        <f t="shared" si="380"/>
        <v>0</v>
      </c>
      <c r="BG963" s="328"/>
    </row>
    <row r="964" spans="2:59">
      <c r="B964" s="332">
        <v>949</v>
      </c>
      <c r="C964" s="350">
        <v>7715623.8866220489</v>
      </c>
      <c r="D964" s="350">
        <v>7687819.2336860169</v>
      </c>
      <c r="E964" s="350">
        <v>7657749.864701</v>
      </c>
      <c r="F964" s="350">
        <v>7621675.219781002</v>
      </c>
      <c r="G964" s="350">
        <v>7576281.570224423</v>
      </c>
      <c r="H964" s="348">
        <v>38259149.77501449</v>
      </c>
      <c r="I964" s="369"/>
      <c r="J964" s="350">
        <v>22708520.777276322</v>
      </c>
      <c r="K964" s="350">
        <v>22186875.672410291</v>
      </c>
      <c r="L964" s="350">
        <v>21652544.019201018</v>
      </c>
      <c r="M964" s="350">
        <v>21073050.541891526</v>
      </c>
      <c r="N964" s="350">
        <v>20421241.971060641</v>
      </c>
      <c r="O964" s="348">
        <v>108042232.98183981</v>
      </c>
      <c r="P964" s="369"/>
      <c r="Q964" s="350">
        <f t="shared" si="381"/>
        <v>14992896.890654273</v>
      </c>
      <c r="R964" s="350">
        <f t="shared" si="382"/>
        <v>14499056.438724274</v>
      </c>
      <c r="S964" s="350">
        <f t="shared" si="383"/>
        <v>13994794.154500019</v>
      </c>
      <c r="T964" s="350">
        <f t="shared" si="384"/>
        <v>13451375.322110524</v>
      </c>
      <c r="U964" s="350">
        <f t="shared" si="385"/>
        <v>12844960.400836218</v>
      </c>
      <c r="V964" s="350">
        <f t="shared" si="386"/>
        <v>69783083.206825316</v>
      </c>
      <c r="W964" s="365"/>
      <c r="X964" s="377">
        <f t="shared" si="364"/>
        <v>0</v>
      </c>
      <c r="Y964" s="377">
        <f t="shared" si="365"/>
        <v>0</v>
      </c>
      <c r="Z964" s="377">
        <f t="shared" si="366"/>
        <v>0</v>
      </c>
      <c r="AA964" s="377">
        <f t="shared" si="367"/>
        <v>0</v>
      </c>
      <c r="AB964" s="377">
        <f t="shared" si="368"/>
        <v>0</v>
      </c>
      <c r="AC964" s="377">
        <f t="shared" si="369"/>
        <v>0</v>
      </c>
      <c r="AD964" s="376"/>
      <c r="AE964" s="332">
        <v>949</v>
      </c>
      <c r="AF964" s="350">
        <v>359610.38190453814</v>
      </c>
      <c r="AG964" s="350">
        <v>358314.46053667739</v>
      </c>
      <c r="AH964" s="350">
        <v>356912.98511184769</v>
      </c>
      <c r="AI964" s="350">
        <v>355231.6153318556</v>
      </c>
      <c r="AJ964" s="350">
        <v>353115.90467864624</v>
      </c>
      <c r="AK964" s="348">
        <v>1783185.347563565</v>
      </c>
      <c r="AL964" s="369"/>
      <c r="AM964" s="350">
        <v>10372661.759031529</v>
      </c>
      <c r="AN964" s="350">
        <v>10281217.617689596</v>
      </c>
      <c r="AO964" s="350">
        <v>10180980.320191633</v>
      </c>
      <c r="AP964" s="350">
        <v>10052373.918130962</v>
      </c>
      <c r="AQ964" s="350">
        <v>9878646.8535809834</v>
      </c>
      <c r="AR964" s="348">
        <v>50765880.468624704</v>
      </c>
      <c r="AS964" s="369"/>
      <c r="AT964" s="350">
        <f t="shared" si="387"/>
        <v>10013051.37712699</v>
      </c>
      <c r="AU964" s="350">
        <f t="shared" si="370"/>
        <v>9922903.1571529191</v>
      </c>
      <c r="AV964" s="350">
        <f t="shared" si="371"/>
        <v>9824067.3350797854</v>
      </c>
      <c r="AW964" s="350">
        <f t="shared" si="372"/>
        <v>9697142.3027991056</v>
      </c>
      <c r="AX964" s="350">
        <f t="shared" si="373"/>
        <v>9525530.9489023369</v>
      </c>
      <c r="AY964" s="350">
        <f t="shared" si="374"/>
        <v>48982695.121061139</v>
      </c>
      <c r="AZ964" s="365"/>
      <c r="BA964" s="377">
        <f t="shared" si="375"/>
        <v>0</v>
      </c>
      <c r="BB964" s="377">
        <f t="shared" si="376"/>
        <v>0</v>
      </c>
      <c r="BC964" s="377">
        <f t="shared" si="377"/>
        <v>0</v>
      </c>
      <c r="BD964" s="377">
        <f t="shared" si="378"/>
        <v>0</v>
      </c>
      <c r="BE964" s="377">
        <f t="shared" si="379"/>
        <v>0</v>
      </c>
      <c r="BF964" s="377">
        <f t="shared" si="380"/>
        <v>0</v>
      </c>
      <c r="BG964" s="328"/>
    </row>
    <row r="965" spans="2:59">
      <c r="B965" s="332">
        <v>950</v>
      </c>
      <c r="C965" s="350">
        <v>7065793.0669624731</v>
      </c>
      <c r="D965" s="350">
        <v>7040330.1974872816</v>
      </c>
      <c r="E965" s="350">
        <v>7012793.3525056802</v>
      </c>
      <c r="F965" s="350">
        <v>6979757.0122544635</v>
      </c>
      <c r="G965" s="350">
        <v>6938186.5392720848</v>
      </c>
      <c r="H965" s="348">
        <v>35036860.168481983</v>
      </c>
      <c r="I965" s="369"/>
      <c r="J965" s="350">
        <v>25326302.351797052</v>
      </c>
      <c r="K965" s="350">
        <v>24815939.701118656</v>
      </c>
      <c r="L965" s="350">
        <v>24289969.702330433</v>
      </c>
      <c r="M965" s="350">
        <v>23709866.911690142</v>
      </c>
      <c r="N965" s="350">
        <v>23043232.76255171</v>
      </c>
      <c r="O965" s="348">
        <v>121185311.42948799</v>
      </c>
      <c r="P965" s="369"/>
      <c r="Q965" s="350">
        <f t="shared" si="381"/>
        <v>18260509.284834579</v>
      </c>
      <c r="R965" s="350">
        <f t="shared" si="382"/>
        <v>17775609.503631376</v>
      </c>
      <c r="S965" s="350">
        <f t="shared" si="383"/>
        <v>17277176.349824753</v>
      </c>
      <c r="T965" s="350">
        <f t="shared" si="384"/>
        <v>16730109.899435678</v>
      </c>
      <c r="U965" s="350">
        <f t="shared" si="385"/>
        <v>16105046.223279625</v>
      </c>
      <c r="V965" s="350">
        <f t="shared" si="386"/>
        <v>86148451.261005998</v>
      </c>
      <c r="W965" s="365"/>
      <c r="X965" s="377">
        <f t="shared" si="364"/>
        <v>0</v>
      </c>
      <c r="Y965" s="377">
        <f t="shared" si="365"/>
        <v>0</v>
      </c>
      <c r="Z965" s="377">
        <f t="shared" si="366"/>
        <v>0</v>
      </c>
      <c r="AA965" s="377">
        <f t="shared" si="367"/>
        <v>0</v>
      </c>
      <c r="AB965" s="377">
        <f t="shared" si="368"/>
        <v>0</v>
      </c>
      <c r="AC965" s="377">
        <f t="shared" si="369"/>
        <v>0</v>
      </c>
      <c r="AD965" s="376"/>
      <c r="AE965" s="332">
        <v>950</v>
      </c>
      <c r="AF965" s="350">
        <v>416913.01154413522</v>
      </c>
      <c r="AG965" s="350">
        <v>415410.58973601687</v>
      </c>
      <c r="AH965" s="350">
        <v>413785.79420904565</v>
      </c>
      <c r="AI965" s="350">
        <v>411836.5041613467</v>
      </c>
      <c r="AJ965" s="350">
        <v>409383.66257397644</v>
      </c>
      <c r="AK965" s="348">
        <v>2067329.5622245208</v>
      </c>
      <c r="AL965" s="369"/>
      <c r="AM965" s="350">
        <v>11923583.975908387</v>
      </c>
      <c r="AN965" s="350">
        <v>11818303.143369216</v>
      </c>
      <c r="AO965" s="350">
        <v>11702917.748219801</v>
      </c>
      <c r="AP965" s="350">
        <v>11554930.13770753</v>
      </c>
      <c r="AQ965" s="350">
        <v>11355088.913619904</v>
      </c>
      <c r="AR965" s="348">
        <v>58354823.918824844</v>
      </c>
      <c r="AS965" s="369"/>
      <c r="AT965" s="350">
        <f t="shared" si="387"/>
        <v>11506670.964364253</v>
      </c>
      <c r="AU965" s="350">
        <f t="shared" si="370"/>
        <v>11402892.5536332</v>
      </c>
      <c r="AV965" s="350">
        <f t="shared" si="371"/>
        <v>11289131.954010755</v>
      </c>
      <c r="AW965" s="350">
        <f t="shared" si="372"/>
        <v>11143093.633546183</v>
      </c>
      <c r="AX965" s="350">
        <f t="shared" si="373"/>
        <v>10945705.251045927</v>
      </c>
      <c r="AY965" s="350">
        <f t="shared" si="374"/>
        <v>56287494.356600322</v>
      </c>
      <c r="AZ965" s="365"/>
      <c r="BA965" s="377">
        <f t="shared" si="375"/>
        <v>0</v>
      </c>
      <c r="BB965" s="377">
        <f t="shared" si="376"/>
        <v>0</v>
      </c>
      <c r="BC965" s="377">
        <f t="shared" si="377"/>
        <v>0</v>
      </c>
      <c r="BD965" s="377">
        <f t="shared" si="378"/>
        <v>0</v>
      </c>
      <c r="BE965" s="377">
        <f t="shared" si="379"/>
        <v>0</v>
      </c>
      <c r="BF965" s="377">
        <f t="shared" si="380"/>
        <v>0</v>
      </c>
      <c r="BG965" s="328"/>
    </row>
    <row r="966" spans="2:59">
      <c r="B966" s="332">
        <v>951</v>
      </c>
      <c r="C966" s="350">
        <v>3130746.3935965947</v>
      </c>
      <c r="D966" s="350">
        <v>3119464.1799760456</v>
      </c>
      <c r="E966" s="350">
        <v>3107263.0190730635</v>
      </c>
      <c r="F966" s="350">
        <v>3092625.1147190956</v>
      </c>
      <c r="G966" s="350">
        <v>3074205.8648010357</v>
      </c>
      <c r="H966" s="348">
        <v>15524304.572165838</v>
      </c>
      <c r="I966" s="369"/>
      <c r="J966" s="350">
        <v>9742854.9724915251</v>
      </c>
      <c r="K966" s="350">
        <v>9527379.569254227</v>
      </c>
      <c r="L966" s="350">
        <v>9306291.0145987645</v>
      </c>
      <c r="M966" s="350">
        <v>9065387.0663356408</v>
      </c>
      <c r="N966" s="350">
        <v>8792771.1570992712</v>
      </c>
      <c r="O966" s="348">
        <v>46434683.779779427</v>
      </c>
      <c r="P966" s="369"/>
      <c r="Q966" s="350">
        <f t="shared" si="381"/>
        <v>6612108.57889493</v>
      </c>
      <c r="R966" s="350">
        <f t="shared" si="382"/>
        <v>6407915.3892781809</v>
      </c>
      <c r="S966" s="350">
        <f t="shared" si="383"/>
        <v>6199027.995525701</v>
      </c>
      <c r="T966" s="350">
        <f t="shared" si="384"/>
        <v>5972761.9516165452</v>
      </c>
      <c r="U966" s="350">
        <f t="shared" si="385"/>
        <v>5718565.292298235</v>
      </c>
      <c r="V966" s="350">
        <f t="shared" si="386"/>
        <v>30910379.207613587</v>
      </c>
      <c r="W966" s="365"/>
      <c r="X966" s="377">
        <f t="shared" si="364"/>
        <v>0</v>
      </c>
      <c r="Y966" s="377">
        <f t="shared" si="365"/>
        <v>0</v>
      </c>
      <c r="Z966" s="377">
        <f t="shared" si="366"/>
        <v>0</v>
      </c>
      <c r="AA966" s="377">
        <f t="shared" si="367"/>
        <v>0</v>
      </c>
      <c r="AB966" s="377">
        <f t="shared" si="368"/>
        <v>0</v>
      </c>
      <c r="AC966" s="377">
        <f t="shared" si="369"/>
        <v>0</v>
      </c>
      <c r="AD966" s="376"/>
      <c r="AE966" s="332">
        <v>951</v>
      </c>
      <c r="AF966" s="350">
        <v>531672.27440053527</v>
      </c>
      <c r="AG966" s="350">
        <v>529756.2967320215</v>
      </c>
      <c r="AH966" s="350">
        <v>527684.26081723673</v>
      </c>
      <c r="AI966" s="350">
        <v>525198.41018549947</v>
      </c>
      <c r="AJ966" s="350">
        <v>522070.40067418385</v>
      </c>
      <c r="AK966" s="348">
        <v>2636381.6428094767</v>
      </c>
      <c r="AL966" s="369"/>
      <c r="AM966" s="350">
        <v>16244418.135763174</v>
      </c>
      <c r="AN966" s="350">
        <v>16102671.07358882</v>
      </c>
      <c r="AO966" s="350">
        <v>15947123.375825137</v>
      </c>
      <c r="AP966" s="350">
        <v>15747070.330847377</v>
      </c>
      <c r="AQ966" s="350">
        <v>15476234.365371864</v>
      </c>
      <c r="AR966" s="348">
        <v>79517517.281396374</v>
      </c>
      <c r="AS966" s="369"/>
      <c r="AT966" s="350">
        <f t="shared" si="387"/>
        <v>15712745.861362638</v>
      </c>
      <c r="AU966" s="350">
        <f t="shared" si="370"/>
        <v>15572914.776856799</v>
      </c>
      <c r="AV966" s="350">
        <f t="shared" si="371"/>
        <v>15419439.1150079</v>
      </c>
      <c r="AW966" s="350">
        <f t="shared" si="372"/>
        <v>15221871.920661878</v>
      </c>
      <c r="AX966" s="350">
        <f t="shared" si="373"/>
        <v>14954163.964697681</v>
      </c>
      <c r="AY966" s="350">
        <f t="shared" si="374"/>
        <v>76881135.638586894</v>
      </c>
      <c r="AZ966" s="365"/>
      <c r="BA966" s="377">
        <f t="shared" si="375"/>
        <v>0</v>
      </c>
      <c r="BB966" s="377">
        <f t="shared" si="376"/>
        <v>0</v>
      </c>
      <c r="BC966" s="377">
        <f t="shared" si="377"/>
        <v>0</v>
      </c>
      <c r="BD966" s="377">
        <f t="shared" si="378"/>
        <v>0</v>
      </c>
      <c r="BE966" s="377">
        <f t="shared" si="379"/>
        <v>0</v>
      </c>
      <c r="BF966" s="377">
        <f t="shared" si="380"/>
        <v>0</v>
      </c>
      <c r="BG966" s="328"/>
    </row>
    <row r="967" spans="2:59">
      <c r="B967" s="332">
        <v>952</v>
      </c>
      <c r="C967" s="350">
        <v>9021496.1415874679</v>
      </c>
      <c r="D967" s="350">
        <v>8988985.5406475328</v>
      </c>
      <c r="E967" s="350">
        <v>8953826.9196125381</v>
      </c>
      <c r="F967" s="350">
        <v>8911646.6274239589</v>
      </c>
      <c r="G967" s="350">
        <v>8858570.0855467282</v>
      </c>
      <c r="H967" s="348">
        <v>44734525.314818233</v>
      </c>
      <c r="I967" s="369"/>
      <c r="J967" s="350">
        <v>29718381.13069395</v>
      </c>
      <c r="K967" s="350">
        <v>29085625.749530435</v>
      </c>
      <c r="L967" s="350">
        <v>28435248.349075425</v>
      </c>
      <c r="M967" s="350">
        <v>27723136.809098959</v>
      </c>
      <c r="N967" s="350">
        <v>26912277.609000891</v>
      </c>
      <c r="O967" s="348">
        <v>141874669.64739966</v>
      </c>
      <c r="P967" s="369"/>
      <c r="Q967" s="350">
        <f t="shared" si="381"/>
        <v>20696884.989106484</v>
      </c>
      <c r="R967" s="350">
        <f t="shared" si="382"/>
        <v>20096640.208882902</v>
      </c>
      <c r="S967" s="350">
        <f t="shared" si="383"/>
        <v>19481421.429462887</v>
      </c>
      <c r="T967" s="350">
        <f t="shared" si="384"/>
        <v>18811490.181675002</v>
      </c>
      <c r="U967" s="350">
        <f t="shared" si="385"/>
        <v>18053707.523454163</v>
      </c>
      <c r="V967" s="350">
        <f t="shared" si="386"/>
        <v>97140144.332581431</v>
      </c>
      <c r="W967" s="365"/>
      <c r="X967" s="377">
        <f t="shared" si="364"/>
        <v>0</v>
      </c>
      <c r="Y967" s="377">
        <f t="shared" si="365"/>
        <v>0</v>
      </c>
      <c r="Z967" s="377">
        <f t="shared" si="366"/>
        <v>0</v>
      </c>
      <c r="AA967" s="377">
        <f t="shared" si="367"/>
        <v>0</v>
      </c>
      <c r="AB967" s="377">
        <f t="shared" si="368"/>
        <v>0</v>
      </c>
      <c r="AC967" s="377">
        <f t="shared" si="369"/>
        <v>0</v>
      </c>
      <c r="AD967" s="376"/>
      <c r="AE967" s="332">
        <v>952</v>
      </c>
      <c r="AF967" s="350">
        <v>523261.37731343275</v>
      </c>
      <c r="AG967" s="350">
        <v>521375.70984119398</v>
      </c>
      <c r="AH967" s="350">
        <v>519336.45291767723</v>
      </c>
      <c r="AI967" s="350">
        <v>516889.92770282592</v>
      </c>
      <c r="AJ967" s="350">
        <v>513811.40237068193</v>
      </c>
      <c r="AK967" s="348">
        <v>2594674.8701458117</v>
      </c>
      <c r="AL967" s="369"/>
      <c r="AM967" s="350">
        <v>20156949.562000986</v>
      </c>
      <c r="AN967" s="350">
        <v>19987393.698345449</v>
      </c>
      <c r="AO967" s="350">
        <v>19800583.972073771</v>
      </c>
      <c r="AP967" s="350">
        <v>19558215.835835528</v>
      </c>
      <c r="AQ967" s="350">
        <v>19227495.139742661</v>
      </c>
      <c r="AR967" s="348">
        <v>98730638.207998395</v>
      </c>
      <c r="AS967" s="369"/>
      <c r="AT967" s="350">
        <f t="shared" si="387"/>
        <v>19633688.184687555</v>
      </c>
      <c r="AU967" s="350">
        <f t="shared" si="370"/>
        <v>19466017.988504253</v>
      </c>
      <c r="AV967" s="350">
        <f t="shared" si="371"/>
        <v>19281247.519156095</v>
      </c>
      <c r="AW967" s="350">
        <f t="shared" si="372"/>
        <v>19041325.908132702</v>
      </c>
      <c r="AX967" s="350">
        <f t="shared" si="373"/>
        <v>18713683.737371981</v>
      </c>
      <c r="AY967" s="350">
        <f t="shared" si="374"/>
        <v>96135963.337852582</v>
      </c>
      <c r="AZ967" s="365"/>
      <c r="BA967" s="377">
        <f t="shared" si="375"/>
        <v>0</v>
      </c>
      <c r="BB967" s="377">
        <f t="shared" si="376"/>
        <v>0</v>
      </c>
      <c r="BC967" s="377">
        <f t="shared" si="377"/>
        <v>0</v>
      </c>
      <c r="BD967" s="377">
        <f t="shared" si="378"/>
        <v>0</v>
      </c>
      <c r="BE967" s="377">
        <f t="shared" si="379"/>
        <v>0</v>
      </c>
      <c r="BF967" s="377">
        <f t="shared" si="380"/>
        <v>0</v>
      </c>
      <c r="BG967" s="328"/>
    </row>
    <row r="968" spans="2:59">
      <c r="B968" s="332">
        <v>953</v>
      </c>
      <c r="C968" s="350">
        <v>5645391.9073775923</v>
      </c>
      <c r="D968" s="350">
        <v>5625047.7116289251</v>
      </c>
      <c r="E968" s="350">
        <v>5603046.4613318117</v>
      </c>
      <c r="F968" s="350">
        <v>5576651.2518859506</v>
      </c>
      <c r="G968" s="350">
        <v>5543437.4838720132</v>
      </c>
      <c r="H968" s="348">
        <v>27993574.816096291</v>
      </c>
      <c r="I968" s="369"/>
      <c r="J968" s="350">
        <v>17128164.534381196</v>
      </c>
      <c r="K968" s="350">
        <v>16742790.227113869</v>
      </c>
      <c r="L968" s="350">
        <v>16347681.897963488</v>
      </c>
      <c r="M968" s="350">
        <v>15918083.656474223</v>
      </c>
      <c r="N968" s="350">
        <v>15433275.45456364</v>
      </c>
      <c r="O968" s="348">
        <v>81569995.770496428</v>
      </c>
      <c r="P968" s="369"/>
      <c r="Q968" s="350">
        <f t="shared" si="381"/>
        <v>11482772.627003603</v>
      </c>
      <c r="R968" s="350">
        <f t="shared" si="382"/>
        <v>11117742.515484944</v>
      </c>
      <c r="S968" s="350">
        <f t="shared" si="383"/>
        <v>10744635.436631676</v>
      </c>
      <c r="T968" s="350">
        <f t="shared" si="384"/>
        <v>10341432.404588273</v>
      </c>
      <c r="U968" s="350">
        <f t="shared" si="385"/>
        <v>9889837.9706916269</v>
      </c>
      <c r="V968" s="350">
        <f t="shared" si="386"/>
        <v>53576420.954400137</v>
      </c>
      <c r="W968" s="365"/>
      <c r="X968" s="377">
        <f t="shared" si="364"/>
        <v>0</v>
      </c>
      <c r="Y968" s="377">
        <f t="shared" si="365"/>
        <v>0</v>
      </c>
      <c r="Z968" s="377">
        <f t="shared" si="366"/>
        <v>0</v>
      </c>
      <c r="AA968" s="377">
        <f t="shared" si="367"/>
        <v>0</v>
      </c>
      <c r="AB968" s="377">
        <f t="shared" si="368"/>
        <v>0</v>
      </c>
      <c r="AC968" s="377">
        <f t="shared" si="369"/>
        <v>0</v>
      </c>
      <c r="AD968" s="376"/>
      <c r="AE968" s="332">
        <v>953</v>
      </c>
      <c r="AF968" s="350">
        <v>510424.83888934884</v>
      </c>
      <c r="AG968" s="350">
        <v>508585.43021627242</v>
      </c>
      <c r="AH968" s="350">
        <v>506596.19991614169</v>
      </c>
      <c r="AI968" s="350">
        <v>504209.69234502898</v>
      </c>
      <c r="AJ968" s="350">
        <v>501206.68875102414</v>
      </c>
      <c r="AK968" s="348">
        <v>2531022.8501178161</v>
      </c>
      <c r="AL968" s="369"/>
      <c r="AM968" s="350">
        <v>14924263.888573181</v>
      </c>
      <c r="AN968" s="350">
        <v>14793017.460696025</v>
      </c>
      <c r="AO968" s="350">
        <v>14649112.755525937</v>
      </c>
      <c r="AP968" s="350">
        <v>14464373.283982709</v>
      </c>
      <c r="AQ968" s="350">
        <v>14214687.179705134</v>
      </c>
      <c r="AR968" s="348">
        <v>73045454.56848298</v>
      </c>
      <c r="AS968" s="369"/>
      <c r="AT968" s="350">
        <f t="shared" si="387"/>
        <v>14413839.049683832</v>
      </c>
      <c r="AU968" s="350">
        <f t="shared" si="370"/>
        <v>14284432.030479752</v>
      </c>
      <c r="AV968" s="350">
        <f t="shared" si="371"/>
        <v>14142516.555609796</v>
      </c>
      <c r="AW968" s="350">
        <f t="shared" si="372"/>
        <v>13960163.59163768</v>
      </c>
      <c r="AX968" s="350">
        <f t="shared" si="373"/>
        <v>13713480.49095411</v>
      </c>
      <c r="AY968" s="350">
        <f t="shared" si="374"/>
        <v>70514431.718365163</v>
      </c>
      <c r="AZ968" s="365"/>
      <c r="BA968" s="377">
        <f t="shared" si="375"/>
        <v>0</v>
      </c>
      <c r="BB968" s="377">
        <f t="shared" si="376"/>
        <v>0</v>
      </c>
      <c r="BC968" s="377">
        <f t="shared" si="377"/>
        <v>0</v>
      </c>
      <c r="BD968" s="377">
        <f t="shared" si="378"/>
        <v>0</v>
      </c>
      <c r="BE968" s="377">
        <f t="shared" si="379"/>
        <v>0</v>
      </c>
      <c r="BF968" s="377">
        <f t="shared" si="380"/>
        <v>0</v>
      </c>
      <c r="BG968" s="328"/>
    </row>
    <row r="969" spans="2:59">
      <c r="B969" s="332">
        <v>954</v>
      </c>
      <c r="C969" s="350">
        <v>3728324.064808825</v>
      </c>
      <c r="D969" s="350">
        <v>3714888.3714445056</v>
      </c>
      <c r="E969" s="350">
        <v>3700358.3277762504</v>
      </c>
      <c r="F969" s="350">
        <v>3682926.4300112659</v>
      </c>
      <c r="G969" s="350">
        <v>3660991.4266313398</v>
      </c>
      <c r="H969" s="348">
        <v>18487488.620672185</v>
      </c>
      <c r="I969" s="369"/>
      <c r="J969" s="350">
        <v>12968307.796707826</v>
      </c>
      <c r="K969" s="350">
        <v>12701859.978742639</v>
      </c>
      <c r="L969" s="350">
        <v>12427524.925872795</v>
      </c>
      <c r="M969" s="350">
        <v>12125740.988601873</v>
      </c>
      <c r="N969" s="350">
        <v>11780070.067157852</v>
      </c>
      <c r="O969" s="348">
        <v>62003503.757082976</v>
      </c>
      <c r="P969" s="369"/>
      <c r="Q969" s="350">
        <f t="shared" si="381"/>
        <v>9239983.7318990007</v>
      </c>
      <c r="R969" s="350">
        <f t="shared" si="382"/>
        <v>8986971.607298132</v>
      </c>
      <c r="S969" s="350">
        <f t="shared" si="383"/>
        <v>8727166.5980965458</v>
      </c>
      <c r="T969" s="350">
        <f t="shared" si="384"/>
        <v>8442814.5585906059</v>
      </c>
      <c r="U969" s="350">
        <f t="shared" si="385"/>
        <v>8119078.6405265117</v>
      </c>
      <c r="V969" s="350">
        <f t="shared" si="386"/>
        <v>43516015.136410788</v>
      </c>
      <c r="W969" s="365"/>
      <c r="X969" s="377">
        <f t="shared" si="364"/>
        <v>0</v>
      </c>
      <c r="Y969" s="377">
        <f t="shared" si="365"/>
        <v>0</v>
      </c>
      <c r="Z969" s="377">
        <f t="shared" si="366"/>
        <v>0</v>
      </c>
      <c r="AA969" s="377">
        <f t="shared" si="367"/>
        <v>0</v>
      </c>
      <c r="AB969" s="377">
        <f t="shared" si="368"/>
        <v>0</v>
      </c>
      <c r="AC969" s="377">
        <f t="shared" si="369"/>
        <v>0</v>
      </c>
      <c r="AD969" s="376"/>
      <c r="AE969" s="332">
        <v>954</v>
      </c>
      <c r="AF969" s="350">
        <v>393465.09666853986</v>
      </c>
      <c r="AG969" s="350">
        <v>392047.17368316976</v>
      </c>
      <c r="AH969" s="350">
        <v>390513.75949031819</v>
      </c>
      <c r="AI969" s="350">
        <v>388674.10091451055</v>
      </c>
      <c r="AJ969" s="350">
        <v>386359.21141582902</v>
      </c>
      <c r="AK969" s="348">
        <v>1951059.3421723675</v>
      </c>
      <c r="AL969" s="369"/>
      <c r="AM969" s="350">
        <v>13121406.972682867</v>
      </c>
      <c r="AN969" s="350">
        <v>13008580.891335085</v>
      </c>
      <c r="AO969" s="350">
        <v>12884573.265286231</v>
      </c>
      <c r="AP969" s="350">
        <v>12724528.472383324</v>
      </c>
      <c r="AQ969" s="350">
        <v>12507171.380147364</v>
      </c>
      <c r="AR969" s="348">
        <v>64246260.981834874</v>
      </c>
      <c r="AS969" s="369"/>
      <c r="AT969" s="350">
        <f t="shared" si="387"/>
        <v>12727941.876014328</v>
      </c>
      <c r="AU969" s="350">
        <f t="shared" si="370"/>
        <v>12616533.717651915</v>
      </c>
      <c r="AV969" s="350">
        <f t="shared" si="371"/>
        <v>12494059.505795913</v>
      </c>
      <c r="AW969" s="350">
        <f t="shared" si="372"/>
        <v>12335854.371468814</v>
      </c>
      <c r="AX969" s="350">
        <f t="shared" si="373"/>
        <v>12120812.168731535</v>
      </c>
      <c r="AY969" s="350">
        <f t="shared" si="374"/>
        <v>62295201.639662504</v>
      </c>
      <c r="AZ969" s="365"/>
      <c r="BA969" s="377">
        <f t="shared" si="375"/>
        <v>0</v>
      </c>
      <c r="BB969" s="377">
        <f t="shared" si="376"/>
        <v>0</v>
      </c>
      <c r="BC969" s="377">
        <f t="shared" si="377"/>
        <v>0</v>
      </c>
      <c r="BD969" s="377">
        <f t="shared" si="378"/>
        <v>0</v>
      </c>
      <c r="BE969" s="377">
        <f t="shared" si="379"/>
        <v>0</v>
      </c>
      <c r="BF969" s="377">
        <f t="shared" si="380"/>
        <v>0</v>
      </c>
      <c r="BG969" s="328"/>
    </row>
    <row r="970" spans="2:59">
      <c r="B970" s="332">
        <v>955</v>
      </c>
      <c r="C970" s="350">
        <v>5385610.4577389397</v>
      </c>
      <c r="D970" s="350">
        <v>5366202.4316575052</v>
      </c>
      <c r="E970" s="350">
        <v>5345213.6029583644</v>
      </c>
      <c r="F970" s="350">
        <v>5320033.0099440729</v>
      </c>
      <c r="G970" s="350">
        <v>5288347.6248917095</v>
      </c>
      <c r="H970" s="348">
        <v>26705407.12719059</v>
      </c>
      <c r="I970" s="369"/>
      <c r="J970" s="350">
        <v>19743355.481705062</v>
      </c>
      <c r="K970" s="350">
        <v>19351185.445509799</v>
      </c>
      <c r="L970" s="350">
        <v>18946732.407496903</v>
      </c>
      <c r="M970" s="350">
        <v>18499779.797955319</v>
      </c>
      <c r="N970" s="350">
        <v>17984902.552474283</v>
      </c>
      <c r="O970" s="348">
        <v>94525955.685141355</v>
      </c>
      <c r="P970" s="369"/>
      <c r="Q970" s="350">
        <f t="shared" si="381"/>
        <v>14357745.023966122</v>
      </c>
      <c r="R970" s="350">
        <f t="shared" si="382"/>
        <v>13984983.013852295</v>
      </c>
      <c r="S970" s="350">
        <f t="shared" si="383"/>
        <v>13601518.804538539</v>
      </c>
      <c r="T970" s="350">
        <f t="shared" si="384"/>
        <v>13179746.788011245</v>
      </c>
      <c r="U970" s="350">
        <f t="shared" si="385"/>
        <v>12696554.927582573</v>
      </c>
      <c r="V970" s="350">
        <f t="shared" si="386"/>
        <v>67820548.557950765</v>
      </c>
      <c r="W970" s="365"/>
      <c r="X970" s="377">
        <f t="shared" si="364"/>
        <v>0</v>
      </c>
      <c r="Y970" s="377">
        <f t="shared" si="365"/>
        <v>0</v>
      </c>
      <c r="Z970" s="377">
        <f t="shared" si="366"/>
        <v>0</v>
      </c>
      <c r="AA970" s="377">
        <f t="shared" si="367"/>
        <v>0</v>
      </c>
      <c r="AB970" s="377">
        <f t="shared" si="368"/>
        <v>0</v>
      </c>
      <c r="AC970" s="377">
        <f t="shared" si="369"/>
        <v>0</v>
      </c>
      <c r="AD970" s="376"/>
      <c r="AE970" s="332">
        <v>955</v>
      </c>
      <c r="AF970" s="350">
        <v>348479.01719340804</v>
      </c>
      <c r="AG970" s="350">
        <v>347223.20972133148</v>
      </c>
      <c r="AH970" s="350">
        <v>345865.11550814763</v>
      </c>
      <c r="AI970" s="350">
        <v>344235.79077795713</v>
      </c>
      <c r="AJ970" s="350">
        <v>342185.56974376092</v>
      </c>
      <c r="AK970" s="348">
        <v>1727988.7029446051</v>
      </c>
      <c r="AL970" s="369"/>
      <c r="AM970" s="350">
        <v>10066955.613404384</v>
      </c>
      <c r="AN970" s="350">
        <v>9978231.2617136687</v>
      </c>
      <c r="AO970" s="350">
        <v>9880972.4035546333</v>
      </c>
      <c r="AP970" s="350">
        <v>9756179.2402436417</v>
      </c>
      <c r="AQ970" s="350">
        <v>9587593.1885488909</v>
      </c>
      <c r="AR970" s="348">
        <v>49269931.707465224</v>
      </c>
      <c r="AS970" s="369"/>
      <c r="AT970" s="350">
        <f t="shared" si="387"/>
        <v>9718476.5962109752</v>
      </c>
      <c r="AU970" s="350">
        <f t="shared" si="370"/>
        <v>9631008.0519923382</v>
      </c>
      <c r="AV970" s="350">
        <f t="shared" si="371"/>
        <v>9535107.2880464848</v>
      </c>
      <c r="AW970" s="350">
        <f t="shared" si="372"/>
        <v>9411943.4494656846</v>
      </c>
      <c r="AX970" s="350">
        <f t="shared" si="373"/>
        <v>9245407.6188051291</v>
      </c>
      <c r="AY970" s="350">
        <f t="shared" si="374"/>
        <v>47541943.004520617</v>
      </c>
      <c r="AZ970" s="365"/>
      <c r="BA970" s="377">
        <f t="shared" si="375"/>
        <v>0</v>
      </c>
      <c r="BB970" s="377">
        <f t="shared" si="376"/>
        <v>0</v>
      </c>
      <c r="BC970" s="377">
        <f t="shared" si="377"/>
        <v>0</v>
      </c>
      <c r="BD970" s="377">
        <f t="shared" si="378"/>
        <v>0</v>
      </c>
      <c r="BE970" s="377">
        <f t="shared" si="379"/>
        <v>0</v>
      </c>
      <c r="BF970" s="377">
        <f t="shared" si="380"/>
        <v>0</v>
      </c>
      <c r="BG970" s="328"/>
    </row>
    <row r="971" spans="2:59">
      <c r="B971" s="332">
        <v>956</v>
      </c>
      <c r="C971" s="350">
        <v>9136051.2075526118</v>
      </c>
      <c r="D971" s="350">
        <v>9103127.7866128907</v>
      </c>
      <c r="E971" s="350">
        <v>9067522.720987251</v>
      </c>
      <c r="F971" s="350">
        <v>9024806.8229436986</v>
      </c>
      <c r="G971" s="350">
        <v>8971056.3145025447</v>
      </c>
      <c r="H971" s="348">
        <v>45302564.852599002</v>
      </c>
      <c r="I971" s="369"/>
      <c r="J971" s="350">
        <v>29084461.321363632</v>
      </c>
      <c r="K971" s="350">
        <v>28450959.897388451</v>
      </c>
      <c r="L971" s="350">
        <v>27800503.196170285</v>
      </c>
      <c r="M971" s="350">
        <v>27090380.056838538</v>
      </c>
      <c r="N971" s="350">
        <v>26284788.33317275</v>
      </c>
      <c r="O971" s="348">
        <v>138711092.80493367</v>
      </c>
      <c r="P971" s="369"/>
      <c r="Q971" s="350">
        <f t="shared" si="381"/>
        <v>19948410.11381102</v>
      </c>
      <c r="R971" s="350">
        <f t="shared" si="382"/>
        <v>19347832.11077556</v>
      </c>
      <c r="S971" s="350">
        <f t="shared" si="383"/>
        <v>18732980.475183032</v>
      </c>
      <c r="T971" s="350">
        <f t="shared" si="384"/>
        <v>18065573.23389484</v>
      </c>
      <c r="U971" s="350">
        <f t="shared" si="385"/>
        <v>17313732.018670205</v>
      </c>
      <c r="V971" s="350">
        <f t="shared" si="386"/>
        <v>93408527.952334672</v>
      </c>
      <c r="W971" s="365"/>
      <c r="X971" s="377">
        <f t="shared" si="364"/>
        <v>0</v>
      </c>
      <c r="Y971" s="377">
        <f t="shared" si="365"/>
        <v>0</v>
      </c>
      <c r="Z971" s="377">
        <f t="shared" si="366"/>
        <v>0</v>
      </c>
      <c r="AA971" s="377">
        <f t="shared" si="367"/>
        <v>0</v>
      </c>
      <c r="AB971" s="377">
        <f t="shared" si="368"/>
        <v>0</v>
      </c>
      <c r="AC971" s="377">
        <f t="shared" si="369"/>
        <v>0</v>
      </c>
      <c r="AD971" s="376"/>
      <c r="AE971" s="332">
        <v>956</v>
      </c>
      <c r="AF971" s="350">
        <v>563716.16774973064</v>
      </c>
      <c r="AG971" s="350">
        <v>561684.71408777998</v>
      </c>
      <c r="AH971" s="350">
        <v>559487.79654747888</v>
      </c>
      <c r="AI971" s="350">
        <v>556852.12367305427</v>
      </c>
      <c r="AJ971" s="350">
        <v>553535.58899689163</v>
      </c>
      <c r="AK971" s="348">
        <v>2795276.3910549358</v>
      </c>
      <c r="AL971" s="369"/>
      <c r="AM971" s="350">
        <v>16012999.113040345</v>
      </c>
      <c r="AN971" s="350">
        <v>15871433.253206296</v>
      </c>
      <c r="AO971" s="350">
        <v>15716300.897331908</v>
      </c>
      <c r="AP971" s="350">
        <v>15517394.120411789</v>
      </c>
      <c r="AQ971" s="350">
        <v>15248864.141125953</v>
      </c>
      <c r="AR971" s="348">
        <v>78366991.525116295</v>
      </c>
      <c r="AS971" s="369"/>
      <c r="AT971" s="350">
        <f t="shared" si="387"/>
        <v>15449282.945290614</v>
      </c>
      <c r="AU971" s="350">
        <f t="shared" si="370"/>
        <v>15309748.539118515</v>
      </c>
      <c r="AV971" s="350">
        <f t="shared" si="371"/>
        <v>15156813.10078443</v>
      </c>
      <c r="AW971" s="350">
        <f t="shared" si="372"/>
        <v>14960541.996738736</v>
      </c>
      <c r="AX971" s="350">
        <f t="shared" si="373"/>
        <v>14695328.552129062</v>
      </c>
      <c r="AY971" s="350">
        <f t="shared" si="374"/>
        <v>75571715.134061366</v>
      </c>
      <c r="AZ971" s="365"/>
      <c r="BA971" s="377">
        <f t="shared" si="375"/>
        <v>0</v>
      </c>
      <c r="BB971" s="377">
        <f t="shared" si="376"/>
        <v>0</v>
      </c>
      <c r="BC971" s="377">
        <f t="shared" si="377"/>
        <v>0</v>
      </c>
      <c r="BD971" s="377">
        <f t="shared" si="378"/>
        <v>0</v>
      </c>
      <c r="BE971" s="377">
        <f t="shared" si="379"/>
        <v>0</v>
      </c>
      <c r="BF971" s="377">
        <f t="shared" si="380"/>
        <v>0</v>
      </c>
      <c r="BG971" s="328"/>
    </row>
    <row r="972" spans="2:59">
      <c r="B972" s="332">
        <v>957</v>
      </c>
      <c r="C972" s="350">
        <v>7984657.5397782689</v>
      </c>
      <c r="D972" s="350">
        <v>7955883.3751781071</v>
      </c>
      <c r="E972" s="350">
        <v>7924765.5268601142</v>
      </c>
      <c r="F972" s="350">
        <v>7887433.0065366821</v>
      </c>
      <c r="G972" s="350">
        <v>7840456.5401463918</v>
      </c>
      <c r="H972" s="348">
        <v>39593195.988499567</v>
      </c>
      <c r="I972" s="369"/>
      <c r="J972" s="350">
        <v>22390663.790016208</v>
      </c>
      <c r="K972" s="350">
        <v>21858827.425000243</v>
      </c>
      <c r="L972" s="350">
        <v>21314839.293522716</v>
      </c>
      <c r="M972" s="350">
        <v>20727243.642641336</v>
      </c>
      <c r="N972" s="350">
        <v>20069785.359428626</v>
      </c>
      <c r="O972" s="348">
        <v>106361359.51060914</v>
      </c>
      <c r="P972" s="369"/>
      <c r="Q972" s="350">
        <f t="shared" si="381"/>
        <v>14406006.250237938</v>
      </c>
      <c r="R972" s="350">
        <f t="shared" si="382"/>
        <v>13902944.049822137</v>
      </c>
      <c r="S972" s="350">
        <f t="shared" si="383"/>
        <v>13390073.766662601</v>
      </c>
      <c r="T972" s="350">
        <f t="shared" si="384"/>
        <v>12839810.636104655</v>
      </c>
      <c r="U972" s="350">
        <f t="shared" si="385"/>
        <v>12229328.819282234</v>
      </c>
      <c r="V972" s="350">
        <f t="shared" si="386"/>
        <v>66768163.522109568</v>
      </c>
      <c r="W972" s="365"/>
      <c r="X972" s="377">
        <f t="shared" si="364"/>
        <v>0</v>
      </c>
      <c r="Y972" s="377">
        <f t="shared" si="365"/>
        <v>0</v>
      </c>
      <c r="Z972" s="377">
        <f t="shared" si="366"/>
        <v>0</v>
      </c>
      <c r="AA972" s="377">
        <f t="shared" si="367"/>
        <v>0</v>
      </c>
      <c r="AB972" s="377">
        <f t="shared" si="368"/>
        <v>0</v>
      </c>
      <c r="AC972" s="377">
        <f t="shared" si="369"/>
        <v>0</v>
      </c>
      <c r="AD972" s="376"/>
      <c r="AE972" s="332">
        <v>957</v>
      </c>
      <c r="AF972" s="350">
        <v>378545.1079617301</v>
      </c>
      <c r="AG972" s="350">
        <v>377180.95186726854</v>
      </c>
      <c r="AH972" s="350">
        <v>375705.6839309308</v>
      </c>
      <c r="AI972" s="350">
        <v>373935.78423693473</v>
      </c>
      <c r="AJ972" s="350">
        <v>371708.67412572692</v>
      </c>
      <c r="AK972" s="348">
        <v>1877076.202122591</v>
      </c>
      <c r="AL972" s="369"/>
      <c r="AM972" s="350">
        <v>11349057.694311427</v>
      </c>
      <c r="AN972" s="350">
        <v>11249697.810981441</v>
      </c>
      <c r="AO972" s="350">
        <v>11140702.925414603</v>
      </c>
      <c r="AP972" s="350">
        <v>11000632.021856833</v>
      </c>
      <c r="AQ972" s="350">
        <v>10811136.193985391</v>
      </c>
      <c r="AR972" s="348">
        <v>55551226.646549687</v>
      </c>
      <c r="AS972" s="369"/>
      <c r="AT972" s="350">
        <f t="shared" si="387"/>
        <v>10970512.586349696</v>
      </c>
      <c r="AU972" s="350">
        <f t="shared" si="370"/>
        <v>10872516.859114172</v>
      </c>
      <c r="AV972" s="350">
        <f t="shared" si="371"/>
        <v>10764997.241483672</v>
      </c>
      <c r="AW972" s="350">
        <f t="shared" si="372"/>
        <v>10626696.237619899</v>
      </c>
      <c r="AX972" s="350">
        <f t="shared" si="373"/>
        <v>10439427.519859664</v>
      </c>
      <c r="AY972" s="350">
        <f t="shared" si="374"/>
        <v>53674150.444427095</v>
      </c>
      <c r="AZ972" s="365"/>
      <c r="BA972" s="377">
        <f t="shared" si="375"/>
        <v>0</v>
      </c>
      <c r="BB972" s="377">
        <f t="shared" si="376"/>
        <v>0</v>
      </c>
      <c r="BC972" s="377">
        <f t="shared" si="377"/>
        <v>0</v>
      </c>
      <c r="BD972" s="377">
        <f t="shared" si="378"/>
        <v>0</v>
      </c>
      <c r="BE972" s="377">
        <f t="shared" si="379"/>
        <v>0</v>
      </c>
      <c r="BF972" s="377">
        <f t="shared" si="380"/>
        <v>0</v>
      </c>
      <c r="BG972" s="328"/>
    </row>
    <row r="973" spans="2:59">
      <c r="B973" s="332">
        <v>958</v>
      </c>
      <c r="C973" s="350">
        <v>6156144.202354189</v>
      </c>
      <c r="D973" s="350">
        <v>6133959.4178849226</v>
      </c>
      <c r="E973" s="350">
        <v>6109967.6611241382</v>
      </c>
      <c r="F973" s="350">
        <v>6081184.4130758103</v>
      </c>
      <c r="G973" s="350">
        <v>6044965.714931909</v>
      </c>
      <c r="H973" s="348">
        <v>30526221.40937097</v>
      </c>
      <c r="I973" s="369"/>
      <c r="J973" s="350">
        <v>18321224.463691644</v>
      </c>
      <c r="K973" s="350">
        <v>17903554.313824974</v>
      </c>
      <c r="L973" s="350">
        <v>17475583.463462703</v>
      </c>
      <c r="M973" s="350">
        <v>17011007.755456399</v>
      </c>
      <c r="N973" s="350">
        <v>16487825.380478384</v>
      </c>
      <c r="O973" s="348">
        <v>87199195.376914099</v>
      </c>
      <c r="P973" s="369"/>
      <c r="Q973" s="350">
        <f t="shared" si="381"/>
        <v>12165080.261337455</v>
      </c>
      <c r="R973" s="350">
        <f t="shared" si="382"/>
        <v>11769594.89594005</v>
      </c>
      <c r="S973" s="350">
        <f t="shared" si="383"/>
        <v>11365615.802338565</v>
      </c>
      <c r="T973" s="350">
        <f t="shared" si="384"/>
        <v>10929823.342380589</v>
      </c>
      <c r="U973" s="350">
        <f t="shared" si="385"/>
        <v>10442859.665546475</v>
      </c>
      <c r="V973" s="350">
        <f t="shared" si="386"/>
        <v>56672973.967543125</v>
      </c>
      <c r="W973" s="365"/>
      <c r="X973" s="377">
        <f t="shared" si="364"/>
        <v>0</v>
      </c>
      <c r="Y973" s="377">
        <f t="shared" si="365"/>
        <v>0</v>
      </c>
      <c r="Z973" s="377">
        <f t="shared" si="366"/>
        <v>0</v>
      </c>
      <c r="AA973" s="377">
        <f t="shared" si="367"/>
        <v>0</v>
      </c>
      <c r="AB973" s="377">
        <f t="shared" si="368"/>
        <v>0</v>
      </c>
      <c r="AC973" s="377">
        <f t="shared" si="369"/>
        <v>0</v>
      </c>
      <c r="AD973" s="376"/>
      <c r="AE973" s="332">
        <v>958</v>
      </c>
      <c r="AF973" s="350">
        <v>449536.38534800062</v>
      </c>
      <c r="AG973" s="350">
        <v>447916.39928331022</v>
      </c>
      <c r="AH973" s="350">
        <v>446164.46377662278</v>
      </c>
      <c r="AI973" s="350">
        <v>444062.64210693684</v>
      </c>
      <c r="AJ973" s="350">
        <v>441417.86607336154</v>
      </c>
      <c r="AK973" s="348">
        <v>2229097.7565882318</v>
      </c>
      <c r="AL973" s="369"/>
      <c r="AM973" s="350">
        <v>13171072.60451204</v>
      </c>
      <c r="AN973" s="350">
        <v>13055287.063548258</v>
      </c>
      <c r="AO973" s="350">
        <v>12928329.366587073</v>
      </c>
      <c r="AP973" s="350">
        <v>12765331.598599391</v>
      </c>
      <c r="AQ973" s="350">
        <v>12545013.101007061</v>
      </c>
      <c r="AR973" s="348">
        <v>64465033.734253816</v>
      </c>
      <c r="AS973" s="369"/>
      <c r="AT973" s="350">
        <f t="shared" si="387"/>
        <v>12721536.219164038</v>
      </c>
      <c r="AU973" s="350">
        <f t="shared" si="370"/>
        <v>12607370.664264947</v>
      </c>
      <c r="AV973" s="350">
        <f t="shared" si="371"/>
        <v>12482164.902810451</v>
      </c>
      <c r="AW973" s="350">
        <f t="shared" si="372"/>
        <v>12321268.956492454</v>
      </c>
      <c r="AX973" s="350">
        <f t="shared" si="373"/>
        <v>12103595.2349337</v>
      </c>
      <c r="AY973" s="350">
        <f t="shared" si="374"/>
        <v>62235935.977665588</v>
      </c>
      <c r="AZ973" s="365"/>
      <c r="BA973" s="377">
        <f t="shared" si="375"/>
        <v>0</v>
      </c>
      <c r="BB973" s="377">
        <f t="shared" si="376"/>
        <v>0</v>
      </c>
      <c r="BC973" s="377">
        <f t="shared" si="377"/>
        <v>0</v>
      </c>
      <c r="BD973" s="377">
        <f t="shared" si="378"/>
        <v>0</v>
      </c>
      <c r="BE973" s="377">
        <f t="shared" si="379"/>
        <v>0</v>
      </c>
      <c r="BF973" s="377">
        <f t="shared" si="380"/>
        <v>0</v>
      </c>
      <c r="BG973" s="328"/>
    </row>
    <row r="974" spans="2:59">
      <c r="B974" s="332">
        <v>959</v>
      </c>
      <c r="C974" s="350">
        <v>5012975.4459802387</v>
      </c>
      <c r="D974" s="350">
        <v>4994910.2778874794</v>
      </c>
      <c r="E974" s="350">
        <v>4975373.6842674389</v>
      </c>
      <c r="F974" s="350">
        <v>4951935.3581043454</v>
      </c>
      <c r="G974" s="350">
        <v>4922442.312049428</v>
      </c>
      <c r="H974" s="348">
        <v>24857637.078288928</v>
      </c>
      <c r="I974" s="369"/>
      <c r="J974" s="350">
        <v>22696912.107699137</v>
      </c>
      <c r="K974" s="350">
        <v>22300743.607923154</v>
      </c>
      <c r="L974" s="350">
        <v>21889338.252524197</v>
      </c>
      <c r="M974" s="350">
        <v>21426193.525241446</v>
      </c>
      <c r="N974" s="350">
        <v>20880461.70066575</v>
      </c>
      <c r="O974" s="348">
        <v>109193649.19405368</v>
      </c>
      <c r="P974" s="369"/>
      <c r="Q974" s="350">
        <f t="shared" si="381"/>
        <v>17683936.661718898</v>
      </c>
      <c r="R974" s="350">
        <f t="shared" si="382"/>
        <v>17305833.330035675</v>
      </c>
      <c r="S974" s="350">
        <f t="shared" si="383"/>
        <v>16913964.568256758</v>
      </c>
      <c r="T974" s="350">
        <f t="shared" si="384"/>
        <v>16474258.167137101</v>
      </c>
      <c r="U974" s="350">
        <f t="shared" si="385"/>
        <v>15958019.388616322</v>
      </c>
      <c r="V974" s="350">
        <f t="shared" si="386"/>
        <v>84336012.115764752</v>
      </c>
      <c r="W974" s="365"/>
      <c r="X974" s="377">
        <f t="shared" si="364"/>
        <v>0</v>
      </c>
      <c r="Y974" s="377">
        <f t="shared" si="365"/>
        <v>0</v>
      </c>
      <c r="Z974" s="377">
        <f t="shared" si="366"/>
        <v>0</v>
      </c>
      <c r="AA974" s="377">
        <f t="shared" si="367"/>
        <v>0</v>
      </c>
      <c r="AB974" s="377">
        <f t="shared" si="368"/>
        <v>0</v>
      </c>
      <c r="AC974" s="377">
        <f t="shared" si="369"/>
        <v>0</v>
      </c>
      <c r="AD974" s="376"/>
      <c r="AE974" s="332">
        <v>959</v>
      </c>
      <c r="AF974" s="350">
        <v>560212.72806177929</v>
      </c>
      <c r="AG974" s="350">
        <v>558193.89968146977</v>
      </c>
      <c r="AH974" s="350">
        <v>556010.63576429</v>
      </c>
      <c r="AI974" s="350">
        <v>553391.34333357261</v>
      </c>
      <c r="AJ974" s="350">
        <v>550095.42058922187</v>
      </c>
      <c r="AK974" s="348">
        <v>2777904.0274303332</v>
      </c>
      <c r="AL974" s="369"/>
      <c r="AM974" s="350">
        <v>18974179.609478317</v>
      </c>
      <c r="AN974" s="350">
        <v>18811433.992161579</v>
      </c>
      <c r="AO974" s="350">
        <v>18632511.032414958</v>
      </c>
      <c r="AP974" s="350">
        <v>18401455.195293255</v>
      </c>
      <c r="AQ974" s="350">
        <v>18087489.5931217</v>
      </c>
      <c r="AR974" s="348">
        <v>92907069.422469825</v>
      </c>
      <c r="AS974" s="369"/>
      <c r="AT974" s="350">
        <f t="shared" si="387"/>
        <v>18413966.881416537</v>
      </c>
      <c r="AU974" s="350">
        <f t="shared" si="370"/>
        <v>18253240.092480108</v>
      </c>
      <c r="AV974" s="350">
        <f t="shared" si="371"/>
        <v>18076500.396650668</v>
      </c>
      <c r="AW974" s="350">
        <f t="shared" si="372"/>
        <v>17848063.851959683</v>
      </c>
      <c r="AX974" s="350">
        <f t="shared" si="373"/>
        <v>17537394.172532476</v>
      </c>
      <c r="AY974" s="350">
        <f t="shared" si="374"/>
        <v>90129165.395039499</v>
      </c>
      <c r="AZ974" s="365"/>
      <c r="BA974" s="377">
        <f t="shared" si="375"/>
        <v>0</v>
      </c>
      <c r="BB974" s="377">
        <f t="shared" si="376"/>
        <v>0</v>
      </c>
      <c r="BC974" s="377">
        <f t="shared" si="377"/>
        <v>0</v>
      </c>
      <c r="BD974" s="377">
        <f t="shared" si="378"/>
        <v>0</v>
      </c>
      <c r="BE974" s="377">
        <f t="shared" si="379"/>
        <v>0</v>
      </c>
      <c r="BF974" s="377">
        <f t="shared" si="380"/>
        <v>0</v>
      </c>
      <c r="BG974" s="328"/>
    </row>
    <row r="975" spans="2:59">
      <c r="B975" s="332">
        <v>960</v>
      </c>
      <c r="C975" s="350">
        <v>4893106.6605860461</v>
      </c>
      <c r="D975" s="350">
        <v>4875473.4614467658</v>
      </c>
      <c r="E975" s="350">
        <v>4856404.0210719816</v>
      </c>
      <c r="F975" s="350">
        <v>4833526.1452280879</v>
      </c>
      <c r="G975" s="350">
        <v>4804738.3281626748</v>
      </c>
      <c r="H975" s="348">
        <v>24263248.616495553</v>
      </c>
      <c r="I975" s="369"/>
      <c r="J975" s="350">
        <v>16212363.176338416</v>
      </c>
      <c r="K975" s="350">
        <v>15868492.648069654</v>
      </c>
      <c r="L975" s="350">
        <v>15514981.798977811</v>
      </c>
      <c r="M975" s="350">
        <v>15127723.41957511</v>
      </c>
      <c r="N975" s="350">
        <v>14686486.355113519</v>
      </c>
      <c r="O975" s="348">
        <v>77410047.398074508</v>
      </c>
      <c r="P975" s="369"/>
      <c r="Q975" s="350">
        <f t="shared" si="381"/>
        <v>11319256.51575237</v>
      </c>
      <c r="R975" s="350">
        <f t="shared" si="382"/>
        <v>10993019.186622888</v>
      </c>
      <c r="S975" s="350">
        <f t="shared" si="383"/>
        <v>10658577.777905829</v>
      </c>
      <c r="T975" s="350">
        <f t="shared" si="384"/>
        <v>10294197.274347022</v>
      </c>
      <c r="U975" s="350">
        <f t="shared" si="385"/>
        <v>9881748.0269508436</v>
      </c>
      <c r="V975" s="350">
        <f t="shared" si="386"/>
        <v>53146798.781578958</v>
      </c>
      <c r="W975" s="365"/>
      <c r="X975" s="377">
        <f t="shared" si="364"/>
        <v>0</v>
      </c>
      <c r="Y975" s="377">
        <f t="shared" si="365"/>
        <v>0</v>
      </c>
      <c r="Z975" s="377">
        <f t="shared" si="366"/>
        <v>0</v>
      </c>
      <c r="AA975" s="377">
        <f t="shared" si="367"/>
        <v>0</v>
      </c>
      <c r="AB975" s="377">
        <f t="shared" si="368"/>
        <v>0</v>
      </c>
      <c r="AC975" s="377">
        <f t="shared" si="369"/>
        <v>0</v>
      </c>
      <c r="AD975" s="376"/>
      <c r="AE975" s="332">
        <v>960</v>
      </c>
      <c r="AF975" s="350">
        <v>448993.23501298949</v>
      </c>
      <c r="AG975" s="350">
        <v>447375.20628924511</v>
      </c>
      <c r="AH975" s="350">
        <v>445625.38755082904</v>
      </c>
      <c r="AI975" s="350">
        <v>443526.10539781238</v>
      </c>
      <c r="AJ975" s="350">
        <v>440884.52490309783</v>
      </c>
      <c r="AK975" s="348">
        <v>2226404.4591539735</v>
      </c>
      <c r="AL975" s="369"/>
      <c r="AM975" s="350">
        <v>14034670.943250598</v>
      </c>
      <c r="AN975" s="350">
        <v>13912686.335329438</v>
      </c>
      <c r="AO975" s="350">
        <v>13778768.5978963</v>
      </c>
      <c r="AP975" s="350">
        <v>13606374.30076283</v>
      </c>
      <c r="AQ975" s="350">
        <v>13372786.210623756</v>
      </c>
      <c r="AR975" s="348">
        <v>68705286.387862921</v>
      </c>
      <c r="AS975" s="369"/>
      <c r="AT975" s="350">
        <f t="shared" si="387"/>
        <v>13585677.708237609</v>
      </c>
      <c r="AU975" s="350">
        <f t="shared" si="370"/>
        <v>13465311.129040193</v>
      </c>
      <c r="AV975" s="350">
        <f t="shared" si="371"/>
        <v>13333143.210345471</v>
      </c>
      <c r="AW975" s="350">
        <f t="shared" si="372"/>
        <v>13162848.195365017</v>
      </c>
      <c r="AX975" s="350">
        <f t="shared" si="373"/>
        <v>12931901.685720658</v>
      </c>
      <c r="AY975" s="350">
        <f t="shared" si="374"/>
        <v>66478881.928708948</v>
      </c>
      <c r="AZ975" s="365"/>
      <c r="BA975" s="377">
        <f t="shared" si="375"/>
        <v>0</v>
      </c>
      <c r="BB975" s="377">
        <f t="shared" si="376"/>
        <v>0</v>
      </c>
      <c r="BC975" s="377">
        <f t="shared" si="377"/>
        <v>0</v>
      </c>
      <c r="BD975" s="377">
        <f t="shared" si="378"/>
        <v>0</v>
      </c>
      <c r="BE975" s="377">
        <f t="shared" si="379"/>
        <v>0</v>
      </c>
      <c r="BF975" s="377">
        <f t="shared" si="380"/>
        <v>0</v>
      </c>
      <c r="BG975" s="328"/>
    </row>
    <row r="976" spans="2:59">
      <c r="B976" s="332">
        <v>961</v>
      </c>
      <c r="C976" s="350">
        <v>6073271.0271379566</v>
      </c>
      <c r="D976" s="350">
        <v>6051384.8912172038</v>
      </c>
      <c r="E976" s="350">
        <v>6027716.1082199309</v>
      </c>
      <c r="F976" s="350">
        <v>5999320.3363385694</v>
      </c>
      <c r="G976" s="350">
        <v>5963589.209378629</v>
      </c>
      <c r="H976" s="348">
        <v>30115281.572292287</v>
      </c>
      <c r="I976" s="369"/>
      <c r="J976" s="350">
        <v>25019471.022377506</v>
      </c>
      <c r="K976" s="350">
        <v>24557369.185055919</v>
      </c>
      <c r="L976" s="350">
        <v>24078989.855921559</v>
      </c>
      <c r="M976" s="350">
        <v>23544915.369459365</v>
      </c>
      <c r="N976" s="350">
        <v>22921893.45829688</v>
      </c>
      <c r="O976" s="348">
        <v>120122638.89111122</v>
      </c>
      <c r="P976" s="369"/>
      <c r="Q976" s="350">
        <f t="shared" si="381"/>
        <v>18946199.995239548</v>
      </c>
      <c r="R976" s="350">
        <f t="shared" si="382"/>
        <v>18505984.293838717</v>
      </c>
      <c r="S976" s="350">
        <f t="shared" si="383"/>
        <v>18051273.74770163</v>
      </c>
      <c r="T976" s="350">
        <f t="shared" si="384"/>
        <v>17545595.033120796</v>
      </c>
      <c r="U976" s="350">
        <f t="shared" si="385"/>
        <v>16958304.24891825</v>
      </c>
      <c r="V976" s="350">
        <f t="shared" si="386"/>
        <v>90007357.318818942</v>
      </c>
      <c r="W976" s="365"/>
      <c r="X976" s="377">
        <f t="shared" ref="X976:X1015" si="388">IF(Q976&lt;Q$8,1,0)</f>
        <v>0</v>
      </c>
      <c r="Y976" s="377">
        <f t="shared" ref="Y976:Y1015" si="389">IF(R976&lt;R$8,1,0)</f>
        <v>0</v>
      </c>
      <c r="Z976" s="377">
        <f t="shared" ref="Z976:Z1015" si="390">IF(S976&lt;S$8,1,0)</f>
        <v>0</v>
      </c>
      <c r="AA976" s="377">
        <f t="shared" ref="AA976:AA1015" si="391">IF(T976&lt;T$8,1,0)</f>
        <v>0</v>
      </c>
      <c r="AB976" s="377">
        <f t="shared" ref="AB976:AB1015" si="392">IF(U976&lt;U$8,1,0)</f>
        <v>0</v>
      </c>
      <c r="AC976" s="377">
        <f t="shared" ref="AC976:AC1015" si="393">IF(V976&lt;V$8,1,0)</f>
        <v>0</v>
      </c>
      <c r="AD976" s="376"/>
      <c r="AE976" s="332">
        <v>961</v>
      </c>
      <c r="AF976" s="350">
        <v>325839.8388982563</v>
      </c>
      <c r="AG976" s="350">
        <v>324665.61581967841</v>
      </c>
      <c r="AH976" s="350">
        <v>323395.7511282647</v>
      </c>
      <c r="AI976" s="350">
        <v>321872.27659635741</v>
      </c>
      <c r="AJ976" s="350">
        <v>319955.24957743217</v>
      </c>
      <c r="AK976" s="348">
        <v>1615728.7320199891</v>
      </c>
      <c r="AL976" s="369"/>
      <c r="AM976" s="350">
        <v>10991135.282219842</v>
      </c>
      <c r="AN976" s="350">
        <v>10896800.40625087</v>
      </c>
      <c r="AO976" s="350">
        <v>10793095.770080453</v>
      </c>
      <c r="AP976" s="350">
        <v>10659195.4702152</v>
      </c>
      <c r="AQ976" s="350">
        <v>10477273.262950819</v>
      </c>
      <c r="AR976" s="348">
        <v>53817500.191717193</v>
      </c>
      <c r="AS976" s="369"/>
      <c r="AT976" s="350">
        <f t="shared" si="387"/>
        <v>10665295.443321586</v>
      </c>
      <c r="AU976" s="350">
        <f t="shared" ref="AU976:AU1015" si="394">AN976-AG976</f>
        <v>10572134.790431192</v>
      </c>
      <c r="AV976" s="350">
        <f t="shared" ref="AV976:AV1015" si="395">AO976-AH976</f>
        <v>10469700.018952187</v>
      </c>
      <c r="AW976" s="350">
        <f t="shared" ref="AW976:AW1015" si="396">AP976-AI976</f>
        <v>10337323.193618841</v>
      </c>
      <c r="AX976" s="350">
        <f t="shared" ref="AX976:AX1015" si="397">AQ976-AJ976</f>
        <v>10157318.013373386</v>
      </c>
      <c r="AY976" s="350">
        <f t="shared" ref="AY976:AY1015" si="398">AR976-AK976</f>
        <v>52201771.459697202</v>
      </c>
      <c r="AZ976" s="365"/>
      <c r="BA976" s="377">
        <f t="shared" ref="BA976:BA1015" si="399">IF(AT976&lt;AT$8,1,0)</f>
        <v>0</v>
      </c>
      <c r="BB976" s="377">
        <f t="shared" ref="BB976:BB1015" si="400">IF(AU976&lt;AU$8,1,0)</f>
        <v>0</v>
      </c>
      <c r="BC976" s="377">
        <f t="shared" ref="BC976:BC1015" si="401">IF(AV976&lt;AV$8,1,0)</f>
        <v>0</v>
      </c>
      <c r="BD976" s="377">
        <f t="shared" ref="BD976:BD1015" si="402">IF(AW976&lt;AW$8,1,0)</f>
        <v>0</v>
      </c>
      <c r="BE976" s="377">
        <f t="shared" ref="BE976:BE1015" si="403">IF(AX976&lt;AX$8,1,0)</f>
        <v>0</v>
      </c>
      <c r="BF976" s="377">
        <f t="shared" ref="BF976:BF1015" si="404">IF(AY976&lt;AY$8,1,0)</f>
        <v>0</v>
      </c>
      <c r="BG976" s="328"/>
    </row>
    <row r="977" spans="2:59">
      <c r="B977" s="332">
        <v>962</v>
      </c>
      <c r="C977" s="350">
        <v>6155467.3083250839</v>
      </c>
      <c r="D977" s="350">
        <v>6133284.9631664753</v>
      </c>
      <c r="E977" s="350">
        <v>6109295.8444005698</v>
      </c>
      <c r="F977" s="350">
        <v>6080515.7611918077</v>
      </c>
      <c r="G977" s="350">
        <v>6044301.0454465821</v>
      </c>
      <c r="H977" s="348">
        <v>30522864.922530517</v>
      </c>
      <c r="I977" s="369"/>
      <c r="J977" s="350">
        <v>24300634.82642743</v>
      </c>
      <c r="K977" s="350">
        <v>23839900.298035458</v>
      </c>
      <c r="L977" s="350">
        <v>23363599.137518864</v>
      </c>
      <c r="M977" s="350">
        <v>22833830.82205265</v>
      </c>
      <c r="N977" s="350">
        <v>22218651.176815465</v>
      </c>
      <c r="O977" s="348">
        <v>116556616.26084988</v>
      </c>
      <c r="P977" s="369"/>
      <c r="Q977" s="350">
        <f t="shared" ref="Q977:Q1015" si="405">J977-C977</f>
        <v>18145167.518102348</v>
      </c>
      <c r="R977" s="350">
        <f t="shared" ref="R977:R1015" si="406">K977-D977</f>
        <v>17706615.334868982</v>
      </c>
      <c r="S977" s="350">
        <f t="shared" ref="S977:S1015" si="407">L977-E977</f>
        <v>17254303.293118294</v>
      </c>
      <c r="T977" s="350">
        <f t="shared" ref="T977:T1015" si="408">M977-F977</f>
        <v>16753315.060860842</v>
      </c>
      <c r="U977" s="350">
        <f t="shared" ref="U977:U1015" si="409">N977-G977</f>
        <v>16174350.131368883</v>
      </c>
      <c r="V977" s="350">
        <f t="shared" ref="V977:V1015" si="410">O977-H977</f>
        <v>86033751.338319361</v>
      </c>
      <c r="W977" s="365"/>
      <c r="X977" s="377">
        <f t="shared" si="388"/>
        <v>0</v>
      </c>
      <c r="Y977" s="377">
        <f t="shared" si="389"/>
        <v>0</v>
      </c>
      <c r="Z977" s="377">
        <f t="shared" si="390"/>
        <v>0</v>
      </c>
      <c r="AA977" s="377">
        <f t="shared" si="391"/>
        <v>0</v>
      </c>
      <c r="AB977" s="377">
        <f t="shared" si="392"/>
        <v>0</v>
      </c>
      <c r="AC977" s="377">
        <f t="shared" si="393"/>
        <v>0</v>
      </c>
      <c r="AD977" s="376"/>
      <c r="AE977" s="332">
        <v>962</v>
      </c>
      <c r="AF977" s="350">
        <v>313321.64969275502</v>
      </c>
      <c r="AG977" s="350">
        <v>312192.5381840723</v>
      </c>
      <c r="AH977" s="350">
        <v>310971.45944383706</v>
      </c>
      <c r="AI977" s="350">
        <v>309506.51410377037</v>
      </c>
      <c r="AJ977" s="350">
        <v>307663.13586584153</v>
      </c>
      <c r="AK977" s="348">
        <v>1553655.2972902763</v>
      </c>
      <c r="AL977" s="369"/>
      <c r="AM977" s="350">
        <v>9723599.297092326</v>
      </c>
      <c r="AN977" s="350">
        <v>9638980.8115901165</v>
      </c>
      <c r="AO977" s="350">
        <v>9546096.8603299446</v>
      </c>
      <c r="AP977" s="350">
        <v>9426560.8045733869</v>
      </c>
      <c r="AQ977" s="350">
        <v>9264636.6188310385</v>
      </c>
      <c r="AR977" s="348">
        <v>47599874.392416812</v>
      </c>
      <c r="AS977" s="369"/>
      <c r="AT977" s="350">
        <f t="shared" ref="AT977:AT1015" si="411">AM977-AF977</f>
        <v>9410277.6473995708</v>
      </c>
      <c r="AU977" s="350">
        <f t="shared" si="394"/>
        <v>9326788.2734060436</v>
      </c>
      <c r="AV977" s="350">
        <f t="shared" si="395"/>
        <v>9235125.4008861072</v>
      </c>
      <c r="AW977" s="350">
        <f t="shared" si="396"/>
        <v>9117054.2904696167</v>
      </c>
      <c r="AX977" s="350">
        <f t="shared" si="397"/>
        <v>8956973.4829651974</v>
      </c>
      <c r="AY977" s="350">
        <f t="shared" si="398"/>
        <v>46046219.095126539</v>
      </c>
      <c r="AZ977" s="365"/>
      <c r="BA977" s="377">
        <f t="shared" si="399"/>
        <v>0</v>
      </c>
      <c r="BB977" s="377">
        <f t="shared" si="400"/>
        <v>0</v>
      </c>
      <c r="BC977" s="377">
        <f t="shared" si="401"/>
        <v>0</v>
      </c>
      <c r="BD977" s="377">
        <f t="shared" si="402"/>
        <v>0</v>
      </c>
      <c r="BE977" s="377">
        <f t="shared" si="403"/>
        <v>0</v>
      </c>
      <c r="BF977" s="377">
        <f t="shared" si="404"/>
        <v>0</v>
      </c>
      <c r="BG977" s="328"/>
    </row>
    <row r="978" spans="2:59">
      <c r="B978" s="332">
        <v>963</v>
      </c>
      <c r="C978" s="350">
        <v>5459332.8014495494</v>
      </c>
      <c r="D978" s="350">
        <v>5439659.1035040338</v>
      </c>
      <c r="E978" s="350">
        <v>5418382.9637088552</v>
      </c>
      <c r="F978" s="350">
        <v>5392857.6795314001</v>
      </c>
      <c r="G978" s="350">
        <v>5360738.5607610531</v>
      </c>
      <c r="H978" s="348">
        <v>27070971.108954892</v>
      </c>
      <c r="I978" s="369"/>
      <c r="J978" s="350">
        <v>21992643.248703368</v>
      </c>
      <c r="K978" s="350">
        <v>21580841.332665309</v>
      </c>
      <c r="L978" s="350">
        <v>21154845.604774971</v>
      </c>
      <c r="M978" s="350">
        <v>20680188.115224995</v>
      </c>
      <c r="N978" s="350">
        <v>20127805.411466524</v>
      </c>
      <c r="O978" s="348">
        <v>105536323.71283518</v>
      </c>
      <c r="P978" s="369"/>
      <c r="Q978" s="350">
        <f t="shared" si="405"/>
        <v>16533310.44725382</v>
      </c>
      <c r="R978" s="350">
        <f t="shared" si="406"/>
        <v>16141182.229161276</v>
      </c>
      <c r="S978" s="350">
        <f t="shared" si="407"/>
        <v>15736462.641066115</v>
      </c>
      <c r="T978" s="350">
        <f t="shared" si="408"/>
        <v>15287330.435693596</v>
      </c>
      <c r="U978" s="350">
        <f t="shared" si="409"/>
        <v>14767066.850705471</v>
      </c>
      <c r="V978" s="350">
        <f t="shared" si="410"/>
        <v>78465352.603880286</v>
      </c>
      <c r="W978" s="365"/>
      <c r="X978" s="377">
        <f t="shared" si="388"/>
        <v>0</v>
      </c>
      <c r="Y978" s="377">
        <f t="shared" si="389"/>
        <v>0</v>
      </c>
      <c r="Z978" s="377">
        <f t="shared" si="390"/>
        <v>0</v>
      </c>
      <c r="AA978" s="377">
        <f t="shared" si="391"/>
        <v>0</v>
      </c>
      <c r="AB978" s="377">
        <f t="shared" si="392"/>
        <v>0</v>
      </c>
      <c r="AC978" s="377">
        <f t="shared" si="393"/>
        <v>0</v>
      </c>
      <c r="AD978" s="376"/>
      <c r="AE978" s="332">
        <v>963</v>
      </c>
      <c r="AF978" s="350">
        <v>394240.07442954491</v>
      </c>
      <c r="AG978" s="350">
        <v>392819.35867096635</v>
      </c>
      <c r="AH978" s="350">
        <v>391282.92423080961</v>
      </c>
      <c r="AI978" s="350">
        <v>389439.64222182805</v>
      </c>
      <c r="AJ978" s="350">
        <v>387120.19326438924</v>
      </c>
      <c r="AK978" s="348">
        <v>1954902.192817538</v>
      </c>
      <c r="AL978" s="369"/>
      <c r="AM978" s="350">
        <v>11630834.027641006</v>
      </c>
      <c r="AN978" s="350">
        <v>11528715.091195684</v>
      </c>
      <c r="AO978" s="350">
        <v>11416727.898328917</v>
      </c>
      <c r="AP978" s="350">
        <v>11272908.526847109</v>
      </c>
      <c r="AQ978" s="350">
        <v>11078461.152634868</v>
      </c>
      <c r="AR978" s="348">
        <v>56927646.696647584</v>
      </c>
      <c r="AS978" s="369"/>
      <c r="AT978" s="350">
        <f t="shared" si="411"/>
        <v>11236593.95321146</v>
      </c>
      <c r="AU978" s="350">
        <f t="shared" si="394"/>
        <v>11135895.732524717</v>
      </c>
      <c r="AV978" s="350">
        <f t="shared" si="395"/>
        <v>11025444.974098107</v>
      </c>
      <c r="AW978" s="350">
        <f t="shared" si="396"/>
        <v>10883468.88462528</v>
      </c>
      <c r="AX978" s="350">
        <f t="shared" si="397"/>
        <v>10691340.959370479</v>
      </c>
      <c r="AY978" s="350">
        <f t="shared" si="398"/>
        <v>54972744.503830045</v>
      </c>
      <c r="AZ978" s="365"/>
      <c r="BA978" s="377">
        <f t="shared" si="399"/>
        <v>0</v>
      </c>
      <c r="BB978" s="377">
        <f t="shared" si="400"/>
        <v>0</v>
      </c>
      <c r="BC978" s="377">
        <f t="shared" si="401"/>
        <v>0</v>
      </c>
      <c r="BD978" s="377">
        <f t="shared" si="402"/>
        <v>0</v>
      </c>
      <c r="BE978" s="377">
        <f t="shared" si="403"/>
        <v>0</v>
      </c>
      <c r="BF978" s="377">
        <f t="shared" si="404"/>
        <v>0</v>
      </c>
      <c r="BG978" s="328"/>
    </row>
    <row r="979" spans="2:59">
      <c r="B979" s="332">
        <v>964</v>
      </c>
      <c r="C979" s="350">
        <v>7618638.6677560201</v>
      </c>
      <c r="D979" s="350">
        <v>7591183.5186825562</v>
      </c>
      <c r="E979" s="350">
        <v>7561492.1209899504</v>
      </c>
      <c r="F979" s="350">
        <v>7525870.9335459117</v>
      </c>
      <c r="G979" s="350">
        <v>7481047.881144153</v>
      </c>
      <c r="H979" s="348">
        <v>37778233.122118585</v>
      </c>
      <c r="I979" s="369"/>
      <c r="J979" s="350">
        <v>23964231.421538651</v>
      </c>
      <c r="K979" s="350">
        <v>23438035.710706934</v>
      </c>
      <c r="L979" s="350">
        <v>22897955.824965283</v>
      </c>
      <c r="M979" s="350">
        <v>22308936.071547672</v>
      </c>
      <c r="N979" s="350">
        <v>21641602.153207231</v>
      </c>
      <c r="O979" s="348">
        <v>114250761.18196577</v>
      </c>
      <c r="P979" s="369"/>
      <c r="Q979" s="350">
        <f t="shared" si="405"/>
        <v>16345592.75378263</v>
      </c>
      <c r="R979" s="350">
        <f t="shared" si="406"/>
        <v>15846852.192024378</v>
      </c>
      <c r="S979" s="350">
        <f t="shared" si="407"/>
        <v>15336463.703975333</v>
      </c>
      <c r="T979" s="350">
        <f t="shared" si="408"/>
        <v>14783065.13800176</v>
      </c>
      <c r="U979" s="350">
        <f t="shared" si="409"/>
        <v>14160554.272063078</v>
      </c>
      <c r="V979" s="350">
        <f t="shared" si="410"/>
        <v>76472528.059847176</v>
      </c>
      <c r="W979" s="365"/>
      <c r="X979" s="377">
        <f t="shared" si="388"/>
        <v>0</v>
      </c>
      <c r="Y979" s="377">
        <f t="shared" si="389"/>
        <v>0</v>
      </c>
      <c r="Z979" s="377">
        <f t="shared" si="390"/>
        <v>0</v>
      </c>
      <c r="AA979" s="377">
        <f t="shared" si="391"/>
        <v>0</v>
      </c>
      <c r="AB979" s="377">
        <f t="shared" si="392"/>
        <v>0</v>
      </c>
      <c r="AC979" s="377">
        <f t="shared" si="393"/>
        <v>0</v>
      </c>
      <c r="AD979" s="376"/>
      <c r="AE979" s="332">
        <v>964</v>
      </c>
      <c r="AF979" s="350">
        <v>444424.75411442592</v>
      </c>
      <c r="AG979" s="350">
        <v>442823.18874188879</v>
      </c>
      <c r="AH979" s="350">
        <v>441091.1743106629</v>
      </c>
      <c r="AI979" s="350">
        <v>439013.25223541324</v>
      </c>
      <c r="AJ979" s="350">
        <v>436398.54967357387</v>
      </c>
      <c r="AK979" s="348">
        <v>2203750.919075965</v>
      </c>
      <c r="AL979" s="369"/>
      <c r="AM979" s="350">
        <v>14743253.978001008</v>
      </c>
      <c r="AN979" s="350">
        <v>14616374.315282106</v>
      </c>
      <c r="AO979" s="350">
        <v>14476933.237729121</v>
      </c>
      <c r="AP979" s="350">
        <v>14297006.376005314</v>
      </c>
      <c r="AQ979" s="350">
        <v>14052692.121000206</v>
      </c>
      <c r="AR979" s="348">
        <v>72186260.028017759</v>
      </c>
      <c r="AS979" s="369"/>
      <c r="AT979" s="350">
        <f t="shared" si="411"/>
        <v>14298829.223886581</v>
      </c>
      <c r="AU979" s="350">
        <f t="shared" si="394"/>
        <v>14173551.126540218</v>
      </c>
      <c r="AV979" s="350">
        <f t="shared" si="395"/>
        <v>14035842.063418457</v>
      </c>
      <c r="AW979" s="350">
        <f t="shared" si="396"/>
        <v>13857993.123769902</v>
      </c>
      <c r="AX979" s="350">
        <f t="shared" si="397"/>
        <v>13616293.571326632</v>
      </c>
      <c r="AY979" s="350">
        <f t="shared" si="398"/>
        <v>69982509.108941793</v>
      </c>
      <c r="AZ979" s="365"/>
      <c r="BA979" s="377">
        <f t="shared" si="399"/>
        <v>0</v>
      </c>
      <c r="BB979" s="377">
        <f t="shared" si="400"/>
        <v>0</v>
      </c>
      <c r="BC979" s="377">
        <f t="shared" si="401"/>
        <v>0</v>
      </c>
      <c r="BD979" s="377">
        <f t="shared" si="402"/>
        <v>0</v>
      </c>
      <c r="BE979" s="377">
        <f t="shared" si="403"/>
        <v>0</v>
      </c>
      <c r="BF979" s="377">
        <f t="shared" si="404"/>
        <v>0</v>
      </c>
      <c r="BG979" s="328"/>
    </row>
    <row r="980" spans="2:59">
      <c r="B980" s="332">
        <v>965</v>
      </c>
      <c r="C980" s="350">
        <v>4146433.6699858611</v>
      </c>
      <c r="D980" s="350">
        <v>4131491.2426707949</v>
      </c>
      <c r="E980" s="350">
        <v>4115331.7401047247</v>
      </c>
      <c r="F980" s="350">
        <v>4095944.9575804472</v>
      </c>
      <c r="G980" s="350">
        <v>4071550.0726442728</v>
      </c>
      <c r="H980" s="348">
        <v>20560751.682986103</v>
      </c>
      <c r="I980" s="369"/>
      <c r="J980" s="350">
        <v>14851577.789659752</v>
      </c>
      <c r="K980" s="350">
        <v>14552157.814005002</v>
      </c>
      <c r="L980" s="350">
        <v>14243588.375379048</v>
      </c>
      <c r="M980" s="350">
        <v>13903282.273776246</v>
      </c>
      <c r="N980" s="350">
        <v>13512244.795166286</v>
      </c>
      <c r="O980" s="348">
        <v>71062851.047986344</v>
      </c>
      <c r="P980" s="369"/>
      <c r="Q980" s="350">
        <f t="shared" si="405"/>
        <v>10705144.119673891</v>
      </c>
      <c r="R980" s="350">
        <f t="shared" si="406"/>
        <v>10420666.571334207</v>
      </c>
      <c r="S980" s="350">
        <f t="shared" si="407"/>
        <v>10128256.635274325</v>
      </c>
      <c r="T980" s="350">
        <f t="shared" si="408"/>
        <v>9807337.316195799</v>
      </c>
      <c r="U980" s="350">
        <f t="shared" si="409"/>
        <v>9440694.7225220129</v>
      </c>
      <c r="V980" s="350">
        <f t="shared" si="410"/>
        <v>50502099.365000241</v>
      </c>
      <c r="W980" s="365"/>
      <c r="X980" s="377">
        <f t="shared" si="388"/>
        <v>0</v>
      </c>
      <c r="Y980" s="377">
        <f t="shared" si="389"/>
        <v>0</v>
      </c>
      <c r="Z980" s="377">
        <f t="shared" si="390"/>
        <v>0</v>
      </c>
      <c r="AA980" s="377">
        <f t="shared" si="391"/>
        <v>0</v>
      </c>
      <c r="AB980" s="377">
        <f t="shared" si="392"/>
        <v>0</v>
      </c>
      <c r="AC980" s="377">
        <f t="shared" si="393"/>
        <v>0</v>
      </c>
      <c r="AD980" s="376"/>
      <c r="AE980" s="332">
        <v>965</v>
      </c>
      <c r="AF980" s="350">
        <v>424909.86779659742</v>
      </c>
      <c r="AG980" s="350">
        <v>423378.62786360044</v>
      </c>
      <c r="AH980" s="350">
        <v>421722.66694742581</v>
      </c>
      <c r="AI980" s="350">
        <v>419735.98734393413</v>
      </c>
      <c r="AJ980" s="350">
        <v>417236.09752098209</v>
      </c>
      <c r="AK980" s="348">
        <v>2106983.24747254</v>
      </c>
      <c r="AL980" s="369"/>
      <c r="AM980" s="350">
        <v>13299788.037591195</v>
      </c>
      <c r="AN980" s="350">
        <v>13184217.377460826</v>
      </c>
      <c r="AO980" s="350">
        <v>13057337.886832982</v>
      </c>
      <c r="AP980" s="350">
        <v>12893995.142694648</v>
      </c>
      <c r="AQ980" s="350">
        <v>12672660.643001154</v>
      </c>
      <c r="AR980" s="348">
        <v>65107999.0875808</v>
      </c>
      <c r="AS980" s="369"/>
      <c r="AT980" s="350">
        <f t="shared" si="411"/>
        <v>12874878.169794597</v>
      </c>
      <c r="AU980" s="350">
        <f t="shared" si="394"/>
        <v>12760838.749597225</v>
      </c>
      <c r="AV980" s="350">
        <f t="shared" si="395"/>
        <v>12635615.219885556</v>
      </c>
      <c r="AW980" s="350">
        <f t="shared" si="396"/>
        <v>12474259.155350715</v>
      </c>
      <c r="AX980" s="350">
        <f t="shared" si="397"/>
        <v>12255424.545480171</v>
      </c>
      <c r="AY980" s="350">
        <f t="shared" si="398"/>
        <v>63001015.840108261</v>
      </c>
      <c r="AZ980" s="365"/>
      <c r="BA980" s="377">
        <f t="shared" si="399"/>
        <v>0</v>
      </c>
      <c r="BB980" s="377">
        <f t="shared" si="400"/>
        <v>0</v>
      </c>
      <c r="BC980" s="377">
        <f t="shared" si="401"/>
        <v>0</v>
      </c>
      <c r="BD980" s="377">
        <f t="shared" si="402"/>
        <v>0</v>
      </c>
      <c r="BE980" s="377">
        <f t="shared" si="403"/>
        <v>0</v>
      </c>
      <c r="BF980" s="377">
        <f t="shared" si="404"/>
        <v>0</v>
      </c>
      <c r="BG980" s="328"/>
    </row>
    <row r="981" spans="2:59">
      <c r="B981" s="332">
        <v>966</v>
      </c>
      <c r="C981" s="350">
        <v>3807491.0833161799</v>
      </c>
      <c r="D981" s="350">
        <v>3793770.0972126182</v>
      </c>
      <c r="E981" s="350">
        <v>3778931.5234337822</v>
      </c>
      <c r="F981" s="350">
        <v>3761129.4777554218</v>
      </c>
      <c r="G981" s="350">
        <v>3738728.7077767896</v>
      </c>
      <c r="H981" s="348">
        <v>18880050.889494792</v>
      </c>
      <c r="I981" s="369"/>
      <c r="J981" s="350">
        <v>13683316.469347879</v>
      </c>
      <c r="K981" s="350">
        <v>13408042.265797216</v>
      </c>
      <c r="L981" s="350">
        <v>13124326.21605847</v>
      </c>
      <c r="M981" s="350">
        <v>12811338.743292462</v>
      </c>
      <c r="N981" s="350">
        <v>12451561.75100413</v>
      </c>
      <c r="O981" s="348">
        <v>65478585.445500165</v>
      </c>
      <c r="P981" s="369"/>
      <c r="Q981" s="350">
        <f t="shared" si="405"/>
        <v>9875825.3860316984</v>
      </c>
      <c r="R981" s="350">
        <f t="shared" si="406"/>
        <v>9614272.1685845982</v>
      </c>
      <c r="S981" s="350">
        <f t="shared" si="407"/>
        <v>9345394.6926246881</v>
      </c>
      <c r="T981" s="350">
        <f t="shared" si="408"/>
        <v>9050209.2655370403</v>
      </c>
      <c r="U981" s="350">
        <f t="shared" si="409"/>
        <v>8712833.043227341</v>
      </c>
      <c r="V981" s="350">
        <f t="shared" si="410"/>
        <v>46598534.556005374</v>
      </c>
      <c r="W981" s="365"/>
      <c r="X981" s="377">
        <f t="shared" si="388"/>
        <v>0</v>
      </c>
      <c r="Y981" s="377">
        <f t="shared" si="389"/>
        <v>0</v>
      </c>
      <c r="Z981" s="377">
        <f t="shared" si="390"/>
        <v>0</v>
      </c>
      <c r="AA981" s="377">
        <f t="shared" si="391"/>
        <v>0</v>
      </c>
      <c r="AB981" s="377">
        <f t="shared" si="392"/>
        <v>0</v>
      </c>
      <c r="AC981" s="377">
        <f t="shared" si="393"/>
        <v>0</v>
      </c>
      <c r="AD981" s="376"/>
      <c r="AE981" s="332">
        <v>966</v>
      </c>
      <c r="AF981" s="350">
        <v>400886.94337868143</v>
      </c>
      <c r="AG981" s="350">
        <v>399442.27441982273</v>
      </c>
      <c r="AH981" s="350">
        <v>397879.93576790509</v>
      </c>
      <c r="AI981" s="350">
        <v>396005.57611171133</v>
      </c>
      <c r="AJ981" s="350">
        <v>393647.02135490242</v>
      </c>
      <c r="AK981" s="348">
        <v>1987861.751033023</v>
      </c>
      <c r="AL981" s="369"/>
      <c r="AM981" s="350">
        <v>16100934.670823729</v>
      </c>
      <c r="AN981" s="350">
        <v>15966289.703976855</v>
      </c>
      <c r="AO981" s="350">
        <v>15817846.540820701</v>
      </c>
      <c r="AP981" s="350">
        <v>15624982.740995675</v>
      </c>
      <c r="AQ981" s="350">
        <v>15361479.574030656</v>
      </c>
      <c r="AR981" s="348">
        <v>78871533.230647624</v>
      </c>
      <c r="AS981" s="369"/>
      <c r="AT981" s="350">
        <f t="shared" si="411"/>
        <v>15700047.727445047</v>
      </c>
      <c r="AU981" s="350">
        <f t="shared" si="394"/>
        <v>15566847.429557033</v>
      </c>
      <c r="AV981" s="350">
        <f t="shared" si="395"/>
        <v>15419966.605052795</v>
      </c>
      <c r="AW981" s="350">
        <f t="shared" si="396"/>
        <v>15228977.164883964</v>
      </c>
      <c r="AX981" s="350">
        <f t="shared" si="397"/>
        <v>14967832.552675754</v>
      </c>
      <c r="AY981" s="350">
        <f t="shared" si="398"/>
        <v>76883671.479614601</v>
      </c>
      <c r="AZ981" s="365"/>
      <c r="BA981" s="377">
        <f t="shared" si="399"/>
        <v>0</v>
      </c>
      <c r="BB981" s="377">
        <f t="shared" si="400"/>
        <v>0</v>
      </c>
      <c r="BC981" s="377">
        <f t="shared" si="401"/>
        <v>0</v>
      </c>
      <c r="BD981" s="377">
        <f t="shared" si="402"/>
        <v>0</v>
      </c>
      <c r="BE981" s="377">
        <f t="shared" si="403"/>
        <v>0</v>
      </c>
      <c r="BF981" s="377">
        <f t="shared" si="404"/>
        <v>0</v>
      </c>
      <c r="BG981" s="328"/>
    </row>
    <row r="982" spans="2:59">
      <c r="B982" s="332">
        <v>967</v>
      </c>
      <c r="C982" s="350">
        <v>3717641.8226015409</v>
      </c>
      <c r="D982" s="350">
        <v>3704244.6246384373</v>
      </c>
      <c r="E982" s="350">
        <v>3689756.2118593035</v>
      </c>
      <c r="F982" s="350">
        <v>3672374.2592575676</v>
      </c>
      <c r="G982" s="350">
        <v>3650502.103155626</v>
      </c>
      <c r="H982" s="348">
        <v>18434519.021512475</v>
      </c>
      <c r="I982" s="369"/>
      <c r="J982" s="350">
        <v>13384495.874819143</v>
      </c>
      <c r="K982" s="350">
        <v>13115544.054805618</v>
      </c>
      <c r="L982" s="350">
        <v>12838328.396569708</v>
      </c>
      <c r="M982" s="350">
        <v>12532464.166526075</v>
      </c>
      <c r="N982" s="350">
        <v>12180806.627235759</v>
      </c>
      <c r="O982" s="348">
        <v>64051639.1199563</v>
      </c>
      <c r="P982" s="369"/>
      <c r="Q982" s="350">
        <f t="shared" si="405"/>
        <v>9666854.0522176027</v>
      </c>
      <c r="R982" s="350">
        <f t="shared" si="406"/>
        <v>9411299.4301671796</v>
      </c>
      <c r="S982" s="350">
        <f t="shared" si="407"/>
        <v>9148572.1847104058</v>
      </c>
      <c r="T982" s="350">
        <f t="shared" si="408"/>
        <v>8860089.9072685074</v>
      </c>
      <c r="U982" s="350">
        <f t="shared" si="409"/>
        <v>8530304.5240801331</v>
      </c>
      <c r="V982" s="350">
        <f t="shared" si="410"/>
        <v>45617120.098443821</v>
      </c>
      <c r="W982" s="365"/>
      <c r="X982" s="377">
        <f t="shared" si="388"/>
        <v>0</v>
      </c>
      <c r="Y982" s="377">
        <f t="shared" si="389"/>
        <v>0</v>
      </c>
      <c r="Z982" s="377">
        <f t="shared" si="390"/>
        <v>0</v>
      </c>
      <c r="AA982" s="377">
        <f t="shared" si="391"/>
        <v>0</v>
      </c>
      <c r="AB982" s="377">
        <f t="shared" si="392"/>
        <v>0</v>
      </c>
      <c r="AC982" s="377">
        <f t="shared" si="393"/>
        <v>0</v>
      </c>
      <c r="AD982" s="376"/>
      <c r="AE982" s="332">
        <v>967</v>
      </c>
      <c r="AF982" s="350">
        <v>445118.7846382368</v>
      </c>
      <c r="AG982" s="350">
        <v>443514.71820057195</v>
      </c>
      <c r="AH982" s="350">
        <v>441779.99899002875</v>
      </c>
      <c r="AI982" s="350">
        <v>439698.83195298753</v>
      </c>
      <c r="AJ982" s="350">
        <v>437080.0461726241</v>
      </c>
      <c r="AK982" s="348">
        <v>2207192.3799544494</v>
      </c>
      <c r="AL982" s="369"/>
      <c r="AM982" s="350">
        <v>12423064.13865342</v>
      </c>
      <c r="AN982" s="350">
        <v>12312874.727002138</v>
      </c>
      <c r="AO982" s="350">
        <v>12192167.647985671</v>
      </c>
      <c r="AP982" s="350">
        <v>12037518.914949251</v>
      </c>
      <c r="AQ982" s="350">
        <v>11828885.446355509</v>
      </c>
      <c r="AR982" s="348">
        <v>60794510.874945983</v>
      </c>
      <c r="AS982" s="369"/>
      <c r="AT982" s="350">
        <f t="shared" si="411"/>
        <v>11977945.354015183</v>
      </c>
      <c r="AU982" s="350">
        <f t="shared" si="394"/>
        <v>11869360.008801566</v>
      </c>
      <c r="AV982" s="350">
        <f t="shared" si="395"/>
        <v>11750387.648995642</v>
      </c>
      <c r="AW982" s="350">
        <f t="shared" si="396"/>
        <v>11597820.082996264</v>
      </c>
      <c r="AX982" s="350">
        <f t="shared" si="397"/>
        <v>11391805.400182884</v>
      </c>
      <c r="AY982" s="350">
        <f t="shared" si="398"/>
        <v>58587318.494991533</v>
      </c>
      <c r="AZ982" s="365"/>
      <c r="BA982" s="377">
        <f t="shared" si="399"/>
        <v>0</v>
      </c>
      <c r="BB982" s="377">
        <f t="shared" si="400"/>
        <v>0</v>
      </c>
      <c r="BC982" s="377">
        <f t="shared" si="401"/>
        <v>0</v>
      </c>
      <c r="BD982" s="377">
        <f t="shared" si="402"/>
        <v>0</v>
      </c>
      <c r="BE982" s="377">
        <f t="shared" si="403"/>
        <v>0</v>
      </c>
      <c r="BF982" s="377">
        <f t="shared" si="404"/>
        <v>0</v>
      </c>
      <c r="BG982" s="328"/>
    </row>
    <row r="983" spans="2:59">
      <c r="B983" s="332">
        <v>968</v>
      </c>
      <c r="C983" s="350">
        <v>5200876.837717982</v>
      </c>
      <c r="D983" s="350">
        <v>5182134.532810335</v>
      </c>
      <c r="E983" s="350">
        <v>5161865.648922652</v>
      </c>
      <c r="F983" s="350">
        <v>5137548.7838252448</v>
      </c>
      <c r="G983" s="350">
        <v>5106950.2497303355</v>
      </c>
      <c r="H983" s="348">
        <v>25789376.053006552</v>
      </c>
      <c r="I983" s="369"/>
      <c r="J983" s="350">
        <v>17697534.64420322</v>
      </c>
      <c r="K983" s="350">
        <v>17328680.542238314</v>
      </c>
      <c r="L983" s="350">
        <v>16949169.907841697</v>
      </c>
      <c r="M983" s="350">
        <v>16532476.64208838</v>
      </c>
      <c r="N983" s="350">
        <v>16056323.239740567</v>
      </c>
      <c r="O983" s="348">
        <v>84564184.976112172</v>
      </c>
      <c r="P983" s="369"/>
      <c r="Q983" s="350">
        <f t="shared" si="405"/>
        <v>12496657.806485238</v>
      </c>
      <c r="R983" s="350">
        <f t="shared" si="406"/>
        <v>12146546.00942798</v>
      </c>
      <c r="S983" s="350">
        <f t="shared" si="407"/>
        <v>11787304.258919045</v>
      </c>
      <c r="T983" s="350">
        <f t="shared" si="408"/>
        <v>11394927.858263135</v>
      </c>
      <c r="U983" s="350">
        <f t="shared" si="409"/>
        <v>10949372.990010232</v>
      </c>
      <c r="V983" s="350">
        <f t="shared" si="410"/>
        <v>58774808.92310562</v>
      </c>
      <c r="W983" s="365"/>
      <c r="X983" s="377">
        <f t="shared" si="388"/>
        <v>0</v>
      </c>
      <c r="Y983" s="377">
        <f t="shared" si="389"/>
        <v>0</v>
      </c>
      <c r="Z983" s="377">
        <f t="shared" si="390"/>
        <v>0</v>
      </c>
      <c r="AA983" s="377">
        <f t="shared" si="391"/>
        <v>0</v>
      </c>
      <c r="AB983" s="377">
        <f t="shared" si="392"/>
        <v>0</v>
      </c>
      <c r="AC983" s="377">
        <f t="shared" si="393"/>
        <v>0</v>
      </c>
      <c r="AD983" s="376"/>
      <c r="AE983" s="332">
        <v>968</v>
      </c>
      <c r="AF983" s="350">
        <v>555904.43556722009</v>
      </c>
      <c r="AG983" s="350">
        <v>553901.13290191675</v>
      </c>
      <c r="AH983" s="350">
        <v>551734.65928434441</v>
      </c>
      <c r="AI983" s="350">
        <v>549135.51041223446</v>
      </c>
      <c r="AJ983" s="350">
        <v>545864.93482354598</v>
      </c>
      <c r="AK983" s="348">
        <v>2756540.6729892618</v>
      </c>
      <c r="AL983" s="369"/>
      <c r="AM983" s="350">
        <v>17837173.757498045</v>
      </c>
      <c r="AN983" s="350">
        <v>17682822.843551945</v>
      </c>
      <c r="AO983" s="350">
        <v>17513291.718858302</v>
      </c>
      <c r="AP983" s="350">
        <v>17294823.289496534</v>
      </c>
      <c r="AQ983" s="350">
        <v>16998525.146492999</v>
      </c>
      <c r="AR983" s="348">
        <v>87326636.755897835</v>
      </c>
      <c r="AS983" s="369"/>
      <c r="AT983" s="350">
        <f t="shared" si="411"/>
        <v>17281269.321930826</v>
      </c>
      <c r="AU983" s="350">
        <f t="shared" si="394"/>
        <v>17128921.710650027</v>
      </c>
      <c r="AV983" s="350">
        <f t="shared" si="395"/>
        <v>16961557.059573956</v>
      </c>
      <c r="AW983" s="350">
        <f t="shared" si="396"/>
        <v>16745687.779084299</v>
      </c>
      <c r="AX983" s="350">
        <f t="shared" si="397"/>
        <v>16452660.211669452</v>
      </c>
      <c r="AY983" s="350">
        <f t="shared" si="398"/>
        <v>84570096.082908571</v>
      </c>
      <c r="AZ983" s="365"/>
      <c r="BA983" s="377">
        <f t="shared" si="399"/>
        <v>0</v>
      </c>
      <c r="BB983" s="377">
        <f t="shared" si="400"/>
        <v>0</v>
      </c>
      <c r="BC983" s="377">
        <f t="shared" si="401"/>
        <v>0</v>
      </c>
      <c r="BD983" s="377">
        <f t="shared" si="402"/>
        <v>0</v>
      </c>
      <c r="BE983" s="377">
        <f t="shared" si="403"/>
        <v>0</v>
      </c>
      <c r="BF983" s="377">
        <f t="shared" si="404"/>
        <v>0</v>
      </c>
      <c r="BG983" s="328"/>
    </row>
    <row r="984" spans="2:59">
      <c r="B984" s="332">
        <v>969</v>
      </c>
      <c r="C984" s="350">
        <v>5580303.8944265042</v>
      </c>
      <c r="D984" s="350">
        <v>5560194.2551617976</v>
      </c>
      <c r="E984" s="350">
        <v>5538446.6662025992</v>
      </c>
      <c r="F984" s="350">
        <v>5512355.7778317761</v>
      </c>
      <c r="G984" s="350">
        <v>5479524.9448200697</v>
      </c>
      <c r="H984" s="348">
        <v>27670825.538442746</v>
      </c>
      <c r="I984" s="369"/>
      <c r="J984" s="350">
        <v>18404792.251511667</v>
      </c>
      <c r="K984" s="350">
        <v>18013236.668414287</v>
      </c>
      <c r="L984" s="350">
        <v>17610761.237806629</v>
      </c>
      <c r="M984" s="350">
        <v>17170036.885558411</v>
      </c>
      <c r="N984" s="350">
        <v>16668131.58931024</v>
      </c>
      <c r="O984" s="348">
        <v>87866958.632601246</v>
      </c>
      <c r="P984" s="369"/>
      <c r="Q984" s="350">
        <f t="shared" si="405"/>
        <v>12824488.357085163</v>
      </c>
      <c r="R984" s="350">
        <f t="shared" si="406"/>
        <v>12453042.41325249</v>
      </c>
      <c r="S984" s="350">
        <f t="shared" si="407"/>
        <v>12072314.57160403</v>
      </c>
      <c r="T984" s="350">
        <f t="shared" si="408"/>
        <v>11657681.107726635</v>
      </c>
      <c r="U984" s="350">
        <f t="shared" si="409"/>
        <v>11188606.644490171</v>
      </c>
      <c r="V984" s="350">
        <f t="shared" si="410"/>
        <v>60196133.0941585</v>
      </c>
      <c r="W984" s="365"/>
      <c r="X984" s="377">
        <f t="shared" si="388"/>
        <v>0</v>
      </c>
      <c r="Y984" s="377">
        <f t="shared" si="389"/>
        <v>0</v>
      </c>
      <c r="Z984" s="377">
        <f t="shared" si="390"/>
        <v>0</v>
      </c>
      <c r="AA984" s="377">
        <f t="shared" si="391"/>
        <v>0</v>
      </c>
      <c r="AB984" s="377">
        <f t="shared" si="392"/>
        <v>0</v>
      </c>
      <c r="AC984" s="377">
        <f t="shared" si="393"/>
        <v>0</v>
      </c>
      <c r="AD984" s="376"/>
      <c r="AE984" s="332">
        <v>969</v>
      </c>
      <c r="AF984" s="350">
        <v>534141.59926780208</v>
      </c>
      <c r="AG984" s="350">
        <v>532216.72293834656</v>
      </c>
      <c r="AH984" s="350">
        <v>530135.06355802377</v>
      </c>
      <c r="AI984" s="350">
        <v>527637.6675193191</v>
      </c>
      <c r="AJ984" s="350">
        <v>524495.13012674416</v>
      </c>
      <c r="AK984" s="348">
        <v>2648626.1834102352</v>
      </c>
      <c r="AL984" s="369"/>
      <c r="AM984" s="350">
        <v>12464609.758339986</v>
      </c>
      <c r="AN984" s="350">
        <v>12349990.58146668</v>
      </c>
      <c r="AO984" s="350">
        <v>12224901.494940463</v>
      </c>
      <c r="AP984" s="350">
        <v>12065971.341496591</v>
      </c>
      <c r="AQ984" s="350">
        <v>11853210.29319329</v>
      </c>
      <c r="AR984" s="348">
        <v>60958683.469437011</v>
      </c>
      <c r="AS984" s="369"/>
      <c r="AT984" s="350">
        <f t="shared" si="411"/>
        <v>11930468.159072185</v>
      </c>
      <c r="AU984" s="350">
        <f t="shared" si="394"/>
        <v>11817773.858528335</v>
      </c>
      <c r="AV984" s="350">
        <f t="shared" si="395"/>
        <v>11694766.43138244</v>
      </c>
      <c r="AW984" s="350">
        <f t="shared" si="396"/>
        <v>11538333.673977271</v>
      </c>
      <c r="AX984" s="350">
        <f t="shared" si="397"/>
        <v>11328715.163066546</v>
      </c>
      <c r="AY984" s="350">
        <f t="shared" si="398"/>
        <v>58310057.286026776</v>
      </c>
      <c r="AZ984" s="365"/>
      <c r="BA984" s="377">
        <f t="shared" si="399"/>
        <v>0</v>
      </c>
      <c r="BB984" s="377">
        <f t="shared" si="400"/>
        <v>0</v>
      </c>
      <c r="BC984" s="377">
        <f t="shared" si="401"/>
        <v>0</v>
      </c>
      <c r="BD984" s="377">
        <f t="shared" si="402"/>
        <v>0</v>
      </c>
      <c r="BE984" s="377">
        <f t="shared" si="403"/>
        <v>0</v>
      </c>
      <c r="BF984" s="377">
        <f t="shared" si="404"/>
        <v>0</v>
      </c>
      <c r="BG984" s="328"/>
    </row>
    <row r="985" spans="2:59">
      <c r="B985" s="332">
        <v>970</v>
      </c>
      <c r="C985" s="350">
        <v>4864684.323376568</v>
      </c>
      <c r="D985" s="350">
        <v>4847153.549294984</v>
      </c>
      <c r="E985" s="350">
        <v>4828194.8765985528</v>
      </c>
      <c r="F985" s="350">
        <v>4805449.8902964117</v>
      </c>
      <c r="G985" s="350">
        <v>4776829.2915446199</v>
      </c>
      <c r="H985" s="348">
        <v>24122311.931111135</v>
      </c>
      <c r="I985" s="369"/>
      <c r="J985" s="350">
        <v>14795832.466974031</v>
      </c>
      <c r="K985" s="350">
        <v>14463490.082219508</v>
      </c>
      <c r="L985" s="350">
        <v>14122727.803565737</v>
      </c>
      <c r="M985" s="350">
        <v>13752142.787427172</v>
      </c>
      <c r="N985" s="350">
        <v>13333819.963416774</v>
      </c>
      <c r="O985" s="348">
        <v>70468013.103603214</v>
      </c>
      <c r="P985" s="369"/>
      <c r="Q985" s="350">
        <f t="shared" si="405"/>
        <v>9931148.1435974631</v>
      </c>
      <c r="R985" s="350">
        <f t="shared" si="406"/>
        <v>9616336.5329245236</v>
      </c>
      <c r="S985" s="350">
        <f t="shared" si="407"/>
        <v>9294532.926967185</v>
      </c>
      <c r="T985" s="350">
        <f t="shared" si="408"/>
        <v>8946692.8971307613</v>
      </c>
      <c r="U985" s="350">
        <f t="shared" si="409"/>
        <v>8556990.6718721539</v>
      </c>
      <c r="V985" s="350">
        <f t="shared" si="410"/>
        <v>46345701.172492079</v>
      </c>
      <c r="W985" s="365"/>
      <c r="X985" s="377">
        <f t="shared" si="388"/>
        <v>0</v>
      </c>
      <c r="Y985" s="377">
        <f t="shared" si="389"/>
        <v>0</v>
      </c>
      <c r="Z985" s="377">
        <f t="shared" si="390"/>
        <v>0</v>
      </c>
      <c r="AA985" s="377">
        <f t="shared" si="391"/>
        <v>0</v>
      </c>
      <c r="AB985" s="377">
        <f t="shared" si="392"/>
        <v>0</v>
      </c>
      <c r="AC985" s="377">
        <f t="shared" si="393"/>
        <v>0</v>
      </c>
      <c r="AD985" s="376"/>
      <c r="AE985" s="332">
        <v>970</v>
      </c>
      <c r="AF985" s="350">
        <v>541251.05017236888</v>
      </c>
      <c r="AG985" s="350">
        <v>539300.55364448612</v>
      </c>
      <c r="AH985" s="350">
        <v>537191.18727563298</v>
      </c>
      <c r="AI985" s="350">
        <v>534660.55077306845</v>
      </c>
      <c r="AJ985" s="350">
        <v>531476.18605354708</v>
      </c>
      <c r="AK985" s="348">
        <v>2683879.5279191034</v>
      </c>
      <c r="AL985" s="369"/>
      <c r="AM985" s="350">
        <v>12284066.566052465</v>
      </c>
      <c r="AN985" s="350">
        <v>12170418.7772441</v>
      </c>
      <c r="AO985" s="350">
        <v>12046466.795330271</v>
      </c>
      <c r="AP985" s="350">
        <v>11889200.227858728</v>
      </c>
      <c r="AQ985" s="350">
        <v>11678939.189264523</v>
      </c>
      <c r="AR985" s="348">
        <v>60069091.555750087</v>
      </c>
      <c r="AS985" s="369"/>
      <c r="AT985" s="350">
        <f t="shared" si="411"/>
        <v>11742815.515880097</v>
      </c>
      <c r="AU985" s="350">
        <f t="shared" si="394"/>
        <v>11631118.223599615</v>
      </c>
      <c r="AV985" s="350">
        <f t="shared" si="395"/>
        <v>11509275.608054638</v>
      </c>
      <c r="AW985" s="350">
        <f t="shared" si="396"/>
        <v>11354539.677085659</v>
      </c>
      <c r="AX985" s="350">
        <f t="shared" si="397"/>
        <v>11147463.003210977</v>
      </c>
      <c r="AY985" s="350">
        <f t="shared" si="398"/>
        <v>57385212.027830981</v>
      </c>
      <c r="AZ985" s="365"/>
      <c r="BA985" s="377">
        <f t="shared" si="399"/>
        <v>0</v>
      </c>
      <c r="BB985" s="377">
        <f t="shared" si="400"/>
        <v>0</v>
      </c>
      <c r="BC985" s="377">
        <f t="shared" si="401"/>
        <v>0</v>
      </c>
      <c r="BD985" s="377">
        <f t="shared" si="402"/>
        <v>0</v>
      </c>
      <c r="BE985" s="377">
        <f t="shared" si="403"/>
        <v>0</v>
      </c>
      <c r="BF985" s="377">
        <f t="shared" si="404"/>
        <v>0</v>
      </c>
      <c r="BG985" s="328"/>
    </row>
    <row r="986" spans="2:59">
      <c r="B986" s="332">
        <v>971</v>
      </c>
      <c r="C986" s="350">
        <v>3719987.9145843852</v>
      </c>
      <c r="D986" s="350">
        <v>3706582.2620524382</v>
      </c>
      <c r="E986" s="350">
        <v>3692084.7060715938</v>
      </c>
      <c r="F986" s="350">
        <v>3674691.7842421615</v>
      </c>
      <c r="G986" s="350">
        <v>3652805.8252800936</v>
      </c>
      <c r="H986" s="348">
        <v>18446152.492230672</v>
      </c>
      <c r="I986" s="369"/>
      <c r="J986" s="350">
        <v>11898941.29925802</v>
      </c>
      <c r="K986" s="350">
        <v>11640587.561018553</v>
      </c>
      <c r="L986" s="350">
        <v>11375280.342306994</v>
      </c>
      <c r="M986" s="350">
        <v>11085519.232027046</v>
      </c>
      <c r="N986" s="350">
        <v>10756632.616401115</v>
      </c>
      <c r="O986" s="348">
        <v>56756961.051011726</v>
      </c>
      <c r="P986" s="369"/>
      <c r="Q986" s="350">
        <f t="shared" si="405"/>
        <v>8178953.3846736345</v>
      </c>
      <c r="R986" s="350">
        <f t="shared" si="406"/>
        <v>7934005.2989661144</v>
      </c>
      <c r="S986" s="350">
        <f t="shared" si="407"/>
        <v>7683195.6362354001</v>
      </c>
      <c r="T986" s="350">
        <f t="shared" si="408"/>
        <v>7410827.4477848848</v>
      </c>
      <c r="U986" s="350">
        <f t="shared" si="409"/>
        <v>7103826.7911210218</v>
      </c>
      <c r="V986" s="350">
        <f t="shared" si="410"/>
        <v>38310808.558781058</v>
      </c>
      <c r="W986" s="365"/>
      <c r="X986" s="377">
        <f t="shared" si="388"/>
        <v>0</v>
      </c>
      <c r="Y986" s="377">
        <f t="shared" si="389"/>
        <v>0</v>
      </c>
      <c r="Z986" s="377">
        <f t="shared" si="390"/>
        <v>0</v>
      </c>
      <c r="AA986" s="377">
        <f t="shared" si="391"/>
        <v>0</v>
      </c>
      <c r="AB986" s="377">
        <f t="shared" si="392"/>
        <v>0</v>
      </c>
      <c r="AC986" s="377">
        <f t="shared" si="393"/>
        <v>0</v>
      </c>
      <c r="AD986" s="376"/>
      <c r="AE986" s="332">
        <v>971</v>
      </c>
      <c r="AF986" s="350">
        <v>334703.07319752523</v>
      </c>
      <c r="AG986" s="350">
        <v>333496.9098433191</v>
      </c>
      <c r="AH986" s="350">
        <v>332192.50330973405</v>
      </c>
      <c r="AI986" s="350">
        <v>330627.58844391635</v>
      </c>
      <c r="AJ986" s="350">
        <v>328658.41599156515</v>
      </c>
      <c r="AK986" s="348">
        <v>1659678.49078606</v>
      </c>
      <c r="AL986" s="369"/>
      <c r="AM986" s="350">
        <v>11587009.307521451</v>
      </c>
      <c r="AN986" s="350">
        <v>11487968.529420933</v>
      </c>
      <c r="AO986" s="350">
        <v>11379041.679394867</v>
      </c>
      <c r="AP986" s="350">
        <v>11238260.608196054</v>
      </c>
      <c r="AQ986" s="350">
        <v>11046820.544345818</v>
      </c>
      <c r="AR986" s="348">
        <v>56739100.668879114</v>
      </c>
      <c r="AS986" s="369"/>
      <c r="AT986" s="350">
        <f t="shared" si="411"/>
        <v>11252306.234323926</v>
      </c>
      <c r="AU986" s="350">
        <f t="shared" si="394"/>
        <v>11154471.619577613</v>
      </c>
      <c r="AV986" s="350">
        <f t="shared" si="395"/>
        <v>11046849.176085133</v>
      </c>
      <c r="AW986" s="350">
        <f t="shared" si="396"/>
        <v>10907633.019752137</v>
      </c>
      <c r="AX986" s="350">
        <f t="shared" si="397"/>
        <v>10718162.128354253</v>
      </c>
      <c r="AY986" s="350">
        <f t="shared" si="398"/>
        <v>55079422.178093053</v>
      </c>
      <c r="AZ986" s="365"/>
      <c r="BA986" s="377">
        <f t="shared" si="399"/>
        <v>0</v>
      </c>
      <c r="BB986" s="377">
        <f t="shared" si="400"/>
        <v>0</v>
      </c>
      <c r="BC986" s="377">
        <f t="shared" si="401"/>
        <v>0</v>
      </c>
      <c r="BD986" s="377">
        <f t="shared" si="402"/>
        <v>0</v>
      </c>
      <c r="BE986" s="377">
        <f t="shared" si="403"/>
        <v>0</v>
      </c>
      <c r="BF986" s="377">
        <f t="shared" si="404"/>
        <v>0</v>
      </c>
      <c r="BG986" s="328"/>
    </row>
    <row r="987" spans="2:59">
      <c r="B987" s="332">
        <v>972</v>
      </c>
      <c r="C987" s="350">
        <v>4746117.2366234213</v>
      </c>
      <c r="D987" s="350">
        <v>4729013.7405876899</v>
      </c>
      <c r="E987" s="350">
        <v>4710517.1481498936</v>
      </c>
      <c r="F987" s="350">
        <v>4688326.5260335477</v>
      </c>
      <c r="G987" s="350">
        <v>4660403.4979337361</v>
      </c>
      <c r="H987" s="348">
        <v>23534378.149328284</v>
      </c>
      <c r="I987" s="369"/>
      <c r="J987" s="350">
        <v>16434526.452613762</v>
      </c>
      <c r="K987" s="350">
        <v>16095874.480954232</v>
      </c>
      <c r="L987" s="350">
        <v>15747247.298143027</v>
      </c>
      <c r="M987" s="350">
        <v>15363886.618142219</v>
      </c>
      <c r="N987" s="350">
        <v>14924989.934276251</v>
      </c>
      <c r="O987" s="348">
        <v>78566524.784129485</v>
      </c>
      <c r="P987" s="369"/>
      <c r="Q987" s="350">
        <f t="shared" si="405"/>
        <v>11688409.21599034</v>
      </c>
      <c r="R987" s="350">
        <f t="shared" si="406"/>
        <v>11366860.740366541</v>
      </c>
      <c r="S987" s="350">
        <f t="shared" si="407"/>
        <v>11036730.149993133</v>
      </c>
      <c r="T987" s="350">
        <f t="shared" si="408"/>
        <v>10675560.092108671</v>
      </c>
      <c r="U987" s="350">
        <f t="shared" si="409"/>
        <v>10264586.436342515</v>
      </c>
      <c r="V987" s="350">
        <f t="shared" si="410"/>
        <v>55032146.634801202</v>
      </c>
      <c r="W987" s="365"/>
      <c r="X987" s="377">
        <f t="shared" si="388"/>
        <v>0</v>
      </c>
      <c r="Y987" s="377">
        <f t="shared" si="389"/>
        <v>0</v>
      </c>
      <c r="Z987" s="377">
        <f t="shared" si="390"/>
        <v>0</v>
      </c>
      <c r="AA987" s="377">
        <f t="shared" si="391"/>
        <v>0</v>
      </c>
      <c r="AB987" s="377">
        <f t="shared" si="392"/>
        <v>0</v>
      </c>
      <c r="AC987" s="377">
        <f t="shared" si="393"/>
        <v>0</v>
      </c>
      <c r="AD987" s="376"/>
      <c r="AE987" s="332">
        <v>972</v>
      </c>
      <c r="AF987" s="350">
        <v>538332.35033962259</v>
      </c>
      <c r="AG987" s="350">
        <v>536392.37187704036</v>
      </c>
      <c r="AH987" s="350">
        <v>534294.38028014556</v>
      </c>
      <c r="AI987" s="350">
        <v>531777.39025149448</v>
      </c>
      <c r="AJ987" s="350">
        <v>528610.19723957777</v>
      </c>
      <c r="AK987" s="348">
        <v>2669406.6899878806</v>
      </c>
      <c r="AL987" s="369"/>
      <c r="AM987" s="350">
        <v>15079925.320145486</v>
      </c>
      <c r="AN987" s="350">
        <v>14946262.177967232</v>
      </c>
      <c r="AO987" s="350">
        <v>14799830.127678072</v>
      </c>
      <c r="AP987" s="350">
        <v>14612192.637184516</v>
      </c>
      <c r="AQ987" s="350">
        <v>14359017.383868573</v>
      </c>
      <c r="AR987" s="348">
        <v>73797227.64684388</v>
      </c>
      <c r="AS987" s="369"/>
      <c r="AT987" s="350">
        <f t="shared" si="411"/>
        <v>14541592.969805863</v>
      </c>
      <c r="AU987" s="350">
        <f t="shared" si="394"/>
        <v>14409869.806090191</v>
      </c>
      <c r="AV987" s="350">
        <f t="shared" si="395"/>
        <v>14265535.747397926</v>
      </c>
      <c r="AW987" s="350">
        <f t="shared" si="396"/>
        <v>14080415.246933021</v>
      </c>
      <c r="AX987" s="350">
        <f t="shared" si="397"/>
        <v>13830407.186628995</v>
      </c>
      <c r="AY987" s="350">
        <f t="shared" si="398"/>
        <v>71127820.956855997</v>
      </c>
      <c r="AZ987" s="365"/>
      <c r="BA987" s="377">
        <f t="shared" si="399"/>
        <v>0</v>
      </c>
      <c r="BB987" s="377">
        <f t="shared" si="400"/>
        <v>0</v>
      </c>
      <c r="BC987" s="377">
        <f t="shared" si="401"/>
        <v>0</v>
      </c>
      <c r="BD987" s="377">
        <f t="shared" si="402"/>
        <v>0</v>
      </c>
      <c r="BE987" s="377">
        <f t="shared" si="403"/>
        <v>0</v>
      </c>
      <c r="BF987" s="377">
        <f t="shared" si="404"/>
        <v>0</v>
      </c>
      <c r="BG987" s="328"/>
    </row>
    <row r="988" spans="2:59">
      <c r="B988" s="332">
        <v>973</v>
      </c>
      <c r="C988" s="350">
        <v>6352545.8354422878</v>
      </c>
      <c r="D988" s="350">
        <v>6329653.2819935689</v>
      </c>
      <c r="E988" s="350">
        <v>6304896.1077809511</v>
      </c>
      <c r="F988" s="350">
        <v>6275194.5776494797</v>
      </c>
      <c r="G988" s="350">
        <v>6237820.3816436119</v>
      </c>
      <c r="H988" s="348">
        <v>31500110.184509899</v>
      </c>
      <c r="I988" s="369"/>
      <c r="J988" s="350">
        <v>18776027.946491517</v>
      </c>
      <c r="K988" s="350">
        <v>18345967.54993467</v>
      </c>
      <c r="L988" s="350">
        <v>17905392.040350068</v>
      </c>
      <c r="M988" s="350">
        <v>17427409.595428195</v>
      </c>
      <c r="N988" s="350">
        <v>16889532.123355746</v>
      </c>
      <c r="O988" s="348">
        <v>89344329.255560204</v>
      </c>
      <c r="P988" s="369"/>
      <c r="Q988" s="350">
        <f t="shared" si="405"/>
        <v>12423482.111049229</v>
      </c>
      <c r="R988" s="350">
        <f t="shared" si="406"/>
        <v>12016314.267941102</v>
      </c>
      <c r="S988" s="350">
        <f t="shared" si="407"/>
        <v>11600495.932569116</v>
      </c>
      <c r="T988" s="350">
        <f t="shared" si="408"/>
        <v>11152215.017778715</v>
      </c>
      <c r="U988" s="350">
        <f t="shared" si="409"/>
        <v>10651711.741712134</v>
      </c>
      <c r="V988" s="350">
        <f t="shared" si="410"/>
        <v>57844219.071050301</v>
      </c>
      <c r="W988" s="365"/>
      <c r="X988" s="377">
        <f t="shared" si="388"/>
        <v>0</v>
      </c>
      <c r="Y988" s="377">
        <f t="shared" si="389"/>
        <v>0</v>
      </c>
      <c r="Z988" s="377">
        <f t="shared" si="390"/>
        <v>0</v>
      </c>
      <c r="AA988" s="377">
        <f t="shared" si="391"/>
        <v>0</v>
      </c>
      <c r="AB988" s="377">
        <f t="shared" si="392"/>
        <v>0</v>
      </c>
      <c r="AC988" s="377">
        <f t="shared" si="393"/>
        <v>0</v>
      </c>
      <c r="AD988" s="376"/>
      <c r="AE988" s="332">
        <v>973</v>
      </c>
      <c r="AF988" s="350">
        <v>479036.18231173913</v>
      </c>
      <c r="AG988" s="350">
        <v>477309.88836730871</v>
      </c>
      <c r="AH988" s="350">
        <v>475442.98610058706</v>
      </c>
      <c r="AI988" s="350">
        <v>473203.23719179298</v>
      </c>
      <c r="AJ988" s="350">
        <v>470384.90378099988</v>
      </c>
      <c r="AK988" s="348">
        <v>2375377.1977524278</v>
      </c>
      <c r="AL988" s="369"/>
      <c r="AM988" s="350">
        <v>12844711.135011068</v>
      </c>
      <c r="AN988" s="350">
        <v>12729909.117817365</v>
      </c>
      <c r="AO988" s="350">
        <v>12604250.277345641</v>
      </c>
      <c r="AP988" s="350">
        <v>12443543.78665881</v>
      </c>
      <c r="AQ988" s="350">
        <v>12227092.135641789</v>
      </c>
      <c r="AR988" s="348">
        <v>62849506.452474676</v>
      </c>
      <c r="AS988" s="369"/>
      <c r="AT988" s="350">
        <f t="shared" si="411"/>
        <v>12365674.952699328</v>
      </c>
      <c r="AU988" s="350">
        <f t="shared" si="394"/>
        <v>12252599.229450056</v>
      </c>
      <c r="AV988" s="350">
        <f t="shared" si="395"/>
        <v>12128807.291245054</v>
      </c>
      <c r="AW988" s="350">
        <f t="shared" si="396"/>
        <v>11970340.549467018</v>
      </c>
      <c r="AX988" s="350">
        <f t="shared" si="397"/>
        <v>11756707.231860789</v>
      </c>
      <c r="AY988" s="350">
        <f t="shared" si="398"/>
        <v>60474129.254722245</v>
      </c>
      <c r="AZ988" s="365"/>
      <c r="BA988" s="377">
        <f t="shared" si="399"/>
        <v>0</v>
      </c>
      <c r="BB988" s="377">
        <f t="shared" si="400"/>
        <v>0</v>
      </c>
      <c r="BC988" s="377">
        <f t="shared" si="401"/>
        <v>0</v>
      </c>
      <c r="BD988" s="377">
        <f t="shared" si="402"/>
        <v>0</v>
      </c>
      <c r="BE988" s="377">
        <f t="shared" si="403"/>
        <v>0</v>
      </c>
      <c r="BF988" s="377">
        <f t="shared" si="404"/>
        <v>0</v>
      </c>
      <c r="BG988" s="328"/>
    </row>
    <row r="989" spans="2:59">
      <c r="B989" s="332">
        <v>974</v>
      </c>
      <c r="C989" s="350">
        <v>2869497.1449536956</v>
      </c>
      <c r="D989" s="350">
        <v>2859156.3904808508</v>
      </c>
      <c r="E989" s="350">
        <v>2847973.3714896501</v>
      </c>
      <c r="F989" s="350">
        <v>2834556.9463081891</v>
      </c>
      <c r="G989" s="350">
        <v>2817674.7149143694</v>
      </c>
      <c r="H989" s="348">
        <v>14228858.568146754</v>
      </c>
      <c r="I989" s="369"/>
      <c r="J989" s="350">
        <v>11325334.287547495</v>
      </c>
      <c r="K989" s="350">
        <v>11110574.383961959</v>
      </c>
      <c r="L989" s="350">
        <v>10888560.333454452</v>
      </c>
      <c r="M989" s="350">
        <v>10641629.663183749</v>
      </c>
      <c r="N989" s="350">
        <v>10354895.770578608</v>
      </c>
      <c r="O989" s="348">
        <v>54320994.438726261</v>
      </c>
      <c r="P989" s="369"/>
      <c r="Q989" s="350">
        <f t="shared" si="405"/>
        <v>8455837.1425937992</v>
      </c>
      <c r="R989" s="350">
        <f t="shared" si="406"/>
        <v>8251417.993481108</v>
      </c>
      <c r="S989" s="350">
        <f t="shared" si="407"/>
        <v>8040586.9619648028</v>
      </c>
      <c r="T989" s="350">
        <f t="shared" si="408"/>
        <v>7807072.7168755597</v>
      </c>
      <c r="U989" s="350">
        <f t="shared" si="409"/>
        <v>7537221.0556642385</v>
      </c>
      <c r="V989" s="350">
        <f t="shared" si="410"/>
        <v>40092135.870579511</v>
      </c>
      <c r="W989" s="365"/>
      <c r="X989" s="377">
        <f t="shared" si="388"/>
        <v>0</v>
      </c>
      <c r="Y989" s="377">
        <f t="shared" si="389"/>
        <v>0</v>
      </c>
      <c r="Z989" s="377">
        <f t="shared" si="390"/>
        <v>0</v>
      </c>
      <c r="AA989" s="377">
        <f t="shared" si="391"/>
        <v>0</v>
      </c>
      <c r="AB989" s="377">
        <f t="shared" si="392"/>
        <v>0</v>
      </c>
      <c r="AC989" s="377">
        <f t="shared" si="393"/>
        <v>0</v>
      </c>
      <c r="AD989" s="376"/>
      <c r="AE989" s="332">
        <v>974</v>
      </c>
      <c r="AF989" s="350">
        <v>450730.8904019628</v>
      </c>
      <c r="AG989" s="350">
        <v>449106.59972121741</v>
      </c>
      <c r="AH989" s="350">
        <v>447350.00898330688</v>
      </c>
      <c r="AI989" s="350">
        <v>445242.60236724338</v>
      </c>
      <c r="AJ989" s="350">
        <v>442590.79865261348</v>
      </c>
      <c r="AK989" s="348">
        <v>2235020.9001263441</v>
      </c>
      <c r="AL989" s="369"/>
      <c r="AM989" s="350">
        <v>13780877.133217633</v>
      </c>
      <c r="AN989" s="350">
        <v>13660641.088723421</v>
      </c>
      <c r="AO989" s="350">
        <v>13528697.044253398</v>
      </c>
      <c r="AP989" s="350">
        <v>13358996.333690528</v>
      </c>
      <c r="AQ989" s="350">
        <v>13129246.071934087</v>
      </c>
      <c r="AR989" s="348">
        <v>67458457.671819061</v>
      </c>
      <c r="AS989" s="369"/>
      <c r="AT989" s="350">
        <f t="shared" si="411"/>
        <v>13330146.24281567</v>
      </c>
      <c r="AU989" s="350">
        <f t="shared" si="394"/>
        <v>13211534.489002204</v>
      </c>
      <c r="AV989" s="350">
        <f t="shared" si="395"/>
        <v>13081347.035270091</v>
      </c>
      <c r="AW989" s="350">
        <f t="shared" si="396"/>
        <v>12913753.731323285</v>
      </c>
      <c r="AX989" s="350">
        <f t="shared" si="397"/>
        <v>12686655.273281474</v>
      </c>
      <c r="AY989" s="350">
        <f t="shared" si="398"/>
        <v>65223436.771692716</v>
      </c>
      <c r="AZ989" s="365"/>
      <c r="BA989" s="377">
        <f t="shared" si="399"/>
        <v>0</v>
      </c>
      <c r="BB989" s="377">
        <f t="shared" si="400"/>
        <v>0</v>
      </c>
      <c r="BC989" s="377">
        <f t="shared" si="401"/>
        <v>0</v>
      </c>
      <c r="BD989" s="377">
        <f t="shared" si="402"/>
        <v>0</v>
      </c>
      <c r="BE989" s="377">
        <f t="shared" si="403"/>
        <v>0</v>
      </c>
      <c r="BF989" s="377">
        <f t="shared" si="404"/>
        <v>0</v>
      </c>
      <c r="BG989" s="328"/>
    </row>
    <row r="990" spans="2:59">
      <c r="B990" s="332">
        <v>975</v>
      </c>
      <c r="C990" s="350">
        <v>4796975.5348305441</v>
      </c>
      <c r="D990" s="350">
        <v>4779688.7616740838</v>
      </c>
      <c r="E990" s="350">
        <v>4760993.9640156571</v>
      </c>
      <c r="F990" s="350">
        <v>4738565.5523082167</v>
      </c>
      <c r="G990" s="350">
        <v>4710343.3074762542</v>
      </c>
      <c r="H990" s="348">
        <v>23786567.120304756</v>
      </c>
      <c r="I990" s="369"/>
      <c r="J990" s="350">
        <v>19322171.736747254</v>
      </c>
      <c r="K990" s="350">
        <v>18960347.818116747</v>
      </c>
      <c r="L990" s="350">
        <v>18586054.097981565</v>
      </c>
      <c r="M990" s="350">
        <v>18169008.738532197</v>
      </c>
      <c r="N990" s="350">
        <v>17683678.086633615</v>
      </c>
      <c r="O990" s="348">
        <v>92721260.47801137</v>
      </c>
      <c r="P990" s="369"/>
      <c r="Q990" s="350">
        <f t="shared" si="405"/>
        <v>14525196.20191671</v>
      </c>
      <c r="R990" s="350">
        <f t="shared" si="406"/>
        <v>14180659.056442663</v>
      </c>
      <c r="S990" s="350">
        <f t="shared" si="407"/>
        <v>13825060.133965908</v>
      </c>
      <c r="T990" s="350">
        <f t="shared" si="408"/>
        <v>13430443.18622398</v>
      </c>
      <c r="U990" s="350">
        <f t="shared" si="409"/>
        <v>12973334.779157361</v>
      </c>
      <c r="V990" s="350">
        <f t="shared" si="410"/>
        <v>68934693.357706606</v>
      </c>
      <c r="W990" s="365"/>
      <c r="X990" s="377">
        <f t="shared" si="388"/>
        <v>0</v>
      </c>
      <c r="Y990" s="377">
        <f t="shared" si="389"/>
        <v>0</v>
      </c>
      <c r="Z990" s="377">
        <f t="shared" si="390"/>
        <v>0</v>
      </c>
      <c r="AA990" s="377">
        <f t="shared" si="391"/>
        <v>0</v>
      </c>
      <c r="AB990" s="377">
        <f t="shared" si="392"/>
        <v>0</v>
      </c>
      <c r="AC990" s="377">
        <f t="shared" si="393"/>
        <v>0</v>
      </c>
      <c r="AD990" s="376"/>
      <c r="AE990" s="332">
        <v>975</v>
      </c>
      <c r="AF990" s="350">
        <v>322280.96313965216</v>
      </c>
      <c r="AG990" s="350">
        <v>321119.56511667109</v>
      </c>
      <c r="AH990" s="350">
        <v>319863.57009411755</v>
      </c>
      <c r="AI990" s="350">
        <v>318356.73519902938</v>
      </c>
      <c r="AJ990" s="350">
        <v>316460.64626124629</v>
      </c>
      <c r="AK990" s="348">
        <v>1598081.4798107166</v>
      </c>
      <c r="AL990" s="369"/>
      <c r="AM990" s="350">
        <v>8901495.2077724077</v>
      </c>
      <c r="AN990" s="350">
        <v>8822386.2461071983</v>
      </c>
      <c r="AO990" s="350">
        <v>8735744.2271995377</v>
      </c>
      <c r="AP990" s="350">
        <v>8624790.1723767873</v>
      </c>
      <c r="AQ990" s="350">
        <v>8475167.2068654001</v>
      </c>
      <c r="AR990" s="348">
        <v>43559583.060321331</v>
      </c>
      <c r="AS990" s="369"/>
      <c r="AT990" s="350">
        <f t="shared" si="411"/>
        <v>8579214.2446327563</v>
      </c>
      <c r="AU990" s="350">
        <f t="shared" si="394"/>
        <v>8501266.6809905265</v>
      </c>
      <c r="AV990" s="350">
        <f t="shared" si="395"/>
        <v>8415880.6571054198</v>
      </c>
      <c r="AW990" s="350">
        <f t="shared" si="396"/>
        <v>8306433.4371777577</v>
      </c>
      <c r="AX990" s="350">
        <f t="shared" si="397"/>
        <v>8158706.5606041541</v>
      </c>
      <c r="AY990" s="350">
        <f t="shared" si="398"/>
        <v>41961501.580510616</v>
      </c>
      <c r="AZ990" s="365"/>
      <c r="BA990" s="377">
        <f t="shared" si="399"/>
        <v>0</v>
      </c>
      <c r="BB990" s="377">
        <f t="shared" si="400"/>
        <v>0</v>
      </c>
      <c r="BC990" s="377">
        <f t="shared" si="401"/>
        <v>0</v>
      </c>
      <c r="BD990" s="377">
        <f t="shared" si="402"/>
        <v>0</v>
      </c>
      <c r="BE990" s="377">
        <f t="shared" si="403"/>
        <v>0</v>
      </c>
      <c r="BF990" s="377">
        <f t="shared" si="404"/>
        <v>0</v>
      </c>
      <c r="BG990" s="328"/>
    </row>
    <row r="991" spans="2:59">
      <c r="B991" s="332">
        <v>976</v>
      </c>
      <c r="C991" s="350">
        <v>5577850.5554818911</v>
      </c>
      <c r="D991" s="350">
        <v>5557749.7572699478</v>
      </c>
      <c r="E991" s="350">
        <v>5536011.7294758679</v>
      </c>
      <c r="F991" s="350">
        <v>5509932.3117693216</v>
      </c>
      <c r="G991" s="350">
        <v>5477115.9125882359</v>
      </c>
      <c r="H991" s="348">
        <v>27658660.266585264</v>
      </c>
      <c r="I991" s="369"/>
      <c r="J991" s="350">
        <v>23075753.002941001</v>
      </c>
      <c r="K991" s="350">
        <v>22650645.933773745</v>
      </c>
      <c r="L991" s="350">
        <v>22210503.584118105</v>
      </c>
      <c r="M991" s="350">
        <v>21718935.215007335</v>
      </c>
      <c r="N991" s="350">
        <v>21145239.44068094</v>
      </c>
      <c r="O991" s="348">
        <v>110801077.17652112</v>
      </c>
      <c r="P991" s="369"/>
      <c r="Q991" s="350">
        <f t="shared" si="405"/>
        <v>17497902.447459109</v>
      </c>
      <c r="R991" s="350">
        <f t="shared" si="406"/>
        <v>17092896.176503796</v>
      </c>
      <c r="S991" s="350">
        <f t="shared" si="407"/>
        <v>16674491.854642238</v>
      </c>
      <c r="T991" s="350">
        <f t="shared" si="408"/>
        <v>16209002.903238013</v>
      </c>
      <c r="U991" s="350">
        <f t="shared" si="409"/>
        <v>15668123.528092705</v>
      </c>
      <c r="V991" s="350">
        <f t="shared" si="410"/>
        <v>83142416.909935862</v>
      </c>
      <c r="W991" s="365"/>
      <c r="X991" s="377">
        <f t="shared" si="388"/>
        <v>0</v>
      </c>
      <c r="Y991" s="377">
        <f t="shared" si="389"/>
        <v>0</v>
      </c>
      <c r="Z991" s="377">
        <f t="shared" si="390"/>
        <v>0</v>
      </c>
      <c r="AA991" s="377">
        <f t="shared" si="391"/>
        <v>0</v>
      </c>
      <c r="AB991" s="377">
        <f t="shared" si="392"/>
        <v>0</v>
      </c>
      <c r="AC991" s="377">
        <f t="shared" si="393"/>
        <v>0</v>
      </c>
      <c r="AD991" s="376"/>
      <c r="AE991" s="332">
        <v>976</v>
      </c>
      <c r="AF991" s="350">
        <v>485096.55471451761</v>
      </c>
      <c r="AG991" s="350">
        <v>483348.42111670331</v>
      </c>
      <c r="AH991" s="350">
        <v>481457.90033556952</v>
      </c>
      <c r="AI991" s="350">
        <v>479189.81596282264</v>
      </c>
      <c r="AJ991" s="350">
        <v>476335.82731208036</v>
      </c>
      <c r="AK991" s="348">
        <v>2405428.5194416931</v>
      </c>
      <c r="AL991" s="369"/>
      <c r="AM991" s="350">
        <v>13555241.899046054</v>
      </c>
      <c r="AN991" s="350">
        <v>13435037.649401207</v>
      </c>
      <c r="AO991" s="350">
        <v>13303356.645978423</v>
      </c>
      <c r="AP991" s="350">
        <v>13134639.272311822</v>
      </c>
      <c r="AQ991" s="350">
        <v>12907015.009458346</v>
      </c>
      <c r="AR991" s="348">
        <v>66335290.476195849</v>
      </c>
      <c r="AS991" s="369"/>
      <c r="AT991" s="350">
        <f t="shared" si="411"/>
        <v>13070145.344331536</v>
      </c>
      <c r="AU991" s="350">
        <f t="shared" si="394"/>
        <v>12951689.228284502</v>
      </c>
      <c r="AV991" s="350">
        <f t="shared" si="395"/>
        <v>12821898.745642854</v>
      </c>
      <c r="AW991" s="350">
        <f t="shared" si="396"/>
        <v>12655449.456348998</v>
      </c>
      <c r="AX991" s="350">
        <f t="shared" si="397"/>
        <v>12430679.182146266</v>
      </c>
      <c r="AY991" s="350">
        <f t="shared" si="398"/>
        <v>63929861.956754155</v>
      </c>
      <c r="AZ991" s="365"/>
      <c r="BA991" s="377">
        <f t="shared" si="399"/>
        <v>0</v>
      </c>
      <c r="BB991" s="377">
        <f t="shared" si="400"/>
        <v>0</v>
      </c>
      <c r="BC991" s="377">
        <f t="shared" si="401"/>
        <v>0</v>
      </c>
      <c r="BD991" s="377">
        <f t="shared" si="402"/>
        <v>0</v>
      </c>
      <c r="BE991" s="377">
        <f t="shared" si="403"/>
        <v>0</v>
      </c>
      <c r="BF991" s="377">
        <f t="shared" si="404"/>
        <v>0</v>
      </c>
      <c r="BG991" s="328"/>
    </row>
    <row r="992" spans="2:59">
      <c r="B992" s="332">
        <v>977</v>
      </c>
      <c r="C992" s="350">
        <v>4330236.3509274898</v>
      </c>
      <c r="D992" s="350">
        <v>4314631.5572467996</v>
      </c>
      <c r="E992" s="350">
        <v>4297755.7379298257</v>
      </c>
      <c r="F992" s="350">
        <v>4277509.5801239442</v>
      </c>
      <c r="G992" s="350">
        <v>4252033.3212627545</v>
      </c>
      <c r="H992" s="348">
        <v>21472166.547490813</v>
      </c>
      <c r="I992" s="369"/>
      <c r="J992" s="350">
        <v>15448946.862705557</v>
      </c>
      <c r="K992" s="350">
        <v>15136693.663324613</v>
      </c>
      <c r="L992" s="350">
        <v>14814939.113000412</v>
      </c>
      <c r="M992" s="350">
        <v>14460213.002740677</v>
      </c>
      <c r="N992" s="350">
        <v>14052779.992423849</v>
      </c>
      <c r="O992" s="348">
        <v>73913572.634195104</v>
      </c>
      <c r="P992" s="369"/>
      <c r="Q992" s="350">
        <f t="shared" si="405"/>
        <v>11118710.511778068</v>
      </c>
      <c r="R992" s="350">
        <f t="shared" si="406"/>
        <v>10822062.106077813</v>
      </c>
      <c r="S992" s="350">
        <f t="shared" si="407"/>
        <v>10517183.375070587</v>
      </c>
      <c r="T992" s="350">
        <f t="shared" si="408"/>
        <v>10182703.422616733</v>
      </c>
      <c r="U992" s="350">
        <f t="shared" si="409"/>
        <v>9800746.6711610947</v>
      </c>
      <c r="V992" s="350">
        <f t="shared" si="410"/>
        <v>52441406.086704291</v>
      </c>
      <c r="W992" s="365"/>
      <c r="X992" s="377">
        <f t="shared" si="388"/>
        <v>0</v>
      </c>
      <c r="Y992" s="377">
        <f t="shared" si="389"/>
        <v>0</v>
      </c>
      <c r="Z992" s="377">
        <f t="shared" si="390"/>
        <v>0</v>
      </c>
      <c r="AA992" s="377">
        <f t="shared" si="391"/>
        <v>0</v>
      </c>
      <c r="AB992" s="377">
        <f t="shared" si="392"/>
        <v>0</v>
      </c>
      <c r="AC992" s="377">
        <f t="shared" si="393"/>
        <v>0</v>
      </c>
      <c r="AD992" s="376"/>
      <c r="AE992" s="332">
        <v>977</v>
      </c>
      <c r="AF992" s="350">
        <v>589710.8840687034</v>
      </c>
      <c r="AG992" s="350">
        <v>587585.75372213975</v>
      </c>
      <c r="AH992" s="350">
        <v>585287.52944007143</v>
      </c>
      <c r="AI992" s="350">
        <v>582530.31744259165</v>
      </c>
      <c r="AJ992" s="350">
        <v>579060.84697533213</v>
      </c>
      <c r="AK992" s="348">
        <v>2924175.3316488382</v>
      </c>
      <c r="AL992" s="369"/>
      <c r="AM992" s="350">
        <v>16937619.558927029</v>
      </c>
      <c r="AN992" s="350">
        <v>16788183.564321563</v>
      </c>
      <c r="AO992" s="350">
        <v>16624391.508286161</v>
      </c>
      <c r="AP992" s="350">
        <v>16414281.381139902</v>
      </c>
      <c r="AQ992" s="350">
        <v>16130502.836938199</v>
      </c>
      <c r="AR992" s="348">
        <v>82894978.849612862</v>
      </c>
      <c r="AS992" s="369"/>
      <c r="AT992" s="350">
        <f t="shared" si="411"/>
        <v>16347908.674858326</v>
      </c>
      <c r="AU992" s="350">
        <f t="shared" si="394"/>
        <v>16200597.810599422</v>
      </c>
      <c r="AV992" s="350">
        <f t="shared" si="395"/>
        <v>16039103.97884609</v>
      </c>
      <c r="AW992" s="350">
        <f t="shared" si="396"/>
        <v>15831751.06369731</v>
      </c>
      <c r="AX992" s="350">
        <f t="shared" si="397"/>
        <v>15551441.989962867</v>
      </c>
      <c r="AY992" s="350">
        <f t="shared" si="398"/>
        <v>79970803.51796402</v>
      </c>
      <c r="AZ992" s="365"/>
      <c r="BA992" s="377">
        <f t="shared" si="399"/>
        <v>0</v>
      </c>
      <c r="BB992" s="377">
        <f t="shared" si="400"/>
        <v>0</v>
      </c>
      <c r="BC992" s="377">
        <f t="shared" si="401"/>
        <v>0</v>
      </c>
      <c r="BD992" s="377">
        <f t="shared" si="402"/>
        <v>0</v>
      </c>
      <c r="BE992" s="377">
        <f t="shared" si="403"/>
        <v>0</v>
      </c>
      <c r="BF992" s="377">
        <f t="shared" si="404"/>
        <v>0</v>
      </c>
      <c r="BG992" s="328"/>
    </row>
    <row r="993" spans="2:59">
      <c r="B993" s="332">
        <v>978</v>
      </c>
      <c r="C993" s="350">
        <v>5787828.2854547966</v>
      </c>
      <c r="D993" s="350">
        <v>5766970.7943309145</v>
      </c>
      <c r="E993" s="350">
        <v>5744414.4402505914</v>
      </c>
      <c r="F993" s="350">
        <v>5717353.2649880545</v>
      </c>
      <c r="G993" s="350">
        <v>5683301.4951319396</v>
      </c>
      <c r="H993" s="348">
        <v>28699868.280156296</v>
      </c>
      <c r="I993" s="369"/>
      <c r="J993" s="350">
        <v>16732328.513176335</v>
      </c>
      <c r="K993" s="350">
        <v>16343198.616466034</v>
      </c>
      <c r="L993" s="350">
        <v>15944818.20561403</v>
      </c>
      <c r="M993" s="350">
        <v>15513412.432732128</v>
      </c>
      <c r="N993" s="350">
        <v>15029115.095516922</v>
      </c>
      <c r="O993" s="348">
        <v>79562872.863505453</v>
      </c>
      <c r="P993" s="369"/>
      <c r="Q993" s="350">
        <f t="shared" si="405"/>
        <v>10944500.227721538</v>
      </c>
      <c r="R993" s="350">
        <f t="shared" si="406"/>
        <v>10576227.822135121</v>
      </c>
      <c r="S993" s="350">
        <f t="shared" si="407"/>
        <v>10200403.76536344</v>
      </c>
      <c r="T993" s="350">
        <f t="shared" si="408"/>
        <v>9796059.167744074</v>
      </c>
      <c r="U993" s="350">
        <f t="shared" si="409"/>
        <v>9345813.6003849823</v>
      </c>
      <c r="V993" s="350">
        <f t="shared" si="410"/>
        <v>50863004.583349153</v>
      </c>
      <c r="W993" s="365"/>
      <c r="X993" s="377">
        <f t="shared" si="388"/>
        <v>0</v>
      </c>
      <c r="Y993" s="377">
        <f t="shared" si="389"/>
        <v>0</v>
      </c>
      <c r="Z993" s="377">
        <f t="shared" si="390"/>
        <v>0</v>
      </c>
      <c r="AA993" s="377">
        <f t="shared" si="391"/>
        <v>0</v>
      </c>
      <c r="AB993" s="377">
        <f t="shared" si="392"/>
        <v>0</v>
      </c>
      <c r="AC993" s="377">
        <f t="shared" si="393"/>
        <v>0</v>
      </c>
      <c r="AD993" s="376"/>
      <c r="AE993" s="332">
        <v>978</v>
      </c>
      <c r="AF993" s="350">
        <v>523764.14453699556</v>
      </c>
      <c r="AG993" s="350">
        <v>521876.66525169241</v>
      </c>
      <c r="AH993" s="350">
        <v>519835.44894117326</v>
      </c>
      <c r="AI993" s="350">
        <v>517386.57302217471</v>
      </c>
      <c r="AJ993" s="350">
        <v>514305.08973880229</v>
      </c>
      <c r="AK993" s="348">
        <v>2597167.9214908378</v>
      </c>
      <c r="AL993" s="369"/>
      <c r="AM993" s="350">
        <v>14660421.382335017</v>
      </c>
      <c r="AN993" s="350">
        <v>14530457.668633213</v>
      </c>
      <c r="AO993" s="350">
        <v>14388080.64733351</v>
      </c>
      <c r="AP993" s="350">
        <v>14205645.464349344</v>
      </c>
      <c r="AQ993" s="350">
        <v>13959497.250631455</v>
      </c>
      <c r="AR993" s="348">
        <v>71744102.413282543</v>
      </c>
      <c r="AS993" s="369"/>
      <c r="AT993" s="350">
        <f t="shared" si="411"/>
        <v>14136657.23779802</v>
      </c>
      <c r="AU993" s="350">
        <f t="shared" si="394"/>
        <v>14008581.003381521</v>
      </c>
      <c r="AV993" s="350">
        <f t="shared" si="395"/>
        <v>13868245.198392337</v>
      </c>
      <c r="AW993" s="350">
        <f t="shared" si="396"/>
        <v>13688258.891327169</v>
      </c>
      <c r="AX993" s="350">
        <f t="shared" si="397"/>
        <v>13445192.160892652</v>
      </c>
      <c r="AY993" s="350">
        <f t="shared" si="398"/>
        <v>69146934.49179171</v>
      </c>
      <c r="AZ993" s="365"/>
      <c r="BA993" s="377">
        <f t="shared" si="399"/>
        <v>0</v>
      </c>
      <c r="BB993" s="377">
        <f t="shared" si="400"/>
        <v>0</v>
      </c>
      <c r="BC993" s="377">
        <f t="shared" si="401"/>
        <v>0</v>
      </c>
      <c r="BD993" s="377">
        <f t="shared" si="402"/>
        <v>0</v>
      </c>
      <c r="BE993" s="377">
        <f t="shared" si="403"/>
        <v>0</v>
      </c>
      <c r="BF993" s="377">
        <f t="shared" si="404"/>
        <v>0</v>
      </c>
      <c r="BG993" s="328"/>
    </row>
    <row r="994" spans="2:59">
      <c r="B994" s="332">
        <v>979</v>
      </c>
      <c r="C994" s="350">
        <v>4806718.3555655405</v>
      </c>
      <c r="D994" s="350">
        <v>4789396.4723838717</v>
      </c>
      <c r="E994" s="350">
        <v>4770663.704954505</v>
      </c>
      <c r="F994" s="350">
        <v>4748189.7403787933</v>
      </c>
      <c r="G994" s="350">
        <v>4719910.1752060996</v>
      </c>
      <c r="H994" s="348">
        <v>23834878.448488809</v>
      </c>
      <c r="I994" s="369"/>
      <c r="J994" s="350">
        <v>15891980.291688636</v>
      </c>
      <c r="K994" s="350">
        <v>15554426.97861765</v>
      </c>
      <c r="L994" s="350">
        <v>15207433.618759636</v>
      </c>
      <c r="M994" s="350">
        <v>14827384.845786836</v>
      </c>
      <c r="N994" s="350">
        <v>14394463.469474925</v>
      </c>
      <c r="O994" s="348">
        <v>75875689.204327688</v>
      </c>
      <c r="P994" s="369"/>
      <c r="Q994" s="350">
        <f t="shared" si="405"/>
        <v>11085261.936123095</v>
      </c>
      <c r="R994" s="350">
        <f t="shared" si="406"/>
        <v>10765030.506233778</v>
      </c>
      <c r="S994" s="350">
        <f t="shared" si="407"/>
        <v>10436769.913805131</v>
      </c>
      <c r="T994" s="350">
        <f t="shared" si="408"/>
        <v>10079195.105408043</v>
      </c>
      <c r="U994" s="350">
        <f t="shared" si="409"/>
        <v>9674553.2942688242</v>
      </c>
      <c r="V994" s="350">
        <f t="shared" si="410"/>
        <v>52040810.755838878</v>
      </c>
      <c r="W994" s="365"/>
      <c r="X994" s="377">
        <f t="shared" si="388"/>
        <v>0</v>
      </c>
      <c r="Y994" s="377">
        <f t="shared" si="389"/>
        <v>0</v>
      </c>
      <c r="Z994" s="377">
        <f t="shared" si="390"/>
        <v>0</v>
      </c>
      <c r="AA994" s="377">
        <f t="shared" si="391"/>
        <v>0</v>
      </c>
      <c r="AB994" s="377">
        <f t="shared" si="392"/>
        <v>0</v>
      </c>
      <c r="AC994" s="377">
        <f t="shared" si="393"/>
        <v>0</v>
      </c>
      <c r="AD994" s="376"/>
      <c r="AE994" s="332">
        <v>979</v>
      </c>
      <c r="AF994" s="350">
        <v>506212.27857364219</v>
      </c>
      <c r="AG994" s="350">
        <v>504388.05062726664</v>
      </c>
      <c r="AH994" s="350">
        <v>502415.23753880471</v>
      </c>
      <c r="AI994" s="350">
        <v>500048.42592745204</v>
      </c>
      <c r="AJ994" s="350">
        <v>497070.20626401663</v>
      </c>
      <c r="AK994" s="348">
        <v>2510134.1989311823</v>
      </c>
      <c r="AL994" s="369"/>
      <c r="AM994" s="350">
        <v>14331190.406768564</v>
      </c>
      <c r="AN994" s="350">
        <v>14204413.922337757</v>
      </c>
      <c r="AO994" s="350">
        <v>14065497.412381139</v>
      </c>
      <c r="AP994" s="350">
        <v>13887408.171469918</v>
      </c>
      <c r="AQ994" s="350">
        <v>13647014.595374642</v>
      </c>
      <c r="AR994" s="348">
        <v>70135524.508332014</v>
      </c>
      <c r="AS994" s="369"/>
      <c r="AT994" s="350">
        <f t="shared" si="411"/>
        <v>13824978.128194923</v>
      </c>
      <c r="AU994" s="350">
        <f t="shared" si="394"/>
        <v>13700025.87171049</v>
      </c>
      <c r="AV994" s="350">
        <f t="shared" si="395"/>
        <v>13563082.174842333</v>
      </c>
      <c r="AW994" s="350">
        <f t="shared" si="396"/>
        <v>13387359.745542465</v>
      </c>
      <c r="AX994" s="350">
        <f t="shared" si="397"/>
        <v>13149944.389110625</v>
      </c>
      <c r="AY994" s="350">
        <f t="shared" si="398"/>
        <v>67625390.309400827</v>
      </c>
      <c r="AZ994" s="365"/>
      <c r="BA994" s="377">
        <f t="shared" si="399"/>
        <v>0</v>
      </c>
      <c r="BB994" s="377">
        <f t="shared" si="400"/>
        <v>0</v>
      </c>
      <c r="BC994" s="377">
        <f t="shared" si="401"/>
        <v>0</v>
      </c>
      <c r="BD994" s="377">
        <f t="shared" si="402"/>
        <v>0</v>
      </c>
      <c r="BE994" s="377">
        <f t="shared" si="403"/>
        <v>0</v>
      </c>
      <c r="BF994" s="377">
        <f t="shared" si="404"/>
        <v>0</v>
      </c>
      <c r="BG994" s="328"/>
    </row>
    <row r="995" spans="2:59">
      <c r="B995" s="332">
        <v>980</v>
      </c>
      <c r="C995" s="350">
        <v>3956902.768582914</v>
      </c>
      <c r="D995" s="350">
        <v>3942643.350316965</v>
      </c>
      <c r="E995" s="350">
        <v>3927222.4885519627</v>
      </c>
      <c r="F995" s="350">
        <v>3908721.8637862736</v>
      </c>
      <c r="G995" s="350">
        <v>3885442.0538517907</v>
      </c>
      <c r="H995" s="348">
        <v>19620932.525089905</v>
      </c>
      <c r="I995" s="369"/>
      <c r="J995" s="350">
        <v>15994047.872063519</v>
      </c>
      <c r="K995" s="350">
        <v>15695187.235274039</v>
      </c>
      <c r="L995" s="350">
        <v>15385991.546043284</v>
      </c>
      <c r="M995" s="350">
        <v>15041374.11094288</v>
      </c>
      <c r="N995" s="350">
        <v>14640180.294509027</v>
      </c>
      <c r="O995" s="348">
        <v>76756781.05883275</v>
      </c>
      <c r="P995" s="369"/>
      <c r="Q995" s="350">
        <f t="shared" si="405"/>
        <v>12037145.103480605</v>
      </c>
      <c r="R995" s="350">
        <f t="shared" si="406"/>
        <v>11752543.884957075</v>
      </c>
      <c r="S995" s="350">
        <f t="shared" si="407"/>
        <v>11458769.057491321</v>
      </c>
      <c r="T995" s="350">
        <f t="shared" si="408"/>
        <v>11132652.247156605</v>
      </c>
      <c r="U995" s="350">
        <f t="shared" si="409"/>
        <v>10754738.240657236</v>
      </c>
      <c r="V995" s="350">
        <f t="shared" si="410"/>
        <v>57135848.533742845</v>
      </c>
      <c r="W995" s="365"/>
      <c r="X995" s="377">
        <f t="shared" si="388"/>
        <v>0</v>
      </c>
      <c r="Y995" s="377">
        <f t="shared" si="389"/>
        <v>0</v>
      </c>
      <c r="Z995" s="377">
        <f t="shared" si="390"/>
        <v>0</v>
      </c>
      <c r="AA995" s="377">
        <f t="shared" si="391"/>
        <v>0</v>
      </c>
      <c r="AB995" s="377">
        <f t="shared" si="392"/>
        <v>0</v>
      </c>
      <c r="AC995" s="377">
        <f t="shared" si="393"/>
        <v>0</v>
      </c>
      <c r="AD995" s="376"/>
      <c r="AE995" s="332">
        <v>980</v>
      </c>
      <c r="AF995" s="350">
        <v>479106.52995036001</v>
      </c>
      <c r="AG995" s="350">
        <v>477379.98249542841</v>
      </c>
      <c r="AH995" s="350">
        <v>475512.80606952892</v>
      </c>
      <c r="AI995" s="350">
        <v>473272.72824811266</v>
      </c>
      <c r="AJ995" s="350">
        <v>470453.98095814371</v>
      </c>
      <c r="AK995" s="348">
        <v>2375726.0277215736</v>
      </c>
      <c r="AL995" s="369"/>
      <c r="AM995" s="350">
        <v>17677120.959866114</v>
      </c>
      <c r="AN995" s="350">
        <v>17527486.744679976</v>
      </c>
      <c r="AO995" s="350">
        <v>17362740.496979982</v>
      </c>
      <c r="AP995" s="350">
        <v>17149320.422410093</v>
      </c>
      <c r="AQ995" s="350">
        <v>16858494.688238978</v>
      </c>
      <c r="AR995" s="348">
        <v>86575163.312175155</v>
      </c>
      <c r="AS995" s="369"/>
      <c r="AT995" s="350">
        <f t="shared" si="411"/>
        <v>17198014.429915752</v>
      </c>
      <c r="AU995" s="350">
        <f t="shared" si="394"/>
        <v>17050106.762184549</v>
      </c>
      <c r="AV995" s="350">
        <f t="shared" si="395"/>
        <v>16887227.690910451</v>
      </c>
      <c r="AW995" s="350">
        <f t="shared" si="396"/>
        <v>16676047.694161981</v>
      </c>
      <c r="AX995" s="350">
        <f t="shared" si="397"/>
        <v>16388040.707280835</v>
      </c>
      <c r="AY995" s="350">
        <f t="shared" si="398"/>
        <v>84199437.284453586</v>
      </c>
      <c r="AZ995" s="365"/>
      <c r="BA995" s="377">
        <f t="shared" si="399"/>
        <v>0</v>
      </c>
      <c r="BB995" s="377">
        <f t="shared" si="400"/>
        <v>0</v>
      </c>
      <c r="BC995" s="377">
        <f t="shared" si="401"/>
        <v>0</v>
      </c>
      <c r="BD995" s="377">
        <f t="shared" si="402"/>
        <v>0</v>
      </c>
      <c r="BE995" s="377">
        <f t="shared" si="403"/>
        <v>0</v>
      </c>
      <c r="BF995" s="377">
        <f t="shared" si="404"/>
        <v>0</v>
      </c>
      <c r="BG995" s="328"/>
    </row>
    <row r="996" spans="2:59">
      <c r="B996" s="332">
        <v>981</v>
      </c>
      <c r="C996" s="350">
        <v>6279013.8160663256</v>
      </c>
      <c r="D996" s="350">
        <v>6256386.2486133557</v>
      </c>
      <c r="E996" s="350">
        <v>6231915.6437638011</v>
      </c>
      <c r="F996" s="350">
        <v>6202557.9149280172</v>
      </c>
      <c r="G996" s="350">
        <v>6165616.3328970894</v>
      </c>
      <c r="H996" s="348">
        <v>31135489.956268594</v>
      </c>
      <c r="I996" s="369"/>
      <c r="J996" s="350">
        <v>20967957.538092028</v>
      </c>
      <c r="K996" s="350">
        <v>20525510.723205864</v>
      </c>
      <c r="L996" s="350">
        <v>20070548.982170366</v>
      </c>
      <c r="M996" s="350">
        <v>19571819.690718189</v>
      </c>
      <c r="N996" s="350">
        <v>19003089.388442896</v>
      </c>
      <c r="O996" s="348">
        <v>100138926.32262936</v>
      </c>
      <c r="P996" s="369"/>
      <c r="Q996" s="350">
        <f t="shared" si="405"/>
        <v>14688943.722025704</v>
      </c>
      <c r="R996" s="350">
        <f t="shared" si="406"/>
        <v>14269124.474592509</v>
      </c>
      <c r="S996" s="350">
        <f t="shared" si="407"/>
        <v>13838633.338406565</v>
      </c>
      <c r="T996" s="350">
        <f t="shared" si="408"/>
        <v>13369261.775790172</v>
      </c>
      <c r="U996" s="350">
        <f t="shared" si="409"/>
        <v>12837473.055545807</v>
      </c>
      <c r="V996" s="350">
        <f t="shared" si="410"/>
        <v>69003436.366360769</v>
      </c>
      <c r="W996" s="365"/>
      <c r="X996" s="377">
        <f t="shared" si="388"/>
        <v>0</v>
      </c>
      <c r="Y996" s="377">
        <f t="shared" si="389"/>
        <v>0</v>
      </c>
      <c r="Z996" s="377">
        <f t="shared" si="390"/>
        <v>0</v>
      </c>
      <c r="AA996" s="377">
        <f t="shared" si="391"/>
        <v>0</v>
      </c>
      <c r="AB996" s="377">
        <f t="shared" si="392"/>
        <v>0</v>
      </c>
      <c r="AC996" s="377">
        <f t="shared" si="393"/>
        <v>0</v>
      </c>
      <c r="AD996" s="376"/>
      <c r="AE996" s="332">
        <v>981</v>
      </c>
      <c r="AF996" s="350">
        <v>335009.77035735437</v>
      </c>
      <c r="AG996" s="350">
        <v>333802.50176419271</v>
      </c>
      <c r="AH996" s="350">
        <v>332496.89996886323</v>
      </c>
      <c r="AI996" s="350">
        <v>330930.55113071861</v>
      </c>
      <c r="AJ996" s="350">
        <v>328959.57427426509</v>
      </c>
      <c r="AK996" s="348">
        <v>1661199.297495394</v>
      </c>
      <c r="AL996" s="369"/>
      <c r="AM996" s="350">
        <v>10402684.84842113</v>
      </c>
      <c r="AN996" s="350">
        <v>10312165.697563658</v>
      </c>
      <c r="AO996" s="350">
        <v>10212803.646126494</v>
      </c>
      <c r="AP996" s="350">
        <v>10084927.662031455</v>
      </c>
      <c r="AQ996" s="350">
        <v>9911702.4664911591</v>
      </c>
      <c r="AR996" s="348">
        <v>50924284.320633903</v>
      </c>
      <c r="AS996" s="369"/>
      <c r="AT996" s="350">
        <f t="shared" si="411"/>
        <v>10067675.078063777</v>
      </c>
      <c r="AU996" s="350">
        <f t="shared" si="394"/>
        <v>9978363.1957994644</v>
      </c>
      <c r="AV996" s="350">
        <f t="shared" si="395"/>
        <v>9880306.7461576313</v>
      </c>
      <c r="AW996" s="350">
        <f t="shared" si="396"/>
        <v>9753997.1109007355</v>
      </c>
      <c r="AX996" s="350">
        <f t="shared" si="397"/>
        <v>9582742.8922168948</v>
      </c>
      <c r="AY996" s="350">
        <f t="shared" si="398"/>
        <v>49263085.023138508</v>
      </c>
      <c r="AZ996" s="365"/>
      <c r="BA996" s="377">
        <f t="shared" si="399"/>
        <v>0</v>
      </c>
      <c r="BB996" s="377">
        <f t="shared" si="400"/>
        <v>0</v>
      </c>
      <c r="BC996" s="377">
        <f t="shared" si="401"/>
        <v>0</v>
      </c>
      <c r="BD996" s="377">
        <f t="shared" si="402"/>
        <v>0</v>
      </c>
      <c r="BE996" s="377">
        <f t="shared" si="403"/>
        <v>0</v>
      </c>
      <c r="BF996" s="377">
        <f t="shared" si="404"/>
        <v>0</v>
      </c>
      <c r="BG996" s="328"/>
    </row>
    <row r="997" spans="2:59">
      <c r="B997" s="332">
        <v>982</v>
      </c>
      <c r="C997" s="350">
        <v>6067554.4142221501</v>
      </c>
      <c r="D997" s="350">
        <v>6045688.8791549914</v>
      </c>
      <c r="E997" s="350">
        <v>6022042.3749708971</v>
      </c>
      <c r="F997" s="350">
        <v>5993673.3312950693</v>
      </c>
      <c r="G997" s="350">
        <v>5957975.8371206541</v>
      </c>
      <c r="H997" s="348">
        <v>30086934.836763762</v>
      </c>
      <c r="I997" s="369"/>
      <c r="J997" s="350">
        <v>21169641.965927668</v>
      </c>
      <c r="K997" s="350">
        <v>20735552.475767028</v>
      </c>
      <c r="L997" s="350">
        <v>20288570.122370638</v>
      </c>
      <c r="M997" s="350">
        <v>19796734.313483678</v>
      </c>
      <c r="N997" s="350">
        <v>19233185.695808515</v>
      </c>
      <c r="O997" s="348">
        <v>101223684.57335752</v>
      </c>
      <c r="P997" s="369"/>
      <c r="Q997" s="350">
        <f t="shared" si="405"/>
        <v>15102087.551705517</v>
      </c>
      <c r="R997" s="350">
        <f t="shared" si="406"/>
        <v>14689863.596612036</v>
      </c>
      <c r="S997" s="350">
        <f t="shared" si="407"/>
        <v>14266527.74739974</v>
      </c>
      <c r="T997" s="350">
        <f t="shared" si="408"/>
        <v>13803060.982188608</v>
      </c>
      <c r="U997" s="350">
        <f t="shared" si="409"/>
        <v>13275209.858687861</v>
      </c>
      <c r="V997" s="350">
        <f t="shared" si="410"/>
        <v>71136749.736593753</v>
      </c>
      <c r="W997" s="365"/>
      <c r="X997" s="377">
        <f t="shared" si="388"/>
        <v>0</v>
      </c>
      <c r="Y997" s="377">
        <f t="shared" si="389"/>
        <v>0</v>
      </c>
      <c r="Z997" s="377">
        <f t="shared" si="390"/>
        <v>0</v>
      </c>
      <c r="AA997" s="377">
        <f t="shared" si="391"/>
        <v>0</v>
      </c>
      <c r="AB997" s="377">
        <f t="shared" si="392"/>
        <v>0</v>
      </c>
      <c r="AC997" s="377">
        <f t="shared" si="393"/>
        <v>0</v>
      </c>
      <c r="AD997" s="376"/>
      <c r="AE997" s="332">
        <v>982</v>
      </c>
      <c r="AF997" s="350">
        <v>377262.91317880823</v>
      </c>
      <c r="AG997" s="350">
        <v>375903.37770627678</v>
      </c>
      <c r="AH997" s="350">
        <v>374433.10674602364</v>
      </c>
      <c r="AI997" s="350">
        <v>372669.2019945223</v>
      </c>
      <c r="AJ997" s="350">
        <v>370449.6354729833</v>
      </c>
      <c r="AK997" s="348">
        <v>1870718.2350986144</v>
      </c>
      <c r="AL997" s="369"/>
      <c r="AM997" s="350">
        <v>11676035.116355216</v>
      </c>
      <c r="AN997" s="350">
        <v>11574378.07701006</v>
      </c>
      <c r="AO997" s="350">
        <v>11462796.894097287</v>
      </c>
      <c r="AP997" s="350">
        <v>11319214.551646028</v>
      </c>
      <c r="AQ997" s="350">
        <v>11124736.745083632</v>
      </c>
      <c r="AR997" s="348">
        <v>57157161.384192213</v>
      </c>
      <c r="AS997" s="369"/>
      <c r="AT997" s="350">
        <f t="shared" si="411"/>
        <v>11298772.203176407</v>
      </c>
      <c r="AU997" s="350">
        <f t="shared" si="394"/>
        <v>11198474.699303783</v>
      </c>
      <c r="AV997" s="350">
        <f t="shared" si="395"/>
        <v>11088363.787351264</v>
      </c>
      <c r="AW997" s="350">
        <f t="shared" si="396"/>
        <v>10946545.349651506</v>
      </c>
      <c r="AX997" s="350">
        <f t="shared" si="397"/>
        <v>10754287.109610649</v>
      </c>
      <c r="AY997" s="350">
        <f t="shared" si="398"/>
        <v>55286443.149093598</v>
      </c>
      <c r="AZ997" s="365"/>
      <c r="BA997" s="377">
        <f t="shared" si="399"/>
        <v>0</v>
      </c>
      <c r="BB997" s="377">
        <f t="shared" si="400"/>
        <v>0</v>
      </c>
      <c r="BC997" s="377">
        <f t="shared" si="401"/>
        <v>0</v>
      </c>
      <c r="BD997" s="377">
        <f t="shared" si="402"/>
        <v>0</v>
      </c>
      <c r="BE997" s="377">
        <f t="shared" si="403"/>
        <v>0</v>
      </c>
      <c r="BF997" s="377">
        <f t="shared" si="404"/>
        <v>0</v>
      </c>
      <c r="BG997" s="328"/>
    </row>
    <row r="998" spans="2:59">
      <c r="B998" s="332">
        <v>983</v>
      </c>
      <c r="C998" s="350">
        <v>6677143.6697367113</v>
      </c>
      <c r="D998" s="350">
        <v>6653081.3689987306</v>
      </c>
      <c r="E998" s="350">
        <v>6627059.1704414096</v>
      </c>
      <c r="F998" s="350">
        <v>6595839.9728100663</v>
      </c>
      <c r="G998" s="350">
        <v>6556556.0569223966</v>
      </c>
      <c r="H998" s="348">
        <v>33109680.238909319</v>
      </c>
      <c r="I998" s="369"/>
      <c r="J998" s="350">
        <v>21141331.716904789</v>
      </c>
      <c r="K998" s="350">
        <v>20679163.571894336</v>
      </c>
      <c r="L998" s="350">
        <v>20204705.026780471</v>
      </c>
      <c r="M998" s="350">
        <v>19686963.820861489</v>
      </c>
      <c r="N998" s="350">
        <v>19099965.31708353</v>
      </c>
      <c r="O998" s="348">
        <v>100812129.45352462</v>
      </c>
      <c r="P998" s="369"/>
      <c r="Q998" s="350">
        <f t="shared" si="405"/>
        <v>14464188.047168078</v>
      </c>
      <c r="R998" s="350">
        <f t="shared" si="406"/>
        <v>14026082.202895606</v>
      </c>
      <c r="S998" s="350">
        <f t="shared" si="407"/>
        <v>13577645.856339062</v>
      </c>
      <c r="T998" s="350">
        <f t="shared" si="408"/>
        <v>13091123.848051421</v>
      </c>
      <c r="U998" s="350">
        <f t="shared" si="409"/>
        <v>12543409.260161133</v>
      </c>
      <c r="V998" s="350">
        <f t="shared" si="410"/>
        <v>67702449.2146153</v>
      </c>
      <c r="W998" s="365"/>
      <c r="X998" s="377">
        <f t="shared" si="388"/>
        <v>0</v>
      </c>
      <c r="Y998" s="377">
        <f t="shared" si="389"/>
        <v>0</v>
      </c>
      <c r="Z998" s="377">
        <f t="shared" si="390"/>
        <v>0</v>
      </c>
      <c r="AA998" s="377">
        <f t="shared" si="391"/>
        <v>0</v>
      </c>
      <c r="AB998" s="377">
        <f t="shared" si="392"/>
        <v>0</v>
      </c>
      <c r="AC998" s="377">
        <f t="shared" si="393"/>
        <v>0</v>
      </c>
      <c r="AD998" s="376"/>
      <c r="AE998" s="332">
        <v>983</v>
      </c>
      <c r="AF998" s="350">
        <v>479216.21713300946</v>
      </c>
      <c r="AG998" s="350">
        <v>477489.27440038032</v>
      </c>
      <c r="AH998" s="350">
        <v>475621.67050102999</v>
      </c>
      <c r="AI998" s="350">
        <v>473381.07983370201</v>
      </c>
      <c r="AJ998" s="350">
        <v>470561.68721658859</v>
      </c>
      <c r="AK998" s="348">
        <v>2376269.9290847103</v>
      </c>
      <c r="AL998" s="369"/>
      <c r="AM998" s="350">
        <v>10415461.431546688</v>
      </c>
      <c r="AN998" s="350">
        <v>10318159.547011206</v>
      </c>
      <c r="AO998" s="350">
        <v>10212140.134561267</v>
      </c>
      <c r="AP998" s="350">
        <v>10077923.470076758</v>
      </c>
      <c r="AQ998" s="350">
        <v>9898851.1888900436</v>
      </c>
      <c r="AR998" s="348">
        <v>50922535.772085965</v>
      </c>
      <c r="AS998" s="369"/>
      <c r="AT998" s="350">
        <f t="shared" si="411"/>
        <v>9936245.2144136783</v>
      </c>
      <c r="AU998" s="350">
        <f t="shared" si="394"/>
        <v>9840670.2726108264</v>
      </c>
      <c r="AV998" s="350">
        <f t="shared" si="395"/>
        <v>9736518.4640602376</v>
      </c>
      <c r="AW998" s="350">
        <f t="shared" si="396"/>
        <v>9604542.3902430572</v>
      </c>
      <c r="AX998" s="350">
        <f t="shared" si="397"/>
        <v>9428289.5016734544</v>
      </c>
      <c r="AY998" s="350">
        <f t="shared" si="398"/>
        <v>48546265.843001254</v>
      </c>
      <c r="AZ998" s="365"/>
      <c r="BA998" s="377">
        <f t="shared" si="399"/>
        <v>0</v>
      </c>
      <c r="BB998" s="377">
        <f t="shared" si="400"/>
        <v>0</v>
      </c>
      <c r="BC998" s="377">
        <f t="shared" si="401"/>
        <v>0</v>
      </c>
      <c r="BD998" s="377">
        <f t="shared" si="402"/>
        <v>0</v>
      </c>
      <c r="BE998" s="377">
        <f t="shared" si="403"/>
        <v>0</v>
      </c>
      <c r="BF998" s="377">
        <f t="shared" si="404"/>
        <v>0</v>
      </c>
      <c r="BG998" s="328"/>
    </row>
    <row r="999" spans="2:59">
      <c r="B999" s="332">
        <v>984</v>
      </c>
      <c r="C999" s="350">
        <v>5796576.4066104749</v>
      </c>
      <c r="D999" s="350">
        <v>5775687.3900420982</v>
      </c>
      <c r="E999" s="350">
        <v>5753096.9427391356</v>
      </c>
      <c r="F999" s="350">
        <v>5725994.8653578544</v>
      </c>
      <c r="G999" s="350">
        <v>5691891.627318237</v>
      </c>
      <c r="H999" s="348">
        <v>28743247.232067801</v>
      </c>
      <c r="I999" s="369"/>
      <c r="J999" s="350">
        <v>19894984.75777562</v>
      </c>
      <c r="K999" s="350">
        <v>19482654.567315958</v>
      </c>
      <c r="L999" s="350">
        <v>19058297.210105494</v>
      </c>
      <c r="M999" s="350">
        <v>18592017.882098772</v>
      </c>
      <c r="N999" s="350">
        <v>18058704.133862726</v>
      </c>
      <c r="O999" s="348">
        <v>95086658.551158577</v>
      </c>
      <c r="P999" s="369"/>
      <c r="Q999" s="350">
        <f t="shared" si="405"/>
        <v>14098408.351165146</v>
      </c>
      <c r="R999" s="350">
        <f t="shared" si="406"/>
        <v>13706967.17727386</v>
      </c>
      <c r="S999" s="350">
        <f t="shared" si="407"/>
        <v>13305200.267366357</v>
      </c>
      <c r="T999" s="350">
        <f t="shared" si="408"/>
        <v>12866023.016740918</v>
      </c>
      <c r="U999" s="350">
        <f t="shared" si="409"/>
        <v>12366812.506544489</v>
      </c>
      <c r="V999" s="350">
        <f t="shared" si="410"/>
        <v>66343411.319090776</v>
      </c>
      <c r="W999" s="365"/>
      <c r="X999" s="377">
        <f t="shared" si="388"/>
        <v>0</v>
      </c>
      <c r="Y999" s="377">
        <f t="shared" si="389"/>
        <v>0</v>
      </c>
      <c r="Z999" s="377">
        <f t="shared" si="390"/>
        <v>0</v>
      </c>
      <c r="AA999" s="377">
        <f t="shared" si="391"/>
        <v>0</v>
      </c>
      <c r="AB999" s="377">
        <f t="shared" si="392"/>
        <v>0</v>
      </c>
      <c r="AC999" s="377">
        <f t="shared" si="393"/>
        <v>0</v>
      </c>
      <c r="AD999" s="376"/>
      <c r="AE999" s="332">
        <v>984</v>
      </c>
      <c r="AF999" s="350">
        <v>364669.12993236107</v>
      </c>
      <c r="AG999" s="350">
        <v>363354.97844659013</v>
      </c>
      <c r="AH999" s="350">
        <v>361933.78804299957</v>
      </c>
      <c r="AI999" s="350">
        <v>360228.76592568192</v>
      </c>
      <c r="AJ999" s="350">
        <v>358083.29293069133</v>
      </c>
      <c r="AK999" s="348">
        <v>1808269.955278324</v>
      </c>
      <c r="AL999" s="369"/>
      <c r="AM999" s="350">
        <v>11183647.757484995</v>
      </c>
      <c r="AN999" s="350">
        <v>11086123.837986685</v>
      </c>
      <c r="AO999" s="350">
        <v>10979097.424996803</v>
      </c>
      <c r="AP999" s="350">
        <v>10841427.47559284</v>
      </c>
      <c r="AQ999" s="350">
        <v>10655021.028660525</v>
      </c>
      <c r="AR999" s="348">
        <v>54745317.524721846</v>
      </c>
      <c r="AS999" s="369"/>
      <c r="AT999" s="350">
        <f t="shared" si="411"/>
        <v>10818978.627552634</v>
      </c>
      <c r="AU999" s="350">
        <f t="shared" si="394"/>
        <v>10722768.859540096</v>
      </c>
      <c r="AV999" s="350">
        <f t="shared" si="395"/>
        <v>10617163.636953803</v>
      </c>
      <c r="AW999" s="350">
        <f t="shared" si="396"/>
        <v>10481198.709667159</v>
      </c>
      <c r="AX999" s="350">
        <f t="shared" si="397"/>
        <v>10296937.735729834</v>
      </c>
      <c r="AY999" s="350">
        <f t="shared" si="398"/>
        <v>52937047.569443524</v>
      </c>
      <c r="AZ999" s="365"/>
      <c r="BA999" s="377">
        <f t="shared" si="399"/>
        <v>0</v>
      </c>
      <c r="BB999" s="377">
        <f t="shared" si="400"/>
        <v>0</v>
      </c>
      <c r="BC999" s="377">
        <f t="shared" si="401"/>
        <v>0</v>
      </c>
      <c r="BD999" s="377">
        <f t="shared" si="402"/>
        <v>0</v>
      </c>
      <c r="BE999" s="377">
        <f t="shared" si="403"/>
        <v>0</v>
      </c>
      <c r="BF999" s="377">
        <f t="shared" si="404"/>
        <v>0</v>
      </c>
      <c r="BG999" s="328"/>
    </row>
    <row r="1000" spans="2:59">
      <c r="B1000" s="332">
        <v>985</v>
      </c>
      <c r="C1000" s="350">
        <v>3986463.956681428</v>
      </c>
      <c r="D1000" s="350">
        <v>3972098.0093016294</v>
      </c>
      <c r="E1000" s="350">
        <v>3956561.9415227473</v>
      </c>
      <c r="F1000" s="350">
        <v>3937923.1024817456</v>
      </c>
      <c r="G1000" s="350">
        <v>3914469.37398504</v>
      </c>
      <c r="H1000" s="348">
        <v>19767516.383972589</v>
      </c>
      <c r="I1000" s="369"/>
      <c r="J1000" s="350">
        <v>13920192.699715979</v>
      </c>
      <c r="K1000" s="350">
        <v>13634907.560679842</v>
      </c>
      <c r="L1000" s="350">
        <v>13341141.550891189</v>
      </c>
      <c r="M1000" s="350">
        <v>13017873.919827484</v>
      </c>
      <c r="N1000" s="350">
        <v>12647438.667660305</v>
      </c>
      <c r="O1000" s="348">
        <v>66561554.398774795</v>
      </c>
      <c r="P1000" s="369"/>
      <c r="Q1000" s="350">
        <f t="shared" si="405"/>
        <v>9933728.7430345509</v>
      </c>
      <c r="R1000" s="350">
        <f t="shared" si="406"/>
        <v>9662809.5513782129</v>
      </c>
      <c r="S1000" s="350">
        <f t="shared" si="407"/>
        <v>9384579.6093684416</v>
      </c>
      <c r="T1000" s="350">
        <f t="shared" si="408"/>
        <v>9079950.8173457384</v>
      </c>
      <c r="U1000" s="350">
        <f t="shared" si="409"/>
        <v>8732969.2936752662</v>
      </c>
      <c r="V1000" s="350">
        <f t="shared" si="410"/>
        <v>46794038.014802203</v>
      </c>
      <c r="W1000" s="365"/>
      <c r="X1000" s="377">
        <f t="shared" si="388"/>
        <v>0</v>
      </c>
      <c r="Y1000" s="377">
        <f t="shared" si="389"/>
        <v>0</v>
      </c>
      <c r="Z1000" s="377">
        <f t="shared" si="390"/>
        <v>0</v>
      </c>
      <c r="AA1000" s="377">
        <f t="shared" si="391"/>
        <v>0</v>
      </c>
      <c r="AB1000" s="377">
        <f t="shared" si="392"/>
        <v>0</v>
      </c>
      <c r="AC1000" s="377">
        <f t="shared" si="393"/>
        <v>0</v>
      </c>
      <c r="AD1000" s="376"/>
      <c r="AE1000" s="332">
        <v>985</v>
      </c>
      <c r="AF1000" s="350">
        <v>556045.93279894348</v>
      </c>
      <c r="AG1000" s="350">
        <v>554042.12022264954</v>
      </c>
      <c r="AH1000" s="350">
        <v>551875.09516133973</v>
      </c>
      <c r="AI1000" s="350">
        <v>549275.28471442172</v>
      </c>
      <c r="AJ1000" s="350">
        <v>546003.87664920988</v>
      </c>
      <c r="AK1000" s="348">
        <v>2757242.3095465642</v>
      </c>
      <c r="AL1000" s="369"/>
      <c r="AM1000" s="350">
        <v>16453045.156550631</v>
      </c>
      <c r="AN1000" s="350">
        <v>16308663.595592329</v>
      </c>
      <c r="AO1000" s="350">
        <v>16150320.78028422</v>
      </c>
      <c r="AP1000" s="350">
        <v>15946943.949158473</v>
      </c>
      <c r="AQ1000" s="350">
        <v>15671942.155556809</v>
      </c>
      <c r="AR1000" s="348">
        <v>80530915.637142465</v>
      </c>
      <c r="AS1000" s="369"/>
      <c r="AT1000" s="350">
        <f t="shared" si="411"/>
        <v>15896999.223751687</v>
      </c>
      <c r="AU1000" s="350">
        <f t="shared" si="394"/>
        <v>15754621.475369681</v>
      </c>
      <c r="AV1000" s="350">
        <f t="shared" si="395"/>
        <v>15598445.685122881</v>
      </c>
      <c r="AW1000" s="350">
        <f t="shared" si="396"/>
        <v>15397668.664444052</v>
      </c>
      <c r="AX1000" s="350">
        <f t="shared" si="397"/>
        <v>15125938.278907599</v>
      </c>
      <c r="AY1000" s="350">
        <f t="shared" si="398"/>
        <v>77773673.327595904</v>
      </c>
      <c r="AZ1000" s="365"/>
      <c r="BA1000" s="377">
        <f t="shared" si="399"/>
        <v>0</v>
      </c>
      <c r="BB1000" s="377">
        <f t="shared" si="400"/>
        <v>0</v>
      </c>
      <c r="BC1000" s="377">
        <f t="shared" si="401"/>
        <v>0</v>
      </c>
      <c r="BD1000" s="377">
        <f t="shared" si="402"/>
        <v>0</v>
      </c>
      <c r="BE1000" s="377">
        <f t="shared" si="403"/>
        <v>0</v>
      </c>
      <c r="BF1000" s="377">
        <f t="shared" si="404"/>
        <v>0</v>
      </c>
      <c r="BG1000" s="328"/>
    </row>
    <row r="1001" spans="2:59">
      <c r="B1001" s="332">
        <v>986</v>
      </c>
      <c r="C1001" s="350">
        <v>7236923.8956891019</v>
      </c>
      <c r="D1001" s="350">
        <v>7210844.3251707666</v>
      </c>
      <c r="E1001" s="350">
        <v>7182640.5482457075</v>
      </c>
      <c r="F1001" s="350">
        <v>7148804.080361018</v>
      </c>
      <c r="G1001" s="350">
        <v>7106226.7862865692</v>
      </c>
      <c r="H1001" s="348">
        <v>35885439.635753162</v>
      </c>
      <c r="I1001" s="369"/>
      <c r="J1001" s="350">
        <v>22427443.457385089</v>
      </c>
      <c r="K1001" s="350">
        <v>21930034.096060131</v>
      </c>
      <c r="L1001" s="350">
        <v>21419732.167165715</v>
      </c>
      <c r="M1001" s="350">
        <v>20863890.161342964</v>
      </c>
      <c r="N1001" s="350">
        <v>20235164.341439068</v>
      </c>
      <c r="O1001" s="348">
        <v>106876264.22339296</v>
      </c>
      <c r="P1001" s="369"/>
      <c r="Q1001" s="350">
        <f t="shared" si="405"/>
        <v>15190519.561695987</v>
      </c>
      <c r="R1001" s="350">
        <f t="shared" si="406"/>
        <v>14719189.770889364</v>
      </c>
      <c r="S1001" s="350">
        <f t="shared" si="407"/>
        <v>14237091.618920008</v>
      </c>
      <c r="T1001" s="350">
        <f t="shared" si="408"/>
        <v>13715086.080981946</v>
      </c>
      <c r="U1001" s="350">
        <f t="shared" si="409"/>
        <v>13128937.555152498</v>
      </c>
      <c r="V1001" s="350">
        <f t="shared" si="410"/>
        <v>70990824.587639809</v>
      </c>
      <c r="W1001" s="365"/>
      <c r="X1001" s="377">
        <f t="shared" si="388"/>
        <v>0</v>
      </c>
      <c r="Y1001" s="377">
        <f t="shared" si="389"/>
        <v>0</v>
      </c>
      <c r="Z1001" s="377">
        <f t="shared" si="390"/>
        <v>0</v>
      </c>
      <c r="AA1001" s="377">
        <f t="shared" si="391"/>
        <v>0</v>
      </c>
      <c r="AB1001" s="377">
        <f t="shared" si="392"/>
        <v>0</v>
      </c>
      <c r="AC1001" s="377">
        <f t="shared" si="393"/>
        <v>0</v>
      </c>
      <c r="AD1001" s="376"/>
      <c r="AE1001" s="332">
        <v>986</v>
      </c>
      <c r="AF1001" s="350">
        <v>349599.01425957406</v>
      </c>
      <c r="AG1001" s="350">
        <v>348339.17067451793</v>
      </c>
      <c r="AH1001" s="350">
        <v>346976.71160302323</v>
      </c>
      <c r="AI1001" s="350">
        <v>345342.15029092215</v>
      </c>
      <c r="AJ1001" s="350">
        <v>343285.3399316016</v>
      </c>
      <c r="AK1001" s="348">
        <v>1733542.386759639</v>
      </c>
      <c r="AL1001" s="369"/>
      <c r="AM1001" s="350">
        <v>9928580.1055673789</v>
      </c>
      <c r="AN1001" s="350">
        <v>9840801.1127188709</v>
      </c>
      <c r="AO1001" s="350">
        <v>9744610.5238468405</v>
      </c>
      <c r="AP1001" s="350">
        <v>9621278.5581230521</v>
      </c>
      <c r="AQ1001" s="350">
        <v>9454778.236009188</v>
      </c>
      <c r="AR1001" s="348">
        <v>48590048.536265329</v>
      </c>
      <c r="AS1001" s="369"/>
      <c r="AT1001" s="350">
        <f t="shared" si="411"/>
        <v>9578981.091307804</v>
      </c>
      <c r="AU1001" s="350">
        <f t="shared" si="394"/>
        <v>9492461.9420443531</v>
      </c>
      <c r="AV1001" s="350">
        <f t="shared" si="395"/>
        <v>9397633.8122438174</v>
      </c>
      <c r="AW1001" s="350">
        <f t="shared" si="396"/>
        <v>9275936.4078321308</v>
      </c>
      <c r="AX1001" s="350">
        <f t="shared" si="397"/>
        <v>9111492.8960775863</v>
      </c>
      <c r="AY1001" s="350">
        <f t="shared" si="398"/>
        <v>46856506.14950569</v>
      </c>
      <c r="AZ1001" s="365"/>
      <c r="BA1001" s="377">
        <f t="shared" si="399"/>
        <v>0</v>
      </c>
      <c r="BB1001" s="377">
        <f t="shared" si="400"/>
        <v>0</v>
      </c>
      <c r="BC1001" s="377">
        <f t="shared" si="401"/>
        <v>0</v>
      </c>
      <c r="BD1001" s="377">
        <f t="shared" si="402"/>
        <v>0</v>
      </c>
      <c r="BE1001" s="377">
        <f t="shared" si="403"/>
        <v>0</v>
      </c>
      <c r="BF1001" s="377">
        <f t="shared" si="404"/>
        <v>0</v>
      </c>
      <c r="BG1001" s="328"/>
    </row>
    <row r="1002" spans="2:59">
      <c r="B1002" s="332">
        <v>987</v>
      </c>
      <c r="C1002" s="350">
        <v>4389790.511781917</v>
      </c>
      <c r="D1002" s="350">
        <v>4373971.1038590372</v>
      </c>
      <c r="E1002" s="350">
        <v>4356863.1897609225</v>
      </c>
      <c r="F1002" s="350">
        <v>4336338.5845815176</v>
      </c>
      <c r="G1002" s="350">
        <v>4310511.948259322</v>
      </c>
      <c r="H1002" s="348">
        <v>21767475.338242717</v>
      </c>
      <c r="I1002" s="369"/>
      <c r="J1002" s="350">
        <v>14053176.52745421</v>
      </c>
      <c r="K1002" s="350">
        <v>13748220.05842186</v>
      </c>
      <c r="L1002" s="350">
        <v>13435047.734653367</v>
      </c>
      <c r="M1002" s="350">
        <v>13092985.28163003</v>
      </c>
      <c r="N1002" s="350">
        <v>12704699.817209519</v>
      </c>
      <c r="O1002" s="348">
        <v>67034129.41936899</v>
      </c>
      <c r="P1002" s="369"/>
      <c r="Q1002" s="350">
        <f t="shared" si="405"/>
        <v>9663386.0156722926</v>
      </c>
      <c r="R1002" s="350">
        <f t="shared" si="406"/>
        <v>9374248.9545628224</v>
      </c>
      <c r="S1002" s="350">
        <f t="shared" si="407"/>
        <v>9078184.5448924452</v>
      </c>
      <c r="T1002" s="350">
        <f t="shared" si="408"/>
        <v>8756646.6970485114</v>
      </c>
      <c r="U1002" s="350">
        <f t="shared" si="409"/>
        <v>8394187.8689501975</v>
      </c>
      <c r="V1002" s="350">
        <f t="shared" si="410"/>
        <v>45266654.081126273</v>
      </c>
      <c r="W1002" s="365"/>
      <c r="X1002" s="377">
        <f t="shared" si="388"/>
        <v>0</v>
      </c>
      <c r="Y1002" s="377">
        <f t="shared" si="389"/>
        <v>0</v>
      </c>
      <c r="Z1002" s="377">
        <f t="shared" si="390"/>
        <v>0</v>
      </c>
      <c r="AA1002" s="377">
        <f t="shared" si="391"/>
        <v>0</v>
      </c>
      <c r="AB1002" s="377">
        <f t="shared" si="392"/>
        <v>0</v>
      </c>
      <c r="AC1002" s="377">
        <f t="shared" si="393"/>
        <v>0</v>
      </c>
      <c r="AD1002" s="376"/>
      <c r="AE1002" s="332">
        <v>987</v>
      </c>
      <c r="AF1002" s="350">
        <v>520610.20474746206</v>
      </c>
      <c r="AG1002" s="350">
        <v>518734.09125739691</v>
      </c>
      <c r="AH1002" s="350">
        <v>516705.16649720242</v>
      </c>
      <c r="AI1002" s="350">
        <v>514271.03692401841</v>
      </c>
      <c r="AJ1002" s="350">
        <v>511208.10934523091</v>
      </c>
      <c r="AK1002" s="348">
        <v>2581528.6087713107</v>
      </c>
      <c r="AL1002" s="369"/>
      <c r="AM1002" s="350">
        <v>15855920.043438844</v>
      </c>
      <c r="AN1002" s="350">
        <v>15717486.267533688</v>
      </c>
      <c r="AO1002" s="350">
        <v>15565583.47549573</v>
      </c>
      <c r="AP1002" s="350">
        <v>15370243.760491921</v>
      </c>
      <c r="AQ1002" s="350">
        <v>15105820.269980796</v>
      </c>
      <c r="AR1002" s="348">
        <v>77615053.816940993</v>
      </c>
      <c r="AS1002" s="369"/>
      <c r="AT1002" s="350">
        <f t="shared" si="411"/>
        <v>15335309.838691382</v>
      </c>
      <c r="AU1002" s="350">
        <f t="shared" si="394"/>
        <v>15198752.176276291</v>
      </c>
      <c r="AV1002" s="350">
        <f t="shared" si="395"/>
        <v>15048878.308998527</v>
      </c>
      <c r="AW1002" s="350">
        <f t="shared" si="396"/>
        <v>14855972.723567903</v>
      </c>
      <c r="AX1002" s="350">
        <f t="shared" si="397"/>
        <v>14594612.160635564</v>
      </c>
      <c r="AY1002" s="350">
        <f t="shared" si="398"/>
        <v>75033525.208169684</v>
      </c>
      <c r="AZ1002" s="365"/>
      <c r="BA1002" s="377">
        <f t="shared" si="399"/>
        <v>0</v>
      </c>
      <c r="BB1002" s="377">
        <f t="shared" si="400"/>
        <v>0</v>
      </c>
      <c r="BC1002" s="377">
        <f t="shared" si="401"/>
        <v>0</v>
      </c>
      <c r="BD1002" s="377">
        <f t="shared" si="402"/>
        <v>0</v>
      </c>
      <c r="BE1002" s="377">
        <f t="shared" si="403"/>
        <v>0</v>
      </c>
      <c r="BF1002" s="377">
        <f t="shared" si="404"/>
        <v>0</v>
      </c>
      <c r="BG1002" s="328"/>
    </row>
    <row r="1003" spans="2:59">
      <c r="B1003" s="332">
        <v>988</v>
      </c>
      <c r="C1003" s="350">
        <v>6260759.5362816043</v>
      </c>
      <c r="D1003" s="350">
        <v>6238197.7514434271</v>
      </c>
      <c r="E1003" s="350">
        <v>6213798.2872666763</v>
      </c>
      <c r="F1003" s="350">
        <v>6184525.9068967029</v>
      </c>
      <c r="G1003" s="350">
        <v>6147691.7210260369</v>
      </c>
      <c r="H1003" s="348">
        <v>31044973.202914447</v>
      </c>
      <c r="I1003" s="369"/>
      <c r="J1003" s="350">
        <v>16113961.961523911</v>
      </c>
      <c r="K1003" s="350">
        <v>15707346.588491904</v>
      </c>
      <c r="L1003" s="350">
        <v>15292473.278586119</v>
      </c>
      <c r="M1003" s="350">
        <v>14847474.986830285</v>
      </c>
      <c r="N1003" s="350">
        <v>14354163.477288883</v>
      </c>
      <c r="O1003" s="348">
        <v>76315420.292721108</v>
      </c>
      <c r="P1003" s="369"/>
      <c r="Q1003" s="350">
        <f t="shared" si="405"/>
        <v>9853202.4252423067</v>
      </c>
      <c r="R1003" s="350">
        <f t="shared" si="406"/>
        <v>9469148.8370484766</v>
      </c>
      <c r="S1003" s="350">
        <f t="shared" si="407"/>
        <v>9078674.991319444</v>
      </c>
      <c r="T1003" s="350">
        <f t="shared" si="408"/>
        <v>8662949.0799335819</v>
      </c>
      <c r="U1003" s="350">
        <f t="shared" si="409"/>
        <v>8206471.7562628463</v>
      </c>
      <c r="V1003" s="350">
        <f t="shared" si="410"/>
        <v>45270447.089806661</v>
      </c>
      <c r="W1003" s="365"/>
      <c r="X1003" s="377">
        <f t="shared" si="388"/>
        <v>0</v>
      </c>
      <c r="Y1003" s="377">
        <f t="shared" si="389"/>
        <v>0</v>
      </c>
      <c r="Z1003" s="377">
        <f t="shared" si="390"/>
        <v>0</v>
      </c>
      <c r="AA1003" s="377">
        <f t="shared" si="391"/>
        <v>0</v>
      </c>
      <c r="AB1003" s="377">
        <f t="shared" si="392"/>
        <v>0</v>
      </c>
      <c r="AC1003" s="377">
        <f t="shared" si="393"/>
        <v>0</v>
      </c>
      <c r="AD1003" s="376"/>
      <c r="AE1003" s="332">
        <v>988</v>
      </c>
      <c r="AF1003" s="350">
        <v>349964.4841310581</v>
      </c>
      <c r="AG1003" s="350">
        <v>348703.32350889849</v>
      </c>
      <c r="AH1003" s="350">
        <v>347339.44012634613</v>
      </c>
      <c r="AI1003" s="350">
        <v>345703.17004823516</v>
      </c>
      <c r="AJ1003" s="350">
        <v>343644.20950488374</v>
      </c>
      <c r="AK1003" s="348">
        <v>1735354.6273194216</v>
      </c>
      <c r="AL1003" s="369"/>
      <c r="AM1003" s="350">
        <v>9692625.6078712475</v>
      </c>
      <c r="AN1003" s="350">
        <v>9606530.2683973219</v>
      </c>
      <c r="AO1003" s="350">
        <v>9512231.4536408707</v>
      </c>
      <c r="AP1003" s="350">
        <v>9391457.4964798968</v>
      </c>
      <c r="AQ1003" s="350">
        <v>9228574.2201937512</v>
      </c>
      <c r="AR1003" s="348">
        <v>47431419.046583086</v>
      </c>
      <c r="AS1003" s="369"/>
      <c r="AT1003" s="350">
        <f t="shared" si="411"/>
        <v>9342661.1237401888</v>
      </c>
      <c r="AU1003" s="350">
        <f t="shared" si="394"/>
        <v>9257826.9448884241</v>
      </c>
      <c r="AV1003" s="350">
        <f t="shared" si="395"/>
        <v>9164892.0135145243</v>
      </c>
      <c r="AW1003" s="350">
        <f t="shared" si="396"/>
        <v>9045754.3264316618</v>
      </c>
      <c r="AX1003" s="350">
        <f t="shared" si="397"/>
        <v>8884930.0106888674</v>
      </c>
      <c r="AY1003" s="350">
        <f t="shared" si="398"/>
        <v>45696064.419263661</v>
      </c>
      <c r="AZ1003" s="365"/>
      <c r="BA1003" s="377">
        <f t="shared" si="399"/>
        <v>0</v>
      </c>
      <c r="BB1003" s="377">
        <f t="shared" si="400"/>
        <v>0</v>
      </c>
      <c r="BC1003" s="377">
        <f t="shared" si="401"/>
        <v>0</v>
      </c>
      <c r="BD1003" s="377">
        <f t="shared" si="402"/>
        <v>0</v>
      </c>
      <c r="BE1003" s="377">
        <f t="shared" si="403"/>
        <v>0</v>
      </c>
      <c r="BF1003" s="377">
        <f t="shared" si="404"/>
        <v>0</v>
      </c>
      <c r="BG1003" s="328"/>
    </row>
    <row r="1004" spans="2:59">
      <c r="B1004" s="332">
        <v>989</v>
      </c>
      <c r="C1004" s="350">
        <v>4545761.2520934427</v>
      </c>
      <c r="D1004" s="350">
        <v>4529379.7752612606</v>
      </c>
      <c r="E1004" s="350">
        <v>4511664.0111940177</v>
      </c>
      <c r="F1004" s="350">
        <v>4490410.159856773</v>
      </c>
      <c r="G1004" s="350">
        <v>4463665.8944185376</v>
      </c>
      <c r="H1004" s="348">
        <v>22540881.092824031</v>
      </c>
      <c r="I1004" s="369"/>
      <c r="J1004" s="350">
        <v>16523656.959110001</v>
      </c>
      <c r="K1004" s="350">
        <v>16193658.371515412</v>
      </c>
      <c r="L1004" s="350">
        <v>15853416.266850578</v>
      </c>
      <c r="M1004" s="350">
        <v>15477699.29492482</v>
      </c>
      <c r="N1004" s="350">
        <v>15045281.446995901</v>
      </c>
      <c r="O1004" s="348">
        <v>79093712.339396715</v>
      </c>
      <c r="P1004" s="369"/>
      <c r="Q1004" s="350">
        <f t="shared" si="405"/>
        <v>11977895.707016557</v>
      </c>
      <c r="R1004" s="350">
        <f t="shared" si="406"/>
        <v>11664278.596254151</v>
      </c>
      <c r="S1004" s="350">
        <f t="shared" si="407"/>
        <v>11341752.255656559</v>
      </c>
      <c r="T1004" s="350">
        <f t="shared" si="408"/>
        <v>10987289.135068048</v>
      </c>
      <c r="U1004" s="350">
        <f t="shared" si="409"/>
        <v>10581615.552577363</v>
      </c>
      <c r="V1004" s="350">
        <f t="shared" si="410"/>
        <v>56552831.246572688</v>
      </c>
      <c r="W1004" s="365"/>
      <c r="X1004" s="377">
        <f t="shared" si="388"/>
        <v>0</v>
      </c>
      <c r="Y1004" s="377">
        <f t="shared" si="389"/>
        <v>0</v>
      </c>
      <c r="Z1004" s="377">
        <f t="shared" si="390"/>
        <v>0</v>
      </c>
      <c r="AA1004" s="377">
        <f t="shared" si="391"/>
        <v>0</v>
      </c>
      <c r="AB1004" s="377">
        <f t="shared" si="392"/>
        <v>0</v>
      </c>
      <c r="AC1004" s="377">
        <f t="shared" si="393"/>
        <v>0</v>
      </c>
      <c r="AD1004" s="376"/>
      <c r="AE1004" s="332">
        <v>989</v>
      </c>
      <c r="AF1004" s="350">
        <v>366351.84429423377</v>
      </c>
      <c r="AG1004" s="350">
        <v>365031.62884143821</v>
      </c>
      <c r="AH1004" s="350">
        <v>363603.88055480586</v>
      </c>
      <c r="AI1004" s="350">
        <v>361890.99085296126</v>
      </c>
      <c r="AJ1004" s="350">
        <v>359735.61787487543</v>
      </c>
      <c r="AK1004" s="348">
        <v>1816613.9624183148</v>
      </c>
      <c r="AL1004" s="369"/>
      <c r="AM1004" s="350">
        <v>10845896.310185956</v>
      </c>
      <c r="AN1004" s="350">
        <v>10750728.616385182</v>
      </c>
      <c r="AO1004" s="350">
        <v>10646357.43716698</v>
      </c>
      <c r="AP1004" s="350">
        <v>10512299.223111287</v>
      </c>
      <c r="AQ1004" s="350">
        <v>10331024.874731142</v>
      </c>
      <c r="AR1004" s="348">
        <v>53086306.461580545</v>
      </c>
      <c r="AS1004" s="369"/>
      <c r="AT1004" s="350">
        <f t="shared" si="411"/>
        <v>10479544.465891723</v>
      </c>
      <c r="AU1004" s="350">
        <f t="shared" si="394"/>
        <v>10385696.987543745</v>
      </c>
      <c r="AV1004" s="350">
        <f t="shared" si="395"/>
        <v>10282753.556612173</v>
      </c>
      <c r="AW1004" s="350">
        <f t="shared" si="396"/>
        <v>10150408.232258325</v>
      </c>
      <c r="AX1004" s="350">
        <f t="shared" si="397"/>
        <v>9971289.2568562664</v>
      </c>
      <c r="AY1004" s="350">
        <f t="shared" si="398"/>
        <v>51269692.499162227</v>
      </c>
      <c r="AZ1004" s="365"/>
      <c r="BA1004" s="377">
        <f t="shared" si="399"/>
        <v>0</v>
      </c>
      <c r="BB1004" s="377">
        <f t="shared" si="400"/>
        <v>0</v>
      </c>
      <c r="BC1004" s="377">
        <f t="shared" si="401"/>
        <v>0</v>
      </c>
      <c r="BD1004" s="377">
        <f t="shared" si="402"/>
        <v>0</v>
      </c>
      <c r="BE1004" s="377">
        <f t="shared" si="403"/>
        <v>0</v>
      </c>
      <c r="BF1004" s="377">
        <f t="shared" si="404"/>
        <v>0</v>
      </c>
      <c r="BG1004" s="328"/>
    </row>
    <row r="1005" spans="2:59">
      <c r="B1005" s="332">
        <v>990</v>
      </c>
      <c r="C1005" s="350">
        <v>5022138.7274402091</v>
      </c>
      <c r="D1005" s="350">
        <v>5004040.5377973467</v>
      </c>
      <c r="E1005" s="350">
        <v>4984468.232989802</v>
      </c>
      <c r="F1005" s="350">
        <v>4960987.0636127535</v>
      </c>
      <c r="G1005" s="350">
        <v>4931440.106844523</v>
      </c>
      <c r="H1005" s="348">
        <v>24903074.668684632</v>
      </c>
      <c r="I1005" s="369"/>
      <c r="J1005" s="350">
        <v>14721410.688335108</v>
      </c>
      <c r="K1005" s="350">
        <v>14382299.383748602</v>
      </c>
      <c r="L1005" s="350">
        <v>14034982.893516049</v>
      </c>
      <c r="M1005" s="350">
        <v>13658438.629470365</v>
      </c>
      <c r="N1005" s="350">
        <v>13235091.616578471</v>
      </c>
      <c r="O1005" s="348">
        <v>70032223.211648598</v>
      </c>
      <c r="P1005" s="369"/>
      <c r="Q1005" s="350">
        <f t="shared" si="405"/>
        <v>9699271.9608948976</v>
      </c>
      <c r="R1005" s="350">
        <f t="shared" si="406"/>
        <v>9378258.8459512554</v>
      </c>
      <c r="S1005" s="350">
        <f t="shared" si="407"/>
        <v>9050514.6605262458</v>
      </c>
      <c r="T1005" s="350">
        <f t="shared" si="408"/>
        <v>8697451.5658576116</v>
      </c>
      <c r="U1005" s="350">
        <f t="shared" si="409"/>
        <v>8303651.5097339479</v>
      </c>
      <c r="V1005" s="350">
        <f t="shared" si="410"/>
        <v>45129148.542963967</v>
      </c>
      <c r="W1005" s="365"/>
      <c r="X1005" s="377">
        <f t="shared" si="388"/>
        <v>0</v>
      </c>
      <c r="Y1005" s="377">
        <f t="shared" si="389"/>
        <v>0</v>
      </c>
      <c r="Z1005" s="377">
        <f t="shared" si="390"/>
        <v>0</v>
      </c>
      <c r="AA1005" s="377">
        <f t="shared" si="391"/>
        <v>0</v>
      </c>
      <c r="AB1005" s="377">
        <f t="shared" si="392"/>
        <v>0</v>
      </c>
      <c r="AC1005" s="377">
        <f t="shared" si="393"/>
        <v>0</v>
      </c>
      <c r="AD1005" s="376"/>
      <c r="AE1005" s="332">
        <v>990</v>
      </c>
      <c r="AF1005" s="350">
        <v>479813.81711914105</v>
      </c>
      <c r="AG1005" s="350">
        <v>478084.72082635213</v>
      </c>
      <c r="AH1005" s="350">
        <v>476214.78795727075</v>
      </c>
      <c r="AI1005" s="350">
        <v>473971.40319219767</v>
      </c>
      <c r="AJ1005" s="350">
        <v>471148.49469033617</v>
      </c>
      <c r="AK1005" s="348">
        <v>2379233.2237852975</v>
      </c>
      <c r="AL1005" s="369"/>
      <c r="AM1005" s="350">
        <v>15861713.741027316</v>
      </c>
      <c r="AN1005" s="350">
        <v>15725131.010021849</v>
      </c>
      <c r="AO1005" s="350">
        <v>15575035.510018975</v>
      </c>
      <c r="AP1005" s="350">
        <v>15381386.968097361</v>
      </c>
      <c r="AQ1005" s="350">
        <v>15118472.840015523</v>
      </c>
      <c r="AR1005" s="348">
        <v>77661740.069181025</v>
      </c>
      <c r="AS1005" s="369"/>
      <c r="AT1005" s="350">
        <f t="shared" si="411"/>
        <v>15381899.923908176</v>
      </c>
      <c r="AU1005" s="350">
        <f t="shared" si="394"/>
        <v>15247046.289195497</v>
      </c>
      <c r="AV1005" s="350">
        <f t="shared" si="395"/>
        <v>15098820.722061703</v>
      </c>
      <c r="AW1005" s="350">
        <f t="shared" si="396"/>
        <v>14907415.564905163</v>
      </c>
      <c r="AX1005" s="350">
        <f t="shared" si="397"/>
        <v>14647324.345325187</v>
      </c>
      <c r="AY1005" s="350">
        <f t="shared" si="398"/>
        <v>75282506.845395729</v>
      </c>
      <c r="AZ1005" s="365"/>
      <c r="BA1005" s="377">
        <f t="shared" si="399"/>
        <v>0</v>
      </c>
      <c r="BB1005" s="377">
        <f t="shared" si="400"/>
        <v>0</v>
      </c>
      <c r="BC1005" s="377">
        <f t="shared" si="401"/>
        <v>0</v>
      </c>
      <c r="BD1005" s="377">
        <f t="shared" si="402"/>
        <v>0</v>
      </c>
      <c r="BE1005" s="377">
        <f t="shared" si="403"/>
        <v>0</v>
      </c>
      <c r="BF1005" s="377">
        <f t="shared" si="404"/>
        <v>0</v>
      </c>
      <c r="BG1005" s="328"/>
    </row>
    <row r="1006" spans="2:59">
      <c r="B1006" s="332">
        <v>991</v>
      </c>
      <c r="C1006" s="350">
        <v>5468896.8343447987</v>
      </c>
      <c r="D1006" s="350">
        <v>5449188.6706685489</v>
      </c>
      <c r="E1006" s="350">
        <v>5427875.2578753158</v>
      </c>
      <c r="F1006" s="350">
        <v>5402305.2567578219</v>
      </c>
      <c r="G1006" s="350">
        <v>5370129.8695166456</v>
      </c>
      <c r="H1006" s="348">
        <v>27118395.889163129</v>
      </c>
      <c r="I1006" s="369"/>
      <c r="J1006" s="350">
        <v>18661818.647261105</v>
      </c>
      <c r="K1006" s="350">
        <v>18273579.458919697</v>
      </c>
      <c r="L1006" s="350">
        <v>17874088.544580135</v>
      </c>
      <c r="M1006" s="350">
        <v>17435351.464521419</v>
      </c>
      <c r="N1006" s="350">
        <v>16933855.774990618</v>
      </c>
      <c r="O1006" s="348">
        <v>89178693.890272975</v>
      </c>
      <c r="P1006" s="369"/>
      <c r="Q1006" s="350">
        <f t="shared" si="405"/>
        <v>13192921.812916307</v>
      </c>
      <c r="R1006" s="350">
        <f t="shared" si="406"/>
        <v>12824390.788251147</v>
      </c>
      <c r="S1006" s="350">
        <f t="shared" si="407"/>
        <v>12446213.28670482</v>
      </c>
      <c r="T1006" s="350">
        <f t="shared" si="408"/>
        <v>12033046.207763597</v>
      </c>
      <c r="U1006" s="350">
        <f t="shared" si="409"/>
        <v>11563725.905473974</v>
      </c>
      <c r="V1006" s="350">
        <f t="shared" si="410"/>
        <v>62060298.001109846</v>
      </c>
      <c r="W1006" s="365"/>
      <c r="X1006" s="377">
        <f t="shared" si="388"/>
        <v>0</v>
      </c>
      <c r="Y1006" s="377">
        <f t="shared" si="389"/>
        <v>0</v>
      </c>
      <c r="Z1006" s="377">
        <f t="shared" si="390"/>
        <v>0</v>
      </c>
      <c r="AA1006" s="377">
        <f t="shared" si="391"/>
        <v>0</v>
      </c>
      <c r="AB1006" s="377">
        <f t="shared" si="392"/>
        <v>0</v>
      </c>
      <c r="AC1006" s="377">
        <f t="shared" si="393"/>
        <v>0</v>
      </c>
      <c r="AD1006" s="376"/>
      <c r="AE1006" s="332">
        <v>991</v>
      </c>
      <c r="AF1006" s="350">
        <v>498445.76616198197</v>
      </c>
      <c r="AG1006" s="350">
        <v>496649.52625459101</v>
      </c>
      <c r="AH1006" s="350">
        <v>494706.98085813515</v>
      </c>
      <c r="AI1006" s="350">
        <v>492376.48182261991</v>
      </c>
      <c r="AJ1006" s="350">
        <v>489443.95520330803</v>
      </c>
      <c r="AK1006" s="348">
        <v>2471622.710300636</v>
      </c>
      <c r="AL1006" s="369"/>
      <c r="AM1006" s="350">
        <v>18288139.945820618</v>
      </c>
      <c r="AN1006" s="350">
        <v>18133204.625347741</v>
      </c>
      <c r="AO1006" s="350">
        <v>17962637.549557295</v>
      </c>
      <c r="AP1006" s="350">
        <v>17741721.006675579</v>
      </c>
      <c r="AQ1006" s="350">
        <v>17440733.85127211</v>
      </c>
      <c r="AR1006" s="348">
        <v>89566436.978673339</v>
      </c>
      <c r="AS1006" s="369"/>
      <c r="AT1006" s="350">
        <f t="shared" si="411"/>
        <v>17789694.179658636</v>
      </c>
      <c r="AU1006" s="350">
        <f t="shared" si="394"/>
        <v>17636555.09909315</v>
      </c>
      <c r="AV1006" s="350">
        <f t="shared" si="395"/>
        <v>17467930.568699159</v>
      </c>
      <c r="AW1006" s="350">
        <f t="shared" si="396"/>
        <v>17249344.524852958</v>
      </c>
      <c r="AX1006" s="350">
        <f t="shared" si="397"/>
        <v>16951289.8960688</v>
      </c>
      <c r="AY1006" s="350">
        <f t="shared" si="398"/>
        <v>87094814.2683727</v>
      </c>
      <c r="AZ1006" s="365"/>
      <c r="BA1006" s="377">
        <f t="shared" si="399"/>
        <v>0</v>
      </c>
      <c r="BB1006" s="377">
        <f t="shared" si="400"/>
        <v>0</v>
      </c>
      <c r="BC1006" s="377">
        <f t="shared" si="401"/>
        <v>0</v>
      </c>
      <c r="BD1006" s="377">
        <f t="shared" si="402"/>
        <v>0</v>
      </c>
      <c r="BE1006" s="377">
        <f t="shared" si="403"/>
        <v>0</v>
      </c>
      <c r="BF1006" s="377">
        <f t="shared" si="404"/>
        <v>0</v>
      </c>
      <c r="BG1006" s="328"/>
    </row>
    <row r="1007" spans="2:59">
      <c r="B1007" s="332">
        <v>992</v>
      </c>
      <c r="C1007" s="350">
        <v>6010340.0651479168</v>
      </c>
      <c r="D1007" s="350">
        <v>5988680.7123859543</v>
      </c>
      <c r="E1007" s="350">
        <v>5965257.1842565285</v>
      </c>
      <c r="F1007" s="350">
        <v>5937155.6480898168</v>
      </c>
      <c r="G1007" s="350">
        <v>5901794.7654648554</v>
      </c>
      <c r="H1007" s="348">
        <v>29803228.375345074</v>
      </c>
      <c r="I1007" s="369"/>
      <c r="J1007" s="350">
        <v>19039420.100945108</v>
      </c>
      <c r="K1007" s="350">
        <v>18623338.429219715</v>
      </c>
      <c r="L1007" s="350">
        <v>18196185.498333894</v>
      </c>
      <c r="M1007" s="350">
        <v>17730045.938175451</v>
      </c>
      <c r="N1007" s="350">
        <v>17201523.507193573</v>
      </c>
      <c r="O1007" s="348">
        <v>90790513.473867744</v>
      </c>
      <c r="P1007" s="369"/>
      <c r="Q1007" s="350">
        <f t="shared" si="405"/>
        <v>13029080.03579719</v>
      </c>
      <c r="R1007" s="350">
        <f t="shared" si="406"/>
        <v>12634657.716833761</v>
      </c>
      <c r="S1007" s="350">
        <f t="shared" si="407"/>
        <v>12230928.314077366</v>
      </c>
      <c r="T1007" s="350">
        <f t="shared" si="408"/>
        <v>11792890.290085634</v>
      </c>
      <c r="U1007" s="350">
        <f t="shared" si="409"/>
        <v>11299728.741728717</v>
      </c>
      <c r="V1007" s="350">
        <f t="shared" si="410"/>
        <v>60987285.098522671</v>
      </c>
      <c r="W1007" s="365"/>
      <c r="X1007" s="377">
        <f t="shared" si="388"/>
        <v>0</v>
      </c>
      <c r="Y1007" s="377">
        <f t="shared" si="389"/>
        <v>0</v>
      </c>
      <c r="Z1007" s="377">
        <f t="shared" si="390"/>
        <v>0</v>
      </c>
      <c r="AA1007" s="377">
        <f t="shared" si="391"/>
        <v>0</v>
      </c>
      <c r="AB1007" s="377">
        <f t="shared" si="392"/>
        <v>0</v>
      </c>
      <c r="AC1007" s="377">
        <f t="shared" si="393"/>
        <v>0</v>
      </c>
      <c r="AD1007" s="376"/>
      <c r="AE1007" s="332">
        <v>992</v>
      </c>
      <c r="AF1007" s="350">
        <v>498836.6088745835</v>
      </c>
      <c r="AG1007" s="350">
        <v>497038.96049444494</v>
      </c>
      <c r="AH1007" s="350">
        <v>495094.89190376474</v>
      </c>
      <c r="AI1007" s="350">
        <v>492762.56547071395</v>
      </c>
      <c r="AJ1007" s="350">
        <v>489827.73939028417</v>
      </c>
      <c r="AK1007" s="348">
        <v>2473560.7661337913</v>
      </c>
      <c r="AL1007" s="369"/>
      <c r="AM1007" s="350">
        <v>15976666.355320796</v>
      </c>
      <c r="AN1007" s="350">
        <v>15838372.531540036</v>
      </c>
      <c r="AO1007" s="350">
        <v>15686482.73739733</v>
      </c>
      <c r="AP1007" s="350">
        <v>15490762.286828009</v>
      </c>
      <c r="AQ1007" s="350">
        <v>15225333.653624965</v>
      </c>
      <c r="AR1007" s="348">
        <v>78217617.564711139</v>
      </c>
      <c r="AS1007" s="369"/>
      <c r="AT1007" s="350">
        <f t="shared" si="411"/>
        <v>15477829.746446213</v>
      </c>
      <c r="AU1007" s="350">
        <f t="shared" si="394"/>
        <v>15341333.571045591</v>
      </c>
      <c r="AV1007" s="350">
        <f t="shared" si="395"/>
        <v>15191387.845493564</v>
      </c>
      <c r="AW1007" s="350">
        <f t="shared" si="396"/>
        <v>14997999.721357295</v>
      </c>
      <c r="AX1007" s="350">
        <f t="shared" si="397"/>
        <v>14735505.914234681</v>
      </c>
      <c r="AY1007" s="350">
        <f t="shared" si="398"/>
        <v>75744056.798577353</v>
      </c>
      <c r="AZ1007" s="365"/>
      <c r="BA1007" s="377">
        <f t="shared" si="399"/>
        <v>0</v>
      </c>
      <c r="BB1007" s="377">
        <f t="shared" si="400"/>
        <v>0</v>
      </c>
      <c r="BC1007" s="377">
        <f t="shared" si="401"/>
        <v>0</v>
      </c>
      <c r="BD1007" s="377">
        <f t="shared" si="402"/>
        <v>0</v>
      </c>
      <c r="BE1007" s="377">
        <f t="shared" si="403"/>
        <v>0</v>
      </c>
      <c r="BF1007" s="377">
        <f t="shared" si="404"/>
        <v>0</v>
      </c>
      <c r="BG1007" s="328"/>
    </row>
    <row r="1008" spans="2:59">
      <c r="B1008" s="332">
        <v>993</v>
      </c>
      <c r="C1008" s="350">
        <v>4900726.0872245319</v>
      </c>
      <c r="D1008" s="350">
        <v>4883065.4300965853</v>
      </c>
      <c r="E1008" s="350">
        <v>4863966.2952532247</v>
      </c>
      <c r="F1008" s="350">
        <v>4841052.7945377035</v>
      </c>
      <c r="G1008" s="350">
        <v>4812220.1497839885</v>
      </c>
      <c r="H1008" s="348">
        <v>24301030.756896034</v>
      </c>
      <c r="I1008" s="369"/>
      <c r="J1008" s="350">
        <v>16877225.690132264</v>
      </c>
      <c r="K1008" s="350">
        <v>16528209.742715131</v>
      </c>
      <c r="L1008" s="350">
        <v>16168975.235144591</v>
      </c>
      <c r="M1008" s="350">
        <v>15774137.065023709</v>
      </c>
      <c r="N1008" s="350">
        <v>15322369.13965011</v>
      </c>
      <c r="O1008" s="348">
        <v>80670916.872665808</v>
      </c>
      <c r="P1008" s="369"/>
      <c r="Q1008" s="350">
        <f t="shared" si="405"/>
        <v>11976499.602907732</v>
      </c>
      <c r="R1008" s="350">
        <f t="shared" si="406"/>
        <v>11645144.312618546</v>
      </c>
      <c r="S1008" s="350">
        <f t="shared" si="407"/>
        <v>11305008.939891366</v>
      </c>
      <c r="T1008" s="350">
        <f t="shared" si="408"/>
        <v>10933084.270486005</v>
      </c>
      <c r="U1008" s="350">
        <f t="shared" si="409"/>
        <v>10510148.989866123</v>
      </c>
      <c r="V1008" s="350">
        <f t="shared" si="410"/>
        <v>56369886.115769774</v>
      </c>
      <c r="W1008" s="365"/>
      <c r="X1008" s="377">
        <f t="shared" si="388"/>
        <v>0</v>
      </c>
      <c r="Y1008" s="377">
        <f t="shared" si="389"/>
        <v>0</v>
      </c>
      <c r="Z1008" s="377">
        <f t="shared" si="390"/>
        <v>0</v>
      </c>
      <c r="AA1008" s="377">
        <f t="shared" si="391"/>
        <v>0</v>
      </c>
      <c r="AB1008" s="377">
        <f t="shared" si="392"/>
        <v>0</v>
      </c>
      <c r="AC1008" s="377">
        <f t="shared" si="393"/>
        <v>0</v>
      </c>
      <c r="AD1008" s="376"/>
      <c r="AE1008" s="332">
        <v>993</v>
      </c>
      <c r="AF1008" s="350">
        <v>568874.37755925686</v>
      </c>
      <c r="AG1008" s="350">
        <v>566824.33535078913</v>
      </c>
      <c r="AH1008" s="350">
        <v>564607.3152087616</v>
      </c>
      <c r="AI1008" s="350">
        <v>561947.52496028703</v>
      </c>
      <c r="AJ1008" s="350">
        <v>558600.64277472347</v>
      </c>
      <c r="AK1008" s="348">
        <v>2820854.1958538177</v>
      </c>
      <c r="AL1008" s="369"/>
      <c r="AM1008" s="350">
        <v>11747762.96647422</v>
      </c>
      <c r="AN1008" s="350">
        <v>11636698.891958104</v>
      </c>
      <c r="AO1008" s="350">
        <v>11515829.048035312</v>
      </c>
      <c r="AP1008" s="350">
        <v>11363224.441117505</v>
      </c>
      <c r="AQ1008" s="350">
        <v>11160134.807775153</v>
      </c>
      <c r="AR1008" s="348">
        <v>57423650.155360289</v>
      </c>
      <c r="AS1008" s="369"/>
      <c r="AT1008" s="350">
        <f t="shared" si="411"/>
        <v>11178888.588914962</v>
      </c>
      <c r="AU1008" s="350">
        <f t="shared" si="394"/>
        <v>11069874.556607315</v>
      </c>
      <c r="AV1008" s="350">
        <f t="shared" si="395"/>
        <v>10951221.732826551</v>
      </c>
      <c r="AW1008" s="350">
        <f t="shared" si="396"/>
        <v>10801276.916157218</v>
      </c>
      <c r="AX1008" s="350">
        <f t="shared" si="397"/>
        <v>10601534.165000429</v>
      </c>
      <c r="AY1008" s="350">
        <f t="shared" si="398"/>
        <v>54602795.959506474</v>
      </c>
      <c r="AZ1008" s="365"/>
      <c r="BA1008" s="377">
        <f t="shared" si="399"/>
        <v>0</v>
      </c>
      <c r="BB1008" s="377">
        <f t="shared" si="400"/>
        <v>0</v>
      </c>
      <c r="BC1008" s="377">
        <f t="shared" si="401"/>
        <v>0</v>
      </c>
      <c r="BD1008" s="377">
        <f t="shared" si="402"/>
        <v>0</v>
      </c>
      <c r="BE1008" s="377">
        <f t="shared" si="403"/>
        <v>0</v>
      </c>
      <c r="BF1008" s="377">
        <f t="shared" si="404"/>
        <v>0</v>
      </c>
      <c r="BG1008" s="328"/>
    </row>
    <row r="1009" spans="1:59">
      <c r="B1009" s="332">
        <v>994</v>
      </c>
      <c r="C1009" s="350">
        <v>3440162.7684022333</v>
      </c>
      <c r="D1009" s="350">
        <v>3427765.5166408122</v>
      </c>
      <c r="E1009" s="350">
        <v>3414358.4966549156</v>
      </c>
      <c r="F1009" s="350">
        <v>3398273.906197845</v>
      </c>
      <c r="G1009" s="350">
        <v>3378034.2541073365</v>
      </c>
      <c r="H1009" s="348">
        <v>17058594.942003146</v>
      </c>
      <c r="I1009" s="369"/>
      <c r="J1009" s="350">
        <v>11589153.203246528</v>
      </c>
      <c r="K1009" s="350">
        <v>11346015.076957228</v>
      </c>
      <c r="L1009" s="350">
        <v>11095931.149822682</v>
      </c>
      <c r="M1009" s="350">
        <v>10821582.455163172</v>
      </c>
      <c r="N1009" s="350">
        <v>10508427.923748251</v>
      </c>
      <c r="O1009" s="348">
        <v>55361109.808937863</v>
      </c>
      <c r="P1009" s="369"/>
      <c r="Q1009" s="350">
        <f t="shared" si="405"/>
        <v>8148990.4348442946</v>
      </c>
      <c r="R1009" s="350">
        <f t="shared" si="406"/>
        <v>7918249.5603164155</v>
      </c>
      <c r="S1009" s="350">
        <f t="shared" si="407"/>
        <v>7681572.6531677665</v>
      </c>
      <c r="T1009" s="350">
        <f t="shared" si="408"/>
        <v>7423308.5489653265</v>
      </c>
      <c r="U1009" s="350">
        <f t="shared" si="409"/>
        <v>7130393.6696409145</v>
      </c>
      <c r="V1009" s="350">
        <f t="shared" si="410"/>
        <v>38302514.866934717</v>
      </c>
      <c r="W1009" s="365"/>
      <c r="X1009" s="377">
        <f t="shared" si="388"/>
        <v>0</v>
      </c>
      <c r="Y1009" s="377">
        <f t="shared" si="389"/>
        <v>0</v>
      </c>
      <c r="Z1009" s="377">
        <f t="shared" si="390"/>
        <v>0</v>
      </c>
      <c r="AA1009" s="377">
        <f t="shared" si="391"/>
        <v>0</v>
      </c>
      <c r="AB1009" s="377">
        <f t="shared" si="392"/>
        <v>0</v>
      </c>
      <c r="AC1009" s="377">
        <f t="shared" si="393"/>
        <v>0</v>
      </c>
      <c r="AD1009" s="376"/>
      <c r="AE1009" s="332">
        <v>994</v>
      </c>
      <c r="AF1009" s="350">
        <v>550964.13955377019</v>
      </c>
      <c r="AG1009" s="350">
        <v>548978.64014301542</v>
      </c>
      <c r="AH1009" s="350">
        <v>546831.41987240594</v>
      </c>
      <c r="AI1009" s="350">
        <v>544255.36951146019</v>
      </c>
      <c r="AJ1009" s="350">
        <v>541013.85937091126</v>
      </c>
      <c r="AK1009" s="348">
        <v>2732043.4284515632</v>
      </c>
      <c r="AL1009" s="369"/>
      <c r="AM1009" s="350">
        <v>12583713.094881248</v>
      </c>
      <c r="AN1009" s="350">
        <v>12467454.993036097</v>
      </c>
      <c r="AO1009" s="350">
        <v>12340638.040620232</v>
      </c>
      <c r="AP1009" s="350">
        <v>12179685.321148967</v>
      </c>
      <c r="AQ1009" s="350">
        <v>11964432.100272963</v>
      </c>
      <c r="AR1009" s="348">
        <v>61535923.549959503</v>
      </c>
      <c r="AS1009" s="369"/>
      <c r="AT1009" s="350">
        <f t="shared" si="411"/>
        <v>12032748.955327477</v>
      </c>
      <c r="AU1009" s="350">
        <f t="shared" si="394"/>
        <v>11918476.352893081</v>
      </c>
      <c r="AV1009" s="350">
        <f t="shared" si="395"/>
        <v>11793806.620747827</v>
      </c>
      <c r="AW1009" s="350">
        <f t="shared" si="396"/>
        <v>11635429.951637506</v>
      </c>
      <c r="AX1009" s="350">
        <f t="shared" si="397"/>
        <v>11423418.240902051</v>
      </c>
      <c r="AY1009" s="350">
        <f t="shared" si="398"/>
        <v>58803880.121507943</v>
      </c>
      <c r="AZ1009" s="365"/>
      <c r="BA1009" s="377">
        <f t="shared" si="399"/>
        <v>0</v>
      </c>
      <c r="BB1009" s="377">
        <f t="shared" si="400"/>
        <v>0</v>
      </c>
      <c r="BC1009" s="377">
        <f t="shared" si="401"/>
        <v>0</v>
      </c>
      <c r="BD1009" s="377">
        <f t="shared" si="402"/>
        <v>0</v>
      </c>
      <c r="BE1009" s="377">
        <f t="shared" si="403"/>
        <v>0</v>
      </c>
      <c r="BF1009" s="377">
        <f t="shared" si="404"/>
        <v>0</v>
      </c>
      <c r="BG1009" s="328"/>
    </row>
    <row r="1010" spans="1:59">
      <c r="B1010" s="332">
        <v>995</v>
      </c>
      <c r="C1010" s="350">
        <v>4434347.8349309545</v>
      </c>
      <c r="D1010" s="350">
        <v>4418367.8565961262</v>
      </c>
      <c r="E1010" s="350">
        <v>4401086.2934696972</v>
      </c>
      <c r="F1010" s="350">
        <v>4380353.3591085169</v>
      </c>
      <c r="G1010" s="350">
        <v>4354264.5768416859</v>
      </c>
      <c r="H1010" s="348">
        <v>21988419.920946982</v>
      </c>
      <c r="I1010" s="369"/>
      <c r="J1010" s="350">
        <v>17502015.302451376</v>
      </c>
      <c r="K1010" s="350">
        <v>17170134.503017545</v>
      </c>
      <c r="L1010" s="350">
        <v>16827043.118615571</v>
      </c>
      <c r="M1010" s="350">
        <v>16445445.607517343</v>
      </c>
      <c r="N1010" s="350">
        <v>16002336.236189503</v>
      </c>
      <c r="O1010" s="348">
        <v>83946974.767791331</v>
      </c>
      <c r="P1010" s="369"/>
      <c r="Q1010" s="350">
        <f t="shared" si="405"/>
        <v>13067667.467520421</v>
      </c>
      <c r="R1010" s="350">
        <f t="shared" si="406"/>
        <v>12751766.646421418</v>
      </c>
      <c r="S1010" s="350">
        <f t="shared" si="407"/>
        <v>12425956.825145874</v>
      </c>
      <c r="T1010" s="350">
        <f t="shared" si="408"/>
        <v>12065092.248408826</v>
      </c>
      <c r="U1010" s="350">
        <f t="shared" si="409"/>
        <v>11648071.659347817</v>
      </c>
      <c r="V1010" s="350">
        <f t="shared" si="410"/>
        <v>61958554.846844345</v>
      </c>
      <c r="W1010" s="365"/>
      <c r="X1010" s="377">
        <f t="shared" si="388"/>
        <v>0</v>
      </c>
      <c r="Y1010" s="377">
        <f t="shared" si="389"/>
        <v>0</v>
      </c>
      <c r="Z1010" s="377">
        <f t="shared" si="390"/>
        <v>0</v>
      </c>
      <c r="AA1010" s="377">
        <f t="shared" si="391"/>
        <v>0</v>
      </c>
      <c r="AB1010" s="377">
        <f t="shared" si="392"/>
        <v>0</v>
      </c>
      <c r="AC1010" s="377">
        <f t="shared" si="393"/>
        <v>0</v>
      </c>
      <c r="AD1010" s="376"/>
      <c r="AE1010" s="332">
        <v>995</v>
      </c>
      <c r="AF1010" s="350">
        <v>495313.6063357438</v>
      </c>
      <c r="AG1010" s="350">
        <v>493528.65373553487</v>
      </c>
      <c r="AH1010" s="350">
        <v>491598.31500841881</v>
      </c>
      <c r="AI1010" s="350">
        <v>489282.46048580692</v>
      </c>
      <c r="AJ1010" s="350">
        <v>486368.36143211997</v>
      </c>
      <c r="AK1010" s="348">
        <v>2456091.3969976241</v>
      </c>
      <c r="AL1010" s="369"/>
      <c r="AM1010" s="350">
        <v>16015974.865268363</v>
      </c>
      <c r="AN1010" s="350">
        <v>15877561.185115332</v>
      </c>
      <c r="AO1010" s="350">
        <v>15725513.582954261</v>
      </c>
      <c r="AP1010" s="350">
        <v>15529515.866137588</v>
      </c>
      <c r="AQ1010" s="350">
        <v>15263620.312664909</v>
      </c>
      <c r="AR1010" s="348">
        <v>78412185.81214045</v>
      </c>
      <c r="AS1010" s="369"/>
      <c r="AT1010" s="350">
        <f t="shared" si="411"/>
        <v>15520661.258932618</v>
      </c>
      <c r="AU1010" s="350">
        <f t="shared" si="394"/>
        <v>15384032.531379797</v>
      </c>
      <c r="AV1010" s="350">
        <f t="shared" si="395"/>
        <v>15233915.267945843</v>
      </c>
      <c r="AW1010" s="350">
        <f t="shared" si="396"/>
        <v>15040233.405651782</v>
      </c>
      <c r="AX1010" s="350">
        <f t="shared" si="397"/>
        <v>14777251.951232789</v>
      </c>
      <c r="AY1010" s="350">
        <f t="shared" si="398"/>
        <v>75956094.415142819</v>
      </c>
      <c r="AZ1010" s="365"/>
      <c r="BA1010" s="377">
        <f t="shared" si="399"/>
        <v>0</v>
      </c>
      <c r="BB1010" s="377">
        <f t="shared" si="400"/>
        <v>0</v>
      </c>
      <c r="BC1010" s="377">
        <f t="shared" si="401"/>
        <v>0</v>
      </c>
      <c r="BD1010" s="377">
        <f t="shared" si="402"/>
        <v>0</v>
      </c>
      <c r="BE1010" s="377">
        <f t="shared" si="403"/>
        <v>0</v>
      </c>
      <c r="BF1010" s="377">
        <f t="shared" si="404"/>
        <v>0</v>
      </c>
      <c r="BG1010" s="328"/>
    </row>
    <row r="1011" spans="1:59">
      <c r="B1011" s="332">
        <v>996</v>
      </c>
      <c r="C1011" s="350">
        <v>6084884.53035683</v>
      </c>
      <c r="D1011" s="350">
        <v>6062956.5430665519</v>
      </c>
      <c r="E1011" s="350">
        <v>6039242.4998649694</v>
      </c>
      <c r="F1011" s="350">
        <v>6010792.4286798751</v>
      </c>
      <c r="G1011" s="350">
        <v>5974992.9755154746</v>
      </c>
      <c r="H1011" s="348">
        <v>30172868.977483701</v>
      </c>
      <c r="I1011" s="369"/>
      <c r="J1011" s="350">
        <v>22840540.290099762</v>
      </c>
      <c r="K1011" s="350">
        <v>22393603.97478506</v>
      </c>
      <c r="L1011" s="350">
        <v>21932319.871843908</v>
      </c>
      <c r="M1011" s="350">
        <v>21421513.129077785</v>
      </c>
      <c r="N1011" s="350">
        <v>20831570.152336136</v>
      </c>
      <c r="O1011" s="348">
        <v>109419547.41814266</v>
      </c>
      <c r="P1011" s="369"/>
      <c r="Q1011" s="350">
        <f t="shared" si="405"/>
        <v>16755655.759742932</v>
      </c>
      <c r="R1011" s="350">
        <f t="shared" si="406"/>
        <v>16330647.431718508</v>
      </c>
      <c r="S1011" s="350">
        <f t="shared" si="407"/>
        <v>15893077.371978939</v>
      </c>
      <c r="T1011" s="350">
        <f t="shared" si="408"/>
        <v>15410720.700397909</v>
      </c>
      <c r="U1011" s="350">
        <f t="shared" si="409"/>
        <v>14856577.176820662</v>
      </c>
      <c r="V1011" s="350">
        <f t="shared" si="410"/>
        <v>79246678.440658957</v>
      </c>
      <c r="W1011" s="365"/>
      <c r="X1011" s="377">
        <f t="shared" si="388"/>
        <v>0</v>
      </c>
      <c r="Y1011" s="377">
        <f t="shared" si="389"/>
        <v>0</v>
      </c>
      <c r="Z1011" s="377">
        <f t="shared" si="390"/>
        <v>0</v>
      </c>
      <c r="AA1011" s="377">
        <f t="shared" si="391"/>
        <v>0</v>
      </c>
      <c r="AB1011" s="377">
        <f t="shared" si="392"/>
        <v>0</v>
      </c>
      <c r="AC1011" s="377">
        <f t="shared" si="393"/>
        <v>0</v>
      </c>
      <c r="AD1011" s="376"/>
      <c r="AE1011" s="332">
        <v>996</v>
      </c>
      <c r="AF1011" s="350">
        <v>450767.08957433235</v>
      </c>
      <c r="AG1011" s="350">
        <v>449142.66844329052</v>
      </c>
      <c r="AH1011" s="350">
        <v>447385.93662977981</v>
      </c>
      <c r="AI1011" s="350">
        <v>445278.36076333432</v>
      </c>
      <c r="AJ1011" s="350">
        <v>442626.34407661436</v>
      </c>
      <c r="AK1011" s="348">
        <v>2235200.3994873515</v>
      </c>
      <c r="AL1011" s="369"/>
      <c r="AM1011" s="350">
        <v>15092423.422861906</v>
      </c>
      <c r="AN1011" s="350">
        <v>14962732.90802121</v>
      </c>
      <c r="AO1011" s="350">
        <v>14820179.518976493</v>
      </c>
      <c r="AP1011" s="350">
        <v>14636171.276000006</v>
      </c>
      <c r="AQ1011" s="350">
        <v>14386234.752023809</v>
      </c>
      <c r="AR1011" s="348">
        <v>73897741.877883434</v>
      </c>
      <c r="AS1011" s="369"/>
      <c r="AT1011" s="350">
        <f t="shared" si="411"/>
        <v>14641656.333287574</v>
      </c>
      <c r="AU1011" s="350">
        <f t="shared" si="394"/>
        <v>14513590.239577919</v>
      </c>
      <c r="AV1011" s="350">
        <f t="shared" si="395"/>
        <v>14372793.582346713</v>
      </c>
      <c r="AW1011" s="350">
        <f t="shared" si="396"/>
        <v>14190892.915236672</v>
      </c>
      <c r="AX1011" s="350">
        <f t="shared" si="397"/>
        <v>13943608.407947194</v>
      </c>
      <c r="AY1011" s="350">
        <f t="shared" si="398"/>
        <v>71662541.478396088</v>
      </c>
      <c r="AZ1011" s="365"/>
      <c r="BA1011" s="377">
        <f t="shared" si="399"/>
        <v>0</v>
      </c>
      <c r="BB1011" s="377">
        <f t="shared" si="400"/>
        <v>0</v>
      </c>
      <c r="BC1011" s="377">
        <f t="shared" si="401"/>
        <v>0</v>
      </c>
      <c r="BD1011" s="377">
        <f t="shared" si="402"/>
        <v>0</v>
      </c>
      <c r="BE1011" s="377">
        <f t="shared" si="403"/>
        <v>0</v>
      </c>
      <c r="BF1011" s="377">
        <f t="shared" si="404"/>
        <v>0</v>
      </c>
      <c r="BG1011" s="328"/>
    </row>
    <row r="1012" spans="1:59">
      <c r="B1012" s="332">
        <v>997</v>
      </c>
      <c r="C1012" s="350">
        <v>5520599.8383470271</v>
      </c>
      <c r="D1012" s="350">
        <v>5500705.3534991965</v>
      </c>
      <c r="E1012" s="350">
        <v>5479190.4434935777</v>
      </c>
      <c r="F1012" s="350">
        <v>5453378.7033361709</v>
      </c>
      <c r="G1012" s="350">
        <v>5420899.1296702558</v>
      </c>
      <c r="H1012" s="348">
        <v>27374773.468346227</v>
      </c>
      <c r="I1012" s="369"/>
      <c r="J1012" s="350">
        <v>17154612.918414529</v>
      </c>
      <c r="K1012" s="350">
        <v>16774837.880580546</v>
      </c>
      <c r="L1012" s="350">
        <v>16385187.301334402</v>
      </c>
      <c r="M1012" s="350">
        <v>15960667.007937804</v>
      </c>
      <c r="N1012" s="350">
        <v>15480341.499951635</v>
      </c>
      <c r="O1012" s="348">
        <v>81755646.608218923</v>
      </c>
      <c r="P1012" s="369"/>
      <c r="Q1012" s="350">
        <f t="shared" si="405"/>
        <v>11634013.080067502</v>
      </c>
      <c r="R1012" s="350">
        <f t="shared" si="406"/>
        <v>11274132.52708135</v>
      </c>
      <c r="S1012" s="350">
        <f t="shared" si="407"/>
        <v>10905996.857840825</v>
      </c>
      <c r="T1012" s="350">
        <f t="shared" si="408"/>
        <v>10507288.304601632</v>
      </c>
      <c r="U1012" s="350">
        <f t="shared" si="409"/>
        <v>10059442.37028138</v>
      </c>
      <c r="V1012" s="350">
        <f t="shared" si="410"/>
        <v>54380873.1398727</v>
      </c>
      <c r="W1012" s="365"/>
      <c r="X1012" s="377">
        <f t="shared" si="388"/>
        <v>0</v>
      </c>
      <c r="Y1012" s="377">
        <f t="shared" si="389"/>
        <v>0</v>
      </c>
      <c r="Z1012" s="377">
        <f t="shared" si="390"/>
        <v>0</v>
      </c>
      <c r="AA1012" s="377">
        <f t="shared" si="391"/>
        <v>0</v>
      </c>
      <c r="AB1012" s="377">
        <f t="shared" si="392"/>
        <v>0</v>
      </c>
      <c r="AC1012" s="377">
        <f t="shared" si="393"/>
        <v>0</v>
      </c>
      <c r="AD1012" s="376"/>
      <c r="AE1012" s="332">
        <v>997</v>
      </c>
      <c r="AF1012" s="350">
        <v>456566.044066031</v>
      </c>
      <c r="AG1012" s="350">
        <v>454920.72534855886</v>
      </c>
      <c r="AH1012" s="350">
        <v>453141.39381985978</v>
      </c>
      <c r="AI1012" s="350">
        <v>451006.70475722058</v>
      </c>
      <c r="AJ1012" s="350">
        <v>448320.5708413744</v>
      </c>
      <c r="AK1012" s="348">
        <v>2263955.4388330448</v>
      </c>
      <c r="AL1012" s="369"/>
      <c r="AM1012" s="350">
        <v>12219280.921002353</v>
      </c>
      <c r="AN1012" s="350">
        <v>12110029.13838144</v>
      </c>
      <c r="AO1012" s="350">
        <v>11990449.979120255</v>
      </c>
      <c r="AP1012" s="350">
        <v>11837531.78867886</v>
      </c>
      <c r="AQ1012" s="350">
        <v>11631586.027684789</v>
      </c>
      <c r="AR1012" s="348">
        <v>59788877.854867697</v>
      </c>
      <c r="AS1012" s="369"/>
      <c r="AT1012" s="350">
        <f t="shared" si="411"/>
        <v>11762714.876936322</v>
      </c>
      <c r="AU1012" s="350">
        <f t="shared" si="394"/>
        <v>11655108.413032882</v>
      </c>
      <c r="AV1012" s="350">
        <f t="shared" si="395"/>
        <v>11537308.585300395</v>
      </c>
      <c r="AW1012" s="350">
        <f t="shared" si="396"/>
        <v>11386525.083921639</v>
      </c>
      <c r="AX1012" s="350">
        <f t="shared" si="397"/>
        <v>11183265.456843415</v>
      </c>
      <c r="AY1012" s="350">
        <f t="shared" si="398"/>
        <v>57524922.416034654</v>
      </c>
      <c r="AZ1012" s="365"/>
      <c r="BA1012" s="377">
        <f t="shared" si="399"/>
        <v>0</v>
      </c>
      <c r="BB1012" s="377">
        <f t="shared" si="400"/>
        <v>0</v>
      </c>
      <c r="BC1012" s="377">
        <f t="shared" si="401"/>
        <v>0</v>
      </c>
      <c r="BD1012" s="377">
        <f t="shared" si="402"/>
        <v>0</v>
      </c>
      <c r="BE1012" s="377">
        <f t="shared" si="403"/>
        <v>0</v>
      </c>
      <c r="BF1012" s="377">
        <f t="shared" si="404"/>
        <v>0</v>
      </c>
      <c r="BG1012" s="328"/>
    </row>
    <row r="1013" spans="1:59">
      <c r="B1013" s="332">
        <v>998</v>
      </c>
      <c r="C1013" s="350">
        <v>3472775.7980052456</v>
      </c>
      <c r="D1013" s="350">
        <v>3460261.0192644605</v>
      </c>
      <c r="E1013" s="350">
        <v>3446726.8996123215</v>
      </c>
      <c r="F1013" s="350">
        <v>3430489.8258979023</v>
      </c>
      <c r="G1013" s="350">
        <v>3410058.300219655</v>
      </c>
      <c r="H1013" s="348">
        <v>17220311.842999585</v>
      </c>
      <c r="I1013" s="369"/>
      <c r="J1013" s="350">
        <v>13976470.763349678</v>
      </c>
      <c r="K1013" s="350">
        <v>13714613.247147441</v>
      </c>
      <c r="L1013" s="350">
        <v>13443738.627569936</v>
      </c>
      <c r="M1013" s="350">
        <v>13141947.288872276</v>
      </c>
      <c r="N1013" s="350">
        <v>12790773.794758759</v>
      </c>
      <c r="O1013" s="348">
        <v>67067543.721698083</v>
      </c>
      <c r="P1013" s="369"/>
      <c r="Q1013" s="350">
        <f t="shared" si="405"/>
        <v>10503694.965344433</v>
      </c>
      <c r="R1013" s="350">
        <f t="shared" si="406"/>
        <v>10254352.227882981</v>
      </c>
      <c r="S1013" s="350">
        <f t="shared" si="407"/>
        <v>9997011.7279576138</v>
      </c>
      <c r="T1013" s="350">
        <f t="shared" si="408"/>
        <v>9711457.4629743733</v>
      </c>
      <c r="U1013" s="350">
        <f t="shared" si="409"/>
        <v>9380715.4945391044</v>
      </c>
      <c r="V1013" s="350">
        <f t="shared" si="410"/>
        <v>49847231.878698498</v>
      </c>
      <c r="W1013" s="365"/>
      <c r="X1013" s="377">
        <f t="shared" si="388"/>
        <v>0</v>
      </c>
      <c r="Y1013" s="377">
        <f t="shared" si="389"/>
        <v>0</v>
      </c>
      <c r="Z1013" s="377">
        <f t="shared" si="390"/>
        <v>0</v>
      </c>
      <c r="AA1013" s="377">
        <f t="shared" si="391"/>
        <v>0</v>
      </c>
      <c r="AB1013" s="377">
        <f t="shared" si="392"/>
        <v>0</v>
      </c>
      <c r="AC1013" s="377">
        <f t="shared" si="393"/>
        <v>0</v>
      </c>
      <c r="AD1013" s="376"/>
      <c r="AE1013" s="332">
        <v>998</v>
      </c>
      <c r="AF1013" s="350">
        <v>488273.65533305932</v>
      </c>
      <c r="AG1013" s="350">
        <v>486514.07247575035</v>
      </c>
      <c r="AH1013" s="350">
        <v>484611.16988179053</v>
      </c>
      <c r="AI1013" s="350">
        <v>482328.23087403621</v>
      </c>
      <c r="AJ1013" s="350">
        <v>479455.55025564466</v>
      </c>
      <c r="AK1013" s="348">
        <v>2421182.6788202813</v>
      </c>
      <c r="AL1013" s="369"/>
      <c r="AM1013" s="350">
        <v>15153710.154998751</v>
      </c>
      <c r="AN1013" s="350">
        <v>15021837.757841</v>
      </c>
      <c r="AO1013" s="350">
        <v>14877084.053492822</v>
      </c>
      <c r="AP1013" s="350">
        <v>14690794.415465757</v>
      </c>
      <c r="AQ1013" s="350">
        <v>14438445.059108112</v>
      </c>
      <c r="AR1013" s="348">
        <v>74181871.440906435</v>
      </c>
      <c r="AS1013" s="369"/>
      <c r="AT1013" s="350">
        <f t="shared" si="411"/>
        <v>14665436.499665692</v>
      </c>
      <c r="AU1013" s="350">
        <f t="shared" si="394"/>
        <v>14535323.68536525</v>
      </c>
      <c r="AV1013" s="350">
        <f t="shared" si="395"/>
        <v>14392472.883611031</v>
      </c>
      <c r="AW1013" s="350">
        <f t="shared" si="396"/>
        <v>14208466.184591722</v>
      </c>
      <c r="AX1013" s="350">
        <f t="shared" si="397"/>
        <v>13958989.508852467</v>
      </c>
      <c r="AY1013" s="350">
        <f t="shared" si="398"/>
        <v>71760688.762086153</v>
      </c>
      <c r="AZ1013" s="365"/>
      <c r="BA1013" s="377">
        <f t="shared" si="399"/>
        <v>0</v>
      </c>
      <c r="BB1013" s="377">
        <f t="shared" si="400"/>
        <v>0</v>
      </c>
      <c r="BC1013" s="377">
        <f t="shared" si="401"/>
        <v>0</v>
      </c>
      <c r="BD1013" s="377">
        <f t="shared" si="402"/>
        <v>0</v>
      </c>
      <c r="BE1013" s="377">
        <f t="shared" si="403"/>
        <v>0</v>
      </c>
      <c r="BF1013" s="377">
        <f t="shared" si="404"/>
        <v>0</v>
      </c>
      <c r="BG1013" s="328"/>
    </row>
    <row r="1014" spans="1:59">
      <c r="B1014" s="332">
        <v>999</v>
      </c>
      <c r="C1014" s="350">
        <v>4451785.4552089451</v>
      </c>
      <c r="D1014" s="350">
        <v>4435742.6372402795</v>
      </c>
      <c r="E1014" s="350">
        <v>4418393.116130664</v>
      </c>
      <c r="F1014" s="350">
        <v>4397578.6516211741</v>
      </c>
      <c r="G1014" s="350">
        <v>4371387.2778807785</v>
      </c>
      <c r="H1014" s="348">
        <v>22074887.138081841</v>
      </c>
      <c r="I1014" s="369"/>
      <c r="J1014" s="350">
        <v>15256565.392488986</v>
      </c>
      <c r="K1014" s="350">
        <v>14940059.325365767</v>
      </c>
      <c r="L1014" s="350">
        <v>14614336.470119096</v>
      </c>
      <c r="M1014" s="350">
        <v>14256481.820284218</v>
      </c>
      <c r="N1014" s="350">
        <v>13847246.91410902</v>
      </c>
      <c r="O1014" s="348">
        <v>72914689.922367081</v>
      </c>
      <c r="P1014" s="369"/>
      <c r="Q1014" s="350">
        <f t="shared" si="405"/>
        <v>10804779.93728004</v>
      </c>
      <c r="R1014" s="350">
        <f t="shared" si="406"/>
        <v>10504316.688125487</v>
      </c>
      <c r="S1014" s="350">
        <f t="shared" si="407"/>
        <v>10195943.353988431</v>
      </c>
      <c r="T1014" s="350">
        <f t="shared" si="408"/>
        <v>9858903.1686630435</v>
      </c>
      <c r="U1014" s="350">
        <f t="shared" si="409"/>
        <v>9475859.636228241</v>
      </c>
      <c r="V1014" s="350">
        <f t="shared" si="410"/>
        <v>50839802.78428524</v>
      </c>
      <c r="W1014" s="365"/>
      <c r="X1014" s="377">
        <f t="shared" si="388"/>
        <v>0</v>
      </c>
      <c r="Y1014" s="377">
        <f t="shared" si="389"/>
        <v>0</v>
      </c>
      <c r="Z1014" s="377">
        <f t="shared" si="390"/>
        <v>0</v>
      </c>
      <c r="AA1014" s="377">
        <f t="shared" si="391"/>
        <v>0</v>
      </c>
      <c r="AB1014" s="377">
        <f t="shared" si="392"/>
        <v>0</v>
      </c>
      <c r="AC1014" s="377">
        <f t="shared" si="393"/>
        <v>0</v>
      </c>
      <c r="AD1014" s="376"/>
      <c r="AE1014" s="332">
        <v>999</v>
      </c>
      <c r="AF1014" s="350">
        <v>616816.87929765251</v>
      </c>
      <c r="AG1014" s="350">
        <v>614594.06757095666</v>
      </c>
      <c r="AH1014" s="350">
        <v>612190.2056652531</v>
      </c>
      <c r="AI1014" s="350">
        <v>609306.25872482406</v>
      </c>
      <c r="AJ1014" s="350">
        <v>605677.314433233</v>
      </c>
      <c r="AK1014" s="348">
        <v>3058584.7256919192</v>
      </c>
      <c r="AL1014" s="369"/>
      <c r="AM1014" s="350">
        <v>17683574.635329645</v>
      </c>
      <c r="AN1014" s="350">
        <v>17527504.652963027</v>
      </c>
      <c r="AO1014" s="350">
        <v>17356447.424011774</v>
      </c>
      <c r="AP1014" s="350">
        <v>17137034.989542037</v>
      </c>
      <c r="AQ1014" s="350">
        <v>16840714.017078485</v>
      </c>
      <c r="AR1014" s="348">
        <v>86545275.718924969</v>
      </c>
      <c r="AS1014" s="369"/>
      <c r="AT1014" s="350">
        <f t="shared" si="411"/>
        <v>17066757.756031994</v>
      </c>
      <c r="AU1014" s="350">
        <f t="shared" si="394"/>
        <v>16912910.585392069</v>
      </c>
      <c r="AV1014" s="350">
        <f t="shared" si="395"/>
        <v>16744257.218346521</v>
      </c>
      <c r="AW1014" s="350">
        <f t="shared" si="396"/>
        <v>16527728.730817214</v>
      </c>
      <c r="AX1014" s="350">
        <f t="shared" si="397"/>
        <v>16235036.702645252</v>
      </c>
      <c r="AY1014" s="350">
        <f t="shared" si="398"/>
        <v>83486690.993233055</v>
      </c>
      <c r="AZ1014" s="365"/>
      <c r="BA1014" s="377">
        <f t="shared" si="399"/>
        <v>0</v>
      </c>
      <c r="BB1014" s="377">
        <f t="shared" si="400"/>
        <v>0</v>
      </c>
      <c r="BC1014" s="377">
        <f t="shared" si="401"/>
        <v>0</v>
      </c>
      <c r="BD1014" s="377">
        <f t="shared" si="402"/>
        <v>0</v>
      </c>
      <c r="BE1014" s="377">
        <f t="shared" si="403"/>
        <v>0</v>
      </c>
      <c r="BF1014" s="377">
        <f t="shared" si="404"/>
        <v>0</v>
      </c>
      <c r="BG1014" s="328"/>
    </row>
    <row r="1015" spans="1:59">
      <c r="B1015" s="332">
        <v>1000</v>
      </c>
      <c r="C1015" s="350">
        <v>8036710.1922966205</v>
      </c>
      <c r="D1015" s="350">
        <v>8007748.4465029025</v>
      </c>
      <c r="E1015" s="350">
        <v>7976427.7383205313</v>
      </c>
      <c r="F1015" s="350">
        <v>7938851.8441644274</v>
      </c>
      <c r="G1015" s="350">
        <v>7891569.134247805</v>
      </c>
      <c r="H1015" s="348">
        <v>39851307.355532289</v>
      </c>
      <c r="I1015" s="369"/>
      <c r="J1015" s="350">
        <v>32030071.662808057</v>
      </c>
      <c r="K1015" s="350">
        <v>31426345.530030798</v>
      </c>
      <c r="L1015" s="350">
        <v>30802028.771336891</v>
      </c>
      <c r="M1015" s="350">
        <v>30107050.764668807</v>
      </c>
      <c r="N1015" s="350">
        <v>29299201.334906783</v>
      </c>
      <c r="O1015" s="348">
        <v>153664698.06375134</v>
      </c>
      <c r="P1015" s="369"/>
      <c r="Q1015" s="350">
        <f t="shared" si="405"/>
        <v>23993361.470511436</v>
      </c>
      <c r="R1015" s="350">
        <f t="shared" si="406"/>
        <v>23418597.083527897</v>
      </c>
      <c r="S1015" s="350">
        <f t="shared" si="407"/>
        <v>22825601.033016361</v>
      </c>
      <c r="T1015" s="350">
        <f t="shared" si="408"/>
        <v>22168198.92050438</v>
      </c>
      <c r="U1015" s="350">
        <f t="shared" si="409"/>
        <v>21407632.200658977</v>
      </c>
      <c r="V1015" s="350">
        <f t="shared" si="410"/>
        <v>113813390.70821905</v>
      </c>
      <c r="W1015" s="365"/>
      <c r="X1015" s="377">
        <f t="shared" si="388"/>
        <v>0</v>
      </c>
      <c r="Y1015" s="377">
        <f t="shared" si="389"/>
        <v>0</v>
      </c>
      <c r="Z1015" s="377">
        <f t="shared" si="390"/>
        <v>0</v>
      </c>
      <c r="AA1015" s="377">
        <f t="shared" si="391"/>
        <v>0</v>
      </c>
      <c r="AB1015" s="377">
        <f t="shared" si="392"/>
        <v>0</v>
      </c>
      <c r="AC1015" s="377">
        <f t="shared" si="393"/>
        <v>0</v>
      </c>
      <c r="AD1015" s="376"/>
      <c r="AE1015" s="332">
        <v>1000</v>
      </c>
      <c r="AF1015" s="350">
        <v>610195.83353257843</v>
      </c>
      <c r="AG1015" s="350">
        <v>607996.88194762566</v>
      </c>
      <c r="AH1015" s="350">
        <v>605618.82361543772</v>
      </c>
      <c r="AI1015" s="350">
        <v>602765.83358510223</v>
      </c>
      <c r="AJ1015" s="350">
        <v>599175.84316627309</v>
      </c>
      <c r="AK1015" s="348">
        <v>3025753.2158470172</v>
      </c>
      <c r="AL1015" s="369"/>
      <c r="AM1015" s="350">
        <v>19419200.394711602</v>
      </c>
      <c r="AN1015" s="350">
        <v>19250928.318767972</v>
      </c>
      <c r="AO1015" s="350">
        <v>19066134.383112382</v>
      </c>
      <c r="AP1015" s="350">
        <v>18828074.959231105</v>
      </c>
      <c r="AQ1015" s="350">
        <v>18505301.945517134</v>
      </c>
      <c r="AR1015" s="348">
        <v>95069640.00134021</v>
      </c>
      <c r="AS1015" s="369"/>
      <c r="AT1015" s="350">
        <f t="shared" si="411"/>
        <v>18809004.561179023</v>
      </c>
      <c r="AU1015" s="350">
        <f t="shared" si="394"/>
        <v>18642931.436820347</v>
      </c>
      <c r="AV1015" s="350">
        <f t="shared" si="395"/>
        <v>18460515.559496943</v>
      </c>
      <c r="AW1015" s="350">
        <f t="shared" si="396"/>
        <v>18225309.125646003</v>
      </c>
      <c r="AX1015" s="350">
        <f t="shared" si="397"/>
        <v>17906126.102350861</v>
      </c>
      <c r="AY1015" s="350">
        <f t="shared" si="398"/>
        <v>92043886.785493195</v>
      </c>
      <c r="AZ1015" s="365"/>
      <c r="BA1015" s="377">
        <f t="shared" si="399"/>
        <v>0</v>
      </c>
      <c r="BB1015" s="377">
        <f t="shared" si="400"/>
        <v>0</v>
      </c>
      <c r="BC1015" s="377">
        <f t="shared" si="401"/>
        <v>0</v>
      </c>
      <c r="BD1015" s="377">
        <f t="shared" si="402"/>
        <v>0</v>
      </c>
      <c r="BE1015" s="377">
        <f t="shared" si="403"/>
        <v>0</v>
      </c>
      <c r="BF1015" s="377">
        <f t="shared" si="404"/>
        <v>0</v>
      </c>
      <c r="BG1015" s="328"/>
    </row>
    <row r="1016" spans="1:59" s="328" customFormat="1">
      <c r="A1016" s="327"/>
      <c r="C1016" s="330"/>
      <c r="D1016" s="330"/>
      <c r="E1016" s="330"/>
      <c r="F1016" s="330"/>
      <c r="G1016" s="330"/>
      <c r="H1016" s="330"/>
      <c r="J1016" s="330"/>
      <c r="K1016" s="330"/>
      <c r="L1016" s="330"/>
      <c r="M1016" s="330"/>
      <c r="N1016" s="330"/>
      <c r="O1016" s="330"/>
      <c r="AF1016" s="330"/>
      <c r="AG1016" s="330"/>
      <c r="AH1016" s="330"/>
      <c r="AI1016" s="330"/>
      <c r="AJ1016" s="330"/>
      <c r="AK1016" s="330"/>
      <c r="AM1016" s="330"/>
      <c r="AN1016" s="330"/>
      <c r="AO1016" s="330"/>
      <c r="AP1016" s="330"/>
      <c r="AQ1016" s="330"/>
      <c r="AR1016" s="330"/>
    </row>
    <row r="1017" spans="1:59" s="328" customFormat="1">
      <c r="A1017" s="327"/>
      <c r="C1017" s="330"/>
      <c r="D1017" s="330"/>
      <c r="E1017" s="330"/>
      <c r="F1017" s="330"/>
      <c r="G1017" s="330"/>
      <c r="H1017" s="330"/>
      <c r="J1017" s="330"/>
      <c r="K1017" s="330"/>
      <c r="L1017" s="330"/>
      <c r="M1017" s="330"/>
      <c r="N1017" s="330"/>
      <c r="O1017" s="330"/>
      <c r="AF1017" s="330"/>
      <c r="AG1017" s="330"/>
      <c r="AH1017" s="330"/>
      <c r="AI1017" s="330"/>
      <c r="AJ1017" s="330"/>
      <c r="AK1017" s="330"/>
      <c r="AM1017" s="330"/>
      <c r="AN1017" s="330"/>
      <c r="AO1017" s="330"/>
      <c r="AP1017" s="330"/>
      <c r="AQ1017" s="330"/>
      <c r="AR1017" s="330"/>
    </row>
    <row r="1018" spans="1:59" s="329" customFormat="1">
      <c r="A1018" s="353"/>
      <c r="B1018" s="354"/>
      <c r="C1018" s="355"/>
      <c r="D1018" s="355"/>
      <c r="E1018" s="355"/>
      <c r="F1018" s="355"/>
      <c r="G1018" s="355"/>
      <c r="H1018" s="355"/>
      <c r="I1018" s="355"/>
      <c r="J1018" s="355"/>
      <c r="K1018" s="355"/>
      <c r="L1018" s="355"/>
      <c r="M1018" s="355"/>
      <c r="N1018" s="355"/>
      <c r="O1018" s="355"/>
    </row>
    <row r="1019" spans="1:59" s="329" customFormat="1">
      <c r="A1019" s="353"/>
      <c r="B1019" s="180"/>
      <c r="C1019" s="7"/>
      <c r="D1019" s="7"/>
      <c r="E1019" s="7"/>
      <c r="F1019" s="7"/>
      <c r="G1019" s="7"/>
      <c r="H1019" s="7"/>
      <c r="I1019" s="7"/>
      <c r="J1019" s="7"/>
      <c r="K1019" s="7"/>
      <c r="L1019" s="7"/>
      <c r="M1019" s="356"/>
      <c r="N1019" s="356"/>
      <c r="O1019" s="7"/>
    </row>
    <row r="1020" spans="1:59" s="329" customFormat="1">
      <c r="A1020" s="353"/>
      <c r="B1020" s="180"/>
      <c r="C1020" s="65"/>
      <c r="D1020" s="65"/>
      <c r="E1020" s="65"/>
      <c r="F1020" s="65"/>
      <c r="G1020" s="65"/>
      <c r="H1020" s="65"/>
      <c r="I1020" s="65"/>
      <c r="J1020" s="65"/>
      <c r="K1020" s="65"/>
      <c r="L1020" s="65"/>
      <c r="M1020" s="65"/>
      <c r="N1020" s="65"/>
      <c r="O1020" s="180"/>
    </row>
    <row r="1021" spans="1:59" s="329" customFormat="1">
      <c r="A1021" s="353"/>
      <c r="B1021" s="180"/>
      <c r="C1021" s="494" t="s">
        <v>77</v>
      </c>
      <c r="D1021" s="494"/>
      <c r="E1021" s="494"/>
      <c r="F1021" s="494"/>
      <c r="G1021" s="494"/>
      <c r="H1021" s="494"/>
      <c r="I1021" s="494"/>
      <c r="J1021" s="494"/>
      <c r="K1021" s="494"/>
      <c r="L1021" s="494"/>
      <c r="M1021" s="494"/>
      <c r="N1021" s="494"/>
      <c r="O1021" s="180"/>
    </row>
    <row r="1022" spans="1:59" s="329" customFormat="1">
      <c r="A1022" s="353"/>
      <c r="B1022" s="180"/>
      <c r="C1022" s="494"/>
      <c r="D1022" s="494"/>
      <c r="E1022" s="494"/>
      <c r="F1022" s="494"/>
      <c r="G1022" s="494"/>
      <c r="H1022" s="494"/>
      <c r="I1022" s="494"/>
      <c r="J1022" s="494"/>
      <c r="K1022" s="494"/>
      <c r="L1022" s="494"/>
      <c r="M1022" s="494"/>
      <c r="N1022" s="494"/>
      <c r="O1022" s="180"/>
    </row>
    <row r="1023" spans="1:59" s="329" customFormat="1" ht="81" customHeight="1">
      <c r="A1023" s="353"/>
      <c r="B1023" s="355"/>
      <c r="C1023" s="495" t="e" vm="1">
        <v>#VALUE!</v>
      </c>
      <c r="D1023" s="495"/>
      <c r="E1023" s="495"/>
      <c r="F1023" s="495"/>
      <c r="G1023" s="495"/>
      <c r="H1023" s="495"/>
      <c r="I1023" s="495"/>
      <c r="J1023" s="495"/>
      <c r="K1023" s="495"/>
      <c r="L1023" s="495"/>
      <c r="M1023" s="495"/>
      <c r="N1023" s="495"/>
      <c r="O1023" s="355"/>
    </row>
    <row r="1024" spans="1:59" s="329" customFormat="1">
      <c r="A1024" s="353"/>
      <c r="B1024" s="354"/>
      <c r="C1024" s="355"/>
      <c r="D1024" s="355"/>
      <c r="E1024" s="355"/>
      <c r="F1024" s="355"/>
      <c r="G1024" s="355"/>
      <c r="H1024" s="355"/>
      <c r="I1024" s="355"/>
      <c r="J1024" s="355"/>
      <c r="K1024" s="355"/>
      <c r="L1024" s="355"/>
      <c r="M1024" s="355"/>
      <c r="N1024" s="355"/>
      <c r="O1024" s="355"/>
    </row>
    <row r="1025" spans="1:30" s="329" customFormat="1">
      <c r="A1025" s="353"/>
      <c r="B1025" s="354"/>
      <c r="C1025" s="355"/>
      <c r="D1025" s="355"/>
      <c r="E1025" s="355"/>
      <c r="F1025" s="355"/>
      <c r="G1025" s="355"/>
      <c r="H1025" s="355"/>
      <c r="I1025" s="355"/>
      <c r="J1025" s="355"/>
      <c r="K1025" s="355"/>
      <c r="L1025" s="355"/>
      <c r="M1025" s="355"/>
      <c r="N1025" s="355"/>
      <c r="O1025" s="355"/>
    </row>
    <row r="1026" spans="1:30" s="329" customFormat="1" hidden="1">
      <c r="A1026" s="353"/>
      <c r="B1026" s="354"/>
      <c r="C1026" s="355"/>
      <c r="D1026" s="355"/>
      <c r="E1026" s="355"/>
      <c r="F1026" s="355"/>
      <c r="G1026" s="355"/>
      <c r="H1026" s="355"/>
      <c r="I1026" s="355"/>
      <c r="J1026" s="355"/>
      <c r="K1026" s="355"/>
      <c r="L1026" s="355"/>
      <c r="M1026" s="355"/>
      <c r="N1026" s="355"/>
      <c r="O1026" s="355"/>
      <c r="AD1026" s="328"/>
    </row>
    <row r="1027" spans="1:30" s="329" customFormat="1" hidden="1">
      <c r="A1027" s="353"/>
      <c r="B1027" s="354"/>
      <c r="C1027" s="355"/>
      <c r="D1027" s="355"/>
      <c r="E1027" s="355"/>
      <c r="F1027" s="355"/>
      <c r="G1027" s="355"/>
      <c r="H1027" s="355"/>
      <c r="I1027" s="355"/>
      <c r="J1027" s="355"/>
      <c r="K1027" s="355"/>
      <c r="L1027" s="355"/>
      <c r="M1027" s="355"/>
      <c r="N1027" s="355"/>
      <c r="O1027" s="355"/>
      <c r="AD1027" s="328"/>
    </row>
    <row r="1028" spans="1:30" s="329" customFormat="1" hidden="1">
      <c r="A1028" s="353"/>
      <c r="C1028" s="331"/>
      <c r="D1028" s="331"/>
      <c r="E1028" s="331"/>
      <c r="F1028" s="331"/>
      <c r="G1028" s="331"/>
      <c r="H1028" s="331"/>
      <c r="J1028" s="331"/>
      <c r="K1028" s="331"/>
      <c r="L1028" s="331"/>
      <c r="M1028" s="331"/>
      <c r="N1028" s="331"/>
      <c r="O1028" s="331"/>
      <c r="AD1028" s="328"/>
    </row>
    <row r="1029" spans="1:30" s="329" customFormat="1" hidden="1">
      <c r="A1029" s="353"/>
      <c r="C1029" s="331"/>
      <c r="D1029" s="331"/>
      <c r="E1029" s="331"/>
      <c r="F1029" s="331"/>
      <c r="G1029" s="331"/>
      <c r="H1029" s="331"/>
      <c r="J1029" s="331"/>
      <c r="K1029" s="331"/>
      <c r="L1029" s="331"/>
      <c r="M1029" s="331"/>
      <c r="N1029" s="331"/>
      <c r="O1029" s="331"/>
      <c r="AD1029" s="328"/>
    </row>
  </sheetData>
  <mergeCells count="8">
    <mergeCell ref="C1021:N1022"/>
    <mergeCell ref="C1023:N1023"/>
    <mergeCell ref="AF3:AK3"/>
    <mergeCell ref="AM3:AR3"/>
    <mergeCell ref="AT3:AY3"/>
    <mergeCell ref="C3:H3"/>
    <mergeCell ref="J3:O3"/>
    <mergeCell ref="Q3:V3"/>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CD73C-6543-465E-B7EE-32F91E4B6F12}">
  <sheetPr codeName="Planilha2">
    <tabColor rgb="FFDDCFAD"/>
  </sheetPr>
  <dimension ref="B1:AX170"/>
  <sheetViews>
    <sheetView showGridLines="0" showRowColHeaders="0" zoomScaleNormal="100" workbookViewId="0">
      <selection activeCell="S18" sqref="S18"/>
    </sheetView>
  </sheetViews>
  <sheetFormatPr defaultColWidth="8.77734375" defaultRowHeight="14.4"/>
  <cols>
    <col min="2" max="2" width="15" customWidth="1"/>
    <col min="3" max="16" width="13.44140625" customWidth="1"/>
    <col min="18" max="18" width="15.33203125" customWidth="1"/>
    <col min="19" max="32" width="13.44140625" customWidth="1"/>
    <col min="36" max="36" width="11.77734375" customWidth="1"/>
    <col min="37" max="50" width="18.33203125" customWidth="1"/>
  </cols>
  <sheetData>
    <row r="1" spans="2:50" s="130" customFormat="1" ht="33.6">
      <c r="B1" s="128" t="str">
        <f>Introduction!$B$1</f>
        <v>Budget impact analysis of Intrauterine device levonorgestrel for treatment of Leiomioma presenting with heavy bleeding</v>
      </c>
      <c r="C1" s="128"/>
      <c r="D1" s="129"/>
      <c r="E1" s="127"/>
      <c r="F1" s="127"/>
      <c r="G1" s="127"/>
      <c r="H1" s="127"/>
      <c r="I1" s="127"/>
      <c r="J1" s="127"/>
      <c r="K1" s="127"/>
      <c r="L1" s="127"/>
      <c r="M1" s="217"/>
      <c r="N1" s="217"/>
      <c r="O1" s="127"/>
      <c r="P1" s="127"/>
      <c r="Q1" s="127"/>
      <c r="R1" s="127"/>
      <c r="S1" s="127"/>
      <c r="T1" s="127"/>
      <c r="U1" s="127"/>
      <c r="V1" s="127"/>
      <c r="W1" s="127"/>
      <c r="X1" s="127"/>
      <c r="Y1" s="127"/>
      <c r="Z1" s="127"/>
      <c r="AA1" s="127"/>
      <c r="AB1" s="127"/>
      <c r="AC1" s="127"/>
      <c r="AD1" s="127"/>
      <c r="AE1" s="127"/>
      <c r="AF1" s="127"/>
      <c r="AG1" s="127"/>
      <c r="AH1" s="127"/>
      <c r="AI1" s="127"/>
      <c r="AJ1" s="127"/>
      <c r="AK1" s="127"/>
      <c r="AL1" s="129"/>
      <c r="AM1" s="129"/>
      <c r="AN1" s="129"/>
      <c r="AO1" s="129"/>
      <c r="AP1" s="129"/>
      <c r="AQ1" s="127"/>
      <c r="AR1" s="127"/>
      <c r="AS1" s="129"/>
      <c r="AT1" s="129"/>
      <c r="AU1" s="129"/>
      <c r="AV1" s="129"/>
      <c r="AW1" s="129"/>
      <c r="AX1" s="129"/>
    </row>
    <row r="2" spans="2:50" s="130" customFormat="1" ht="18">
      <c r="B2" s="131"/>
      <c r="C2" s="131"/>
      <c r="D2" s="132"/>
      <c r="E2" s="133"/>
      <c r="F2" s="133"/>
      <c r="G2" s="133"/>
      <c r="H2" s="133"/>
      <c r="I2" s="133"/>
      <c r="J2" s="133"/>
      <c r="K2" s="133"/>
      <c r="L2" s="133"/>
      <c r="M2" s="217"/>
      <c r="N2" s="217"/>
      <c r="O2" s="127"/>
      <c r="P2" s="127"/>
      <c r="Q2" s="127"/>
      <c r="R2" s="127"/>
      <c r="S2" s="127"/>
      <c r="T2" s="127"/>
      <c r="U2" s="127"/>
      <c r="V2" s="127"/>
      <c r="W2" s="127"/>
      <c r="X2" s="127"/>
      <c r="Y2" s="127"/>
      <c r="Z2" s="127"/>
      <c r="AA2" s="127"/>
      <c r="AB2" s="127"/>
      <c r="AC2" s="127"/>
      <c r="AD2" s="127"/>
      <c r="AE2" s="127"/>
      <c r="AF2" s="127"/>
      <c r="AG2" s="127"/>
      <c r="AH2" s="127"/>
      <c r="AI2" s="127"/>
      <c r="AJ2" s="127"/>
      <c r="AK2" s="127"/>
      <c r="AL2" s="129"/>
      <c r="AM2" s="129"/>
      <c r="AN2" s="129"/>
      <c r="AO2" s="129"/>
      <c r="AP2" s="129"/>
      <c r="AQ2" s="127"/>
      <c r="AR2" s="127"/>
      <c r="AS2" s="129"/>
      <c r="AT2" s="129"/>
      <c r="AU2" s="129"/>
      <c r="AV2" s="129"/>
      <c r="AW2" s="129"/>
      <c r="AX2" s="129"/>
    </row>
    <row r="3" spans="2:50" s="134" customFormat="1" ht="2.25" customHeight="1">
      <c r="D3" s="135"/>
      <c r="M3" s="218"/>
      <c r="N3" s="218"/>
      <c r="AL3" s="135"/>
      <c r="AM3" s="135"/>
      <c r="AN3" s="135"/>
      <c r="AO3" s="135"/>
      <c r="AP3" s="135"/>
      <c r="AS3" s="135"/>
      <c r="AT3" s="135"/>
      <c r="AU3" s="135"/>
      <c r="AV3" s="135"/>
      <c r="AW3" s="135"/>
      <c r="AX3" s="135"/>
    </row>
    <row r="4" spans="2:50" s="3" customFormat="1">
      <c r="B4" s="9"/>
      <c r="C4" s="9"/>
      <c r="D4" s="9"/>
      <c r="E4" s="9"/>
      <c r="F4" s="9"/>
      <c r="G4" s="9"/>
      <c r="H4" s="9"/>
      <c r="I4" s="9"/>
      <c r="J4" s="9"/>
      <c r="K4" s="9"/>
      <c r="L4" s="9"/>
      <c r="M4" s="4"/>
      <c r="N4" s="4"/>
      <c r="O4" s="9"/>
      <c r="P4" s="9"/>
      <c r="Q4" s="9"/>
      <c r="R4" s="9"/>
      <c r="S4" s="9"/>
      <c r="T4" s="9"/>
      <c r="U4" s="9"/>
      <c r="V4" s="9"/>
      <c r="W4" s="9"/>
      <c r="X4" s="9"/>
      <c r="Y4" s="9"/>
      <c r="Z4" s="9"/>
      <c r="AA4" s="9"/>
      <c r="AB4" s="9"/>
      <c r="AC4" s="9"/>
      <c r="AD4" s="9"/>
      <c r="AE4" s="9"/>
      <c r="AF4" s="9"/>
      <c r="AG4" s="9"/>
      <c r="AH4" s="9"/>
      <c r="AI4" s="9"/>
      <c r="AJ4" s="9"/>
      <c r="AK4" s="9"/>
      <c r="AL4" s="11"/>
      <c r="AM4" s="11"/>
      <c r="AN4" s="11"/>
      <c r="AO4" s="11"/>
      <c r="AP4" s="11"/>
      <c r="AQ4" s="9"/>
      <c r="AR4" s="9"/>
      <c r="AS4" s="11"/>
      <c r="AT4" s="11"/>
      <c r="AU4" s="11"/>
      <c r="AV4" s="11"/>
      <c r="AW4" s="11"/>
      <c r="AX4" s="11"/>
    </row>
    <row r="5" spans="2:50" ht="15.6">
      <c r="B5" s="219" t="s">
        <v>266</v>
      </c>
      <c r="R5" s="219" t="s">
        <v>267</v>
      </c>
      <c r="AJ5" s="219" t="s">
        <v>273</v>
      </c>
    </row>
    <row r="6" spans="2:50" ht="15.6" hidden="1">
      <c r="B6" s="219"/>
      <c r="R6" s="219"/>
      <c r="AJ6" s="219"/>
    </row>
    <row r="7" spans="2:50" ht="15" customHeight="1">
      <c r="B7" s="499" t="s">
        <v>275</v>
      </c>
      <c r="C7" s="500"/>
      <c r="D7" s="500"/>
      <c r="E7" s="500"/>
      <c r="F7" s="500"/>
      <c r="G7" s="500"/>
      <c r="H7" s="500"/>
      <c r="I7" s="500"/>
      <c r="J7" s="500"/>
      <c r="K7" s="500"/>
      <c r="L7" s="500"/>
      <c r="M7" s="500"/>
      <c r="N7" s="500"/>
      <c r="O7" s="500"/>
      <c r="P7" s="501"/>
      <c r="R7" s="499" t="s">
        <v>274</v>
      </c>
      <c r="S7" s="500"/>
      <c r="T7" s="500"/>
      <c r="U7" s="500"/>
      <c r="V7" s="500"/>
      <c r="W7" s="500"/>
      <c r="X7" s="500"/>
      <c r="Y7" s="500"/>
      <c r="Z7" s="500"/>
      <c r="AA7" s="500"/>
      <c r="AB7" s="500"/>
      <c r="AC7" s="500"/>
      <c r="AD7" s="500"/>
      <c r="AE7" s="500"/>
      <c r="AF7" s="501"/>
      <c r="AJ7" s="499" t="s">
        <v>8</v>
      </c>
      <c r="AK7" s="500"/>
      <c r="AL7" s="500"/>
      <c r="AM7" s="500"/>
      <c r="AN7" s="500"/>
      <c r="AO7" s="500"/>
      <c r="AP7" s="500"/>
      <c r="AQ7" s="500"/>
      <c r="AR7" s="500"/>
      <c r="AS7" s="500"/>
      <c r="AT7" s="500"/>
      <c r="AU7" s="500"/>
      <c r="AV7" s="500"/>
      <c r="AW7" s="500"/>
      <c r="AX7" s="501"/>
    </row>
    <row r="8" spans="2:50" ht="16.5" customHeight="1">
      <c r="B8" s="498"/>
      <c r="C8" s="498" t="str">
        <f>IF(intervencao1=0,"Do not fill",intervencao1)</f>
        <v>Intrauterine device levonorgestrel</v>
      </c>
      <c r="D8" s="498" t="str">
        <f>IF(intervencao2=0,"Do not fill",intervencao2)</f>
        <v>Do not fill</v>
      </c>
      <c r="E8" s="498" t="str">
        <f>IF(intervencao3=0,"Do not fill",intervencao3)</f>
        <v>Do not fill</v>
      </c>
      <c r="F8" s="498" t="str">
        <f>IF(intervencao4=0,"Do not fill",intervencao4)</f>
        <v>Do not fill</v>
      </c>
      <c r="G8" s="498" t="str">
        <f>IF(comparador1=0,"Do not fill",comparador1)</f>
        <v>Oral contraceptive</v>
      </c>
      <c r="H8" s="498" t="str">
        <f>IF(comparador2=0,"Do not fill",comparador2)</f>
        <v>Do not fill</v>
      </c>
      <c r="I8" s="498" t="str">
        <f>IF(comparador3=0,"Do not fill",comparador3)</f>
        <v>Do not fill</v>
      </c>
      <c r="J8" s="498" t="str">
        <f>IF(comparador4=0,"Do not fill",comparador4)</f>
        <v>Do not fill</v>
      </c>
      <c r="K8" s="498" t="str">
        <f>IF(comparador5=0,"Do not fill",comparador5)</f>
        <v>Do not fill</v>
      </c>
      <c r="L8" s="498" t="str">
        <f>IF(comparador6=0,"Do not fill",comparador6)</f>
        <v>Do not fill</v>
      </c>
      <c r="M8" s="498" t="str">
        <f>IF(comparador7=0,"Do not fill",comparador7)</f>
        <v>Do not fill</v>
      </c>
      <c r="N8" s="498" t="str">
        <f>IF(comparador8=0,"Do not fill",comparador8)</f>
        <v>Do not fill</v>
      </c>
      <c r="O8" s="498" t="str">
        <f>IF(comparador9=0,"Do not fill",comparador9)</f>
        <v>Do not fill</v>
      </c>
      <c r="P8" s="498" t="str">
        <f>IF(comparador10=0,"Do not fill",comparador10)</f>
        <v>Do not fill</v>
      </c>
      <c r="R8" s="498"/>
      <c r="S8" s="498" t="str">
        <f>IF(intervencao1=0,"Do not fill",intervencao1)</f>
        <v>Intrauterine device levonorgestrel</v>
      </c>
      <c r="T8" s="498" t="str">
        <f>IF(intervencao2=0,"Do not fill",intervencao2)</f>
        <v>Do not fill</v>
      </c>
      <c r="U8" s="498" t="str">
        <f>IF(intervencao3=0,"Do not fill",intervencao3)</f>
        <v>Do not fill</v>
      </c>
      <c r="V8" s="498" t="str">
        <f>IF(intervencao4=0,"Do not fill",intervencao4)</f>
        <v>Do not fill</v>
      </c>
      <c r="W8" s="498" t="str">
        <f>IF(comparador1=0,"Do not fill",comparador1)</f>
        <v>Oral contraceptive</v>
      </c>
      <c r="X8" s="498" t="str">
        <f>IF(comparador2=0,"Do not fill",comparador2)</f>
        <v>Do not fill</v>
      </c>
      <c r="Y8" s="498" t="str">
        <f>IF(comparador3=0,"Do not fill",comparador3)</f>
        <v>Do not fill</v>
      </c>
      <c r="Z8" s="498" t="str">
        <f>IF(comparador4=0,"Do not fill",comparador4)</f>
        <v>Do not fill</v>
      </c>
      <c r="AA8" s="498" t="str">
        <f>IF(comparador5=0,"Do not fill",comparador5)</f>
        <v>Do not fill</v>
      </c>
      <c r="AB8" s="498" t="str">
        <f>IF(comparador6=0,"Do not fill",comparador6)</f>
        <v>Do not fill</v>
      </c>
      <c r="AC8" s="498" t="str">
        <f>IF(comparador7=0,"Do not fill",comparador7)</f>
        <v>Do not fill</v>
      </c>
      <c r="AD8" s="498" t="str">
        <f>IF(comparador8=0,"Do not fill",comparador8)</f>
        <v>Do not fill</v>
      </c>
      <c r="AE8" s="498" t="str">
        <f>IF(comparador9=0,"Do not fill",comparador9)</f>
        <v>Do not fill</v>
      </c>
      <c r="AF8" s="498" t="str">
        <f>IF(comparador10=0,"Do not fill",comparador10)</f>
        <v>Do not fill</v>
      </c>
      <c r="AJ8" s="220"/>
      <c r="AK8" s="221" t="str">
        <f>IF(intervencao1=0,"Do not fill",intervencao1)</f>
        <v>Intrauterine device levonorgestrel</v>
      </c>
      <c r="AL8" s="221" t="str">
        <f>IF(intervencao2=0,"Do not fill",intervencao2)</f>
        <v>Do not fill</v>
      </c>
      <c r="AM8" s="221" t="str">
        <f>IF(intervencao3=0,"Do not fill",intervencao3)</f>
        <v>Do not fill</v>
      </c>
      <c r="AN8" s="221" t="str">
        <f>IF(intervencao4=0,"Do not fill",intervencao4)</f>
        <v>Do not fill</v>
      </c>
      <c r="AO8" s="221" t="str">
        <f>IF(comparador1=0,"Do not fill",comparador1)</f>
        <v>Oral contraceptive</v>
      </c>
      <c r="AP8" s="221" t="str">
        <f>IF(comparador2=0,"Do not fill",comparador2)</f>
        <v>Do not fill</v>
      </c>
      <c r="AQ8" s="221" t="str">
        <f>IF(comparador3=0,"Do not fill",comparador3)</f>
        <v>Do not fill</v>
      </c>
      <c r="AR8" s="221" t="str">
        <f>IF(comparador4=0,"Do not fill",comparador4)</f>
        <v>Do not fill</v>
      </c>
      <c r="AS8" s="221" t="str">
        <f>IF(comparador5=0,"Do not fill",comparador5)</f>
        <v>Do not fill</v>
      </c>
      <c r="AT8" s="221" t="str">
        <f>IF(comparador6=0,"Do not fill",comparador6)</f>
        <v>Do not fill</v>
      </c>
      <c r="AU8" s="221" t="str">
        <f>IF(comparador7=0,"Do not fill",comparador7)</f>
        <v>Do not fill</v>
      </c>
      <c r="AV8" s="221" t="str">
        <f>IF(comparador8=0,"Do not fill",comparador8)</f>
        <v>Do not fill</v>
      </c>
      <c r="AW8" s="221" t="str">
        <f>IF(comparador9=0,"Do not fill",comparador9)</f>
        <v>Do not fill</v>
      </c>
      <c r="AX8" s="222" t="str">
        <f>IF(comparador10=0,"Do not fill",comparador10)</f>
        <v>Do not fill</v>
      </c>
    </row>
    <row r="9" spans="2:50">
      <c r="B9" s="468"/>
      <c r="C9" s="468"/>
      <c r="D9" s="468"/>
      <c r="E9" s="468"/>
      <c r="F9" s="468"/>
      <c r="G9" s="468"/>
      <c r="H9" s="468"/>
      <c r="I9" s="468"/>
      <c r="J9" s="468"/>
      <c r="K9" s="468"/>
      <c r="L9" s="468"/>
      <c r="M9" s="468"/>
      <c r="N9" s="468"/>
      <c r="O9" s="468"/>
      <c r="P9" s="468"/>
      <c r="R9" s="468"/>
      <c r="S9" s="468"/>
      <c r="T9" s="468"/>
      <c r="U9" s="468"/>
      <c r="V9" s="468"/>
      <c r="W9" s="468"/>
      <c r="X9" s="468"/>
      <c r="Y9" s="468"/>
      <c r="Z9" s="468"/>
      <c r="AA9" s="468"/>
      <c r="AB9" s="468"/>
      <c r="AC9" s="468"/>
      <c r="AD9" s="468"/>
      <c r="AE9" s="468"/>
      <c r="AF9" s="468"/>
      <c r="AJ9" s="220" t="s">
        <v>9</v>
      </c>
      <c r="AK9" s="223" t="e">
        <f>LN(2)/'Time on treatment'!$D$65</f>
        <v>#DIV/0!</v>
      </c>
      <c r="AL9" s="223" t="e">
        <f>LN(2)/'Time on treatment'!$D$66</f>
        <v>#DIV/0!</v>
      </c>
      <c r="AM9" s="223" t="e">
        <f>LN(2)/'Time on treatment'!$D$67</f>
        <v>#DIV/0!</v>
      </c>
      <c r="AN9" s="223" t="e">
        <f>LN(2)/'Time on treatment'!$D$68</f>
        <v>#DIV/0!</v>
      </c>
      <c r="AO9" s="223" t="e">
        <f>LN(2)/'Time on treatment'!$D$70</f>
        <v>#DIV/0!</v>
      </c>
      <c r="AP9" s="223" t="e">
        <f>LN(2)/'Time on treatment'!$D$71</f>
        <v>#DIV/0!</v>
      </c>
      <c r="AQ9" s="223" t="e">
        <f>LN(2)/'Time on treatment'!$D$72</f>
        <v>#DIV/0!</v>
      </c>
      <c r="AR9" s="223" t="e">
        <f>LN(2)/'Time on treatment'!$D$73</f>
        <v>#DIV/0!</v>
      </c>
      <c r="AS9" s="223" t="e">
        <f>LN(2)/'Time on treatment'!$D$74</f>
        <v>#DIV/0!</v>
      </c>
      <c r="AT9" s="223" t="e">
        <f>LN(2)/'Time on treatment'!$D$75</f>
        <v>#DIV/0!</v>
      </c>
      <c r="AU9" s="223" t="e">
        <f>LN(2)/'Time on treatment'!$D$75</f>
        <v>#DIV/0!</v>
      </c>
      <c r="AV9" s="223" t="e">
        <f>LN(2)/'Time on treatment'!$D$76</f>
        <v>#DIV/0!</v>
      </c>
      <c r="AW9" s="223" t="e">
        <f>LN(2)/'Time on treatment'!$D$78</f>
        <v>#DIV/0!</v>
      </c>
      <c r="AX9" s="223" t="e">
        <f>LN(2)/'Time on treatment'!$D$79</f>
        <v>#DIV/0!</v>
      </c>
    </row>
    <row r="10" spans="2:50">
      <c r="B10" s="224">
        <v>0</v>
      </c>
      <c r="C10" s="68"/>
      <c r="D10" s="68"/>
      <c r="E10" s="68"/>
      <c r="F10" s="68"/>
      <c r="G10" s="68"/>
      <c r="H10" s="68"/>
      <c r="I10" s="68"/>
      <c r="J10" s="68"/>
      <c r="K10" s="68"/>
      <c r="L10" s="68"/>
      <c r="M10" s="68"/>
      <c r="N10" s="68"/>
      <c r="O10" s="68"/>
      <c r="P10" s="69"/>
      <c r="R10" s="224">
        <v>0</v>
      </c>
      <c r="S10" s="68"/>
      <c r="T10" s="68"/>
      <c r="U10" s="68"/>
      <c r="V10" s="68"/>
      <c r="W10" s="68"/>
      <c r="X10" s="68"/>
      <c r="Y10" s="68"/>
      <c r="Z10" s="68"/>
      <c r="AA10" s="68"/>
      <c r="AB10" s="68"/>
      <c r="AC10" s="68"/>
      <c r="AD10" s="68"/>
      <c r="AE10" s="68"/>
      <c r="AF10" s="69"/>
      <c r="AJ10" s="224">
        <v>0</v>
      </c>
      <c r="AK10" s="225" t="e">
        <f t="shared" ref="AK10:AX19" si="0">EXP(-AK$9*$AJ10)</f>
        <v>#DIV/0!</v>
      </c>
      <c r="AL10" s="225" t="e">
        <f t="shared" si="0"/>
        <v>#DIV/0!</v>
      </c>
      <c r="AM10" s="225" t="e">
        <f t="shared" si="0"/>
        <v>#DIV/0!</v>
      </c>
      <c r="AN10" s="225" t="e">
        <f t="shared" si="0"/>
        <v>#DIV/0!</v>
      </c>
      <c r="AO10" s="225" t="e">
        <f t="shared" si="0"/>
        <v>#DIV/0!</v>
      </c>
      <c r="AP10" s="225" t="e">
        <f t="shared" si="0"/>
        <v>#DIV/0!</v>
      </c>
      <c r="AQ10" s="225" t="e">
        <f t="shared" si="0"/>
        <v>#DIV/0!</v>
      </c>
      <c r="AR10" s="225" t="e">
        <f t="shared" si="0"/>
        <v>#DIV/0!</v>
      </c>
      <c r="AS10" s="225" t="e">
        <f t="shared" si="0"/>
        <v>#DIV/0!</v>
      </c>
      <c r="AT10" s="225" t="e">
        <f t="shared" si="0"/>
        <v>#DIV/0!</v>
      </c>
      <c r="AU10" s="225" t="e">
        <f t="shared" si="0"/>
        <v>#DIV/0!</v>
      </c>
      <c r="AV10" s="225" t="e">
        <f t="shared" si="0"/>
        <v>#DIV/0!</v>
      </c>
      <c r="AW10" s="225" t="e">
        <f t="shared" si="0"/>
        <v>#DIV/0!</v>
      </c>
      <c r="AX10" s="226" t="e">
        <f t="shared" si="0"/>
        <v>#DIV/0!</v>
      </c>
    </row>
    <row r="11" spans="2:50">
      <c r="B11" s="220">
        <v>1</v>
      </c>
      <c r="C11" s="61"/>
      <c r="D11" s="61"/>
      <c r="E11" s="61"/>
      <c r="F11" s="61"/>
      <c r="G11" s="61"/>
      <c r="H11" s="61"/>
      <c r="I11" s="61"/>
      <c r="J11" s="61"/>
      <c r="K11" s="61"/>
      <c r="L11" s="61"/>
      <c r="M11" s="61"/>
      <c r="N11" s="61"/>
      <c r="O11" s="61"/>
      <c r="P11" s="70"/>
      <c r="R11" s="220">
        <v>1</v>
      </c>
      <c r="S11" s="61"/>
      <c r="T11" s="61"/>
      <c r="U11" s="61"/>
      <c r="V11" s="61"/>
      <c r="W11" s="61"/>
      <c r="X11" s="61"/>
      <c r="Y11" s="61"/>
      <c r="Z11" s="61"/>
      <c r="AA11" s="61"/>
      <c r="AB11" s="61"/>
      <c r="AC11" s="61"/>
      <c r="AD11" s="61"/>
      <c r="AE11" s="61"/>
      <c r="AF11" s="70"/>
      <c r="AJ11" s="220">
        <v>1</v>
      </c>
      <c r="AK11" s="227" t="e">
        <f t="shared" si="0"/>
        <v>#DIV/0!</v>
      </c>
      <c r="AL11" s="227" t="e">
        <f t="shared" si="0"/>
        <v>#DIV/0!</v>
      </c>
      <c r="AM11" s="227" t="e">
        <f t="shared" si="0"/>
        <v>#DIV/0!</v>
      </c>
      <c r="AN11" s="227" t="e">
        <f t="shared" si="0"/>
        <v>#DIV/0!</v>
      </c>
      <c r="AO11" s="227" t="e">
        <f t="shared" si="0"/>
        <v>#DIV/0!</v>
      </c>
      <c r="AP11" s="227" t="e">
        <f t="shared" si="0"/>
        <v>#DIV/0!</v>
      </c>
      <c r="AQ11" s="227" t="e">
        <f t="shared" si="0"/>
        <v>#DIV/0!</v>
      </c>
      <c r="AR11" s="227" t="e">
        <f t="shared" si="0"/>
        <v>#DIV/0!</v>
      </c>
      <c r="AS11" s="227" t="e">
        <f t="shared" si="0"/>
        <v>#DIV/0!</v>
      </c>
      <c r="AT11" s="227" t="e">
        <f t="shared" si="0"/>
        <v>#DIV/0!</v>
      </c>
      <c r="AU11" s="227" t="e">
        <f t="shared" si="0"/>
        <v>#DIV/0!</v>
      </c>
      <c r="AV11" s="227" t="e">
        <f t="shared" si="0"/>
        <v>#DIV/0!</v>
      </c>
      <c r="AW11" s="227" t="e">
        <f t="shared" si="0"/>
        <v>#DIV/0!</v>
      </c>
      <c r="AX11" s="228" t="e">
        <f t="shared" si="0"/>
        <v>#DIV/0!</v>
      </c>
    </row>
    <row r="12" spans="2:50">
      <c r="B12" s="220">
        <v>2</v>
      </c>
      <c r="C12" s="61"/>
      <c r="D12" s="61"/>
      <c r="E12" s="61"/>
      <c r="F12" s="61"/>
      <c r="G12" s="61"/>
      <c r="H12" s="61"/>
      <c r="I12" s="61"/>
      <c r="J12" s="61"/>
      <c r="K12" s="61"/>
      <c r="L12" s="61"/>
      <c r="M12" s="61"/>
      <c r="N12" s="61"/>
      <c r="O12" s="61"/>
      <c r="P12" s="70"/>
      <c r="R12" s="220">
        <v>2</v>
      </c>
      <c r="S12" s="61"/>
      <c r="T12" s="61"/>
      <c r="U12" s="61"/>
      <c r="V12" s="61"/>
      <c r="W12" s="61"/>
      <c r="X12" s="61"/>
      <c r="Y12" s="61"/>
      <c r="Z12" s="61"/>
      <c r="AA12" s="61"/>
      <c r="AB12" s="61"/>
      <c r="AC12" s="61"/>
      <c r="AD12" s="61"/>
      <c r="AE12" s="61"/>
      <c r="AF12" s="70"/>
      <c r="AJ12" s="220">
        <v>2</v>
      </c>
      <c r="AK12" s="227" t="e">
        <f t="shared" si="0"/>
        <v>#DIV/0!</v>
      </c>
      <c r="AL12" s="227" t="e">
        <f t="shared" si="0"/>
        <v>#DIV/0!</v>
      </c>
      <c r="AM12" s="227" t="e">
        <f t="shared" si="0"/>
        <v>#DIV/0!</v>
      </c>
      <c r="AN12" s="227" t="e">
        <f t="shared" si="0"/>
        <v>#DIV/0!</v>
      </c>
      <c r="AO12" s="227" t="e">
        <f t="shared" si="0"/>
        <v>#DIV/0!</v>
      </c>
      <c r="AP12" s="227" t="e">
        <f t="shared" si="0"/>
        <v>#DIV/0!</v>
      </c>
      <c r="AQ12" s="227" t="e">
        <f t="shared" si="0"/>
        <v>#DIV/0!</v>
      </c>
      <c r="AR12" s="227" t="e">
        <f t="shared" si="0"/>
        <v>#DIV/0!</v>
      </c>
      <c r="AS12" s="227" t="e">
        <f t="shared" si="0"/>
        <v>#DIV/0!</v>
      </c>
      <c r="AT12" s="227" t="e">
        <f t="shared" si="0"/>
        <v>#DIV/0!</v>
      </c>
      <c r="AU12" s="227" t="e">
        <f t="shared" si="0"/>
        <v>#DIV/0!</v>
      </c>
      <c r="AV12" s="227" t="e">
        <f t="shared" si="0"/>
        <v>#DIV/0!</v>
      </c>
      <c r="AW12" s="227" t="e">
        <f t="shared" si="0"/>
        <v>#DIV/0!</v>
      </c>
      <c r="AX12" s="228" t="e">
        <f t="shared" si="0"/>
        <v>#DIV/0!</v>
      </c>
    </row>
    <row r="13" spans="2:50">
      <c r="B13" s="220">
        <v>3</v>
      </c>
      <c r="C13" s="61"/>
      <c r="D13" s="61"/>
      <c r="E13" s="61"/>
      <c r="F13" s="61"/>
      <c r="G13" s="61"/>
      <c r="H13" s="61"/>
      <c r="I13" s="61"/>
      <c r="J13" s="61"/>
      <c r="K13" s="61"/>
      <c r="L13" s="61"/>
      <c r="M13" s="61"/>
      <c r="N13" s="61"/>
      <c r="O13" s="61"/>
      <c r="P13" s="70"/>
      <c r="R13" s="220">
        <v>3</v>
      </c>
      <c r="S13" s="61"/>
      <c r="T13" s="61"/>
      <c r="U13" s="61"/>
      <c r="V13" s="61"/>
      <c r="W13" s="61"/>
      <c r="X13" s="61"/>
      <c r="Y13" s="61"/>
      <c r="Z13" s="61"/>
      <c r="AA13" s="61"/>
      <c r="AB13" s="61"/>
      <c r="AC13" s="61"/>
      <c r="AD13" s="61"/>
      <c r="AE13" s="61"/>
      <c r="AF13" s="70"/>
      <c r="AJ13" s="220">
        <v>3</v>
      </c>
      <c r="AK13" s="227" t="e">
        <f t="shared" si="0"/>
        <v>#DIV/0!</v>
      </c>
      <c r="AL13" s="227" t="e">
        <f t="shared" si="0"/>
        <v>#DIV/0!</v>
      </c>
      <c r="AM13" s="227" t="e">
        <f t="shared" si="0"/>
        <v>#DIV/0!</v>
      </c>
      <c r="AN13" s="227" t="e">
        <f t="shared" si="0"/>
        <v>#DIV/0!</v>
      </c>
      <c r="AO13" s="227" t="e">
        <f t="shared" si="0"/>
        <v>#DIV/0!</v>
      </c>
      <c r="AP13" s="227" t="e">
        <f t="shared" si="0"/>
        <v>#DIV/0!</v>
      </c>
      <c r="AQ13" s="227" t="e">
        <f t="shared" si="0"/>
        <v>#DIV/0!</v>
      </c>
      <c r="AR13" s="227" t="e">
        <f t="shared" si="0"/>
        <v>#DIV/0!</v>
      </c>
      <c r="AS13" s="227" t="e">
        <f t="shared" si="0"/>
        <v>#DIV/0!</v>
      </c>
      <c r="AT13" s="227" t="e">
        <f t="shared" si="0"/>
        <v>#DIV/0!</v>
      </c>
      <c r="AU13" s="227" t="e">
        <f t="shared" si="0"/>
        <v>#DIV/0!</v>
      </c>
      <c r="AV13" s="227" t="e">
        <f t="shared" si="0"/>
        <v>#DIV/0!</v>
      </c>
      <c r="AW13" s="227" t="e">
        <f t="shared" si="0"/>
        <v>#DIV/0!</v>
      </c>
      <c r="AX13" s="228" t="e">
        <f t="shared" si="0"/>
        <v>#DIV/0!</v>
      </c>
    </row>
    <row r="14" spans="2:50">
      <c r="B14" s="220">
        <v>4</v>
      </c>
      <c r="C14" s="61"/>
      <c r="D14" s="61"/>
      <c r="E14" s="61"/>
      <c r="F14" s="61"/>
      <c r="G14" s="61"/>
      <c r="H14" s="61"/>
      <c r="I14" s="61"/>
      <c r="J14" s="61"/>
      <c r="K14" s="61"/>
      <c r="L14" s="61"/>
      <c r="M14" s="61"/>
      <c r="N14" s="61"/>
      <c r="O14" s="61"/>
      <c r="P14" s="70"/>
      <c r="R14" s="220">
        <v>4</v>
      </c>
      <c r="S14" s="61"/>
      <c r="T14" s="61"/>
      <c r="U14" s="61"/>
      <c r="V14" s="61"/>
      <c r="W14" s="61"/>
      <c r="X14" s="61"/>
      <c r="Y14" s="61"/>
      <c r="Z14" s="61"/>
      <c r="AA14" s="61"/>
      <c r="AB14" s="61"/>
      <c r="AC14" s="61"/>
      <c r="AD14" s="61"/>
      <c r="AE14" s="61"/>
      <c r="AF14" s="70"/>
      <c r="AJ14" s="220">
        <v>4</v>
      </c>
      <c r="AK14" s="227" t="e">
        <f t="shared" si="0"/>
        <v>#DIV/0!</v>
      </c>
      <c r="AL14" s="227" t="e">
        <f t="shared" si="0"/>
        <v>#DIV/0!</v>
      </c>
      <c r="AM14" s="227" t="e">
        <f t="shared" si="0"/>
        <v>#DIV/0!</v>
      </c>
      <c r="AN14" s="227" t="e">
        <f t="shared" si="0"/>
        <v>#DIV/0!</v>
      </c>
      <c r="AO14" s="227" t="e">
        <f t="shared" si="0"/>
        <v>#DIV/0!</v>
      </c>
      <c r="AP14" s="227" t="e">
        <f t="shared" si="0"/>
        <v>#DIV/0!</v>
      </c>
      <c r="AQ14" s="227" t="e">
        <f t="shared" si="0"/>
        <v>#DIV/0!</v>
      </c>
      <c r="AR14" s="227" t="e">
        <f t="shared" si="0"/>
        <v>#DIV/0!</v>
      </c>
      <c r="AS14" s="227" t="e">
        <f t="shared" si="0"/>
        <v>#DIV/0!</v>
      </c>
      <c r="AT14" s="227" t="e">
        <f t="shared" si="0"/>
        <v>#DIV/0!</v>
      </c>
      <c r="AU14" s="227" t="e">
        <f t="shared" si="0"/>
        <v>#DIV/0!</v>
      </c>
      <c r="AV14" s="227" t="e">
        <f t="shared" si="0"/>
        <v>#DIV/0!</v>
      </c>
      <c r="AW14" s="227" t="e">
        <f t="shared" si="0"/>
        <v>#DIV/0!</v>
      </c>
      <c r="AX14" s="228" t="e">
        <f t="shared" si="0"/>
        <v>#DIV/0!</v>
      </c>
    </row>
    <row r="15" spans="2:50">
      <c r="B15" s="220">
        <v>5</v>
      </c>
      <c r="C15" s="61"/>
      <c r="D15" s="61"/>
      <c r="E15" s="61"/>
      <c r="F15" s="61"/>
      <c r="G15" s="61"/>
      <c r="H15" s="61"/>
      <c r="I15" s="61"/>
      <c r="J15" s="61"/>
      <c r="K15" s="61"/>
      <c r="L15" s="61"/>
      <c r="M15" s="61"/>
      <c r="N15" s="61"/>
      <c r="O15" s="61"/>
      <c r="P15" s="70"/>
      <c r="R15" s="220">
        <v>5</v>
      </c>
      <c r="S15" s="61"/>
      <c r="T15" s="61"/>
      <c r="U15" s="61"/>
      <c r="V15" s="61"/>
      <c r="W15" s="61"/>
      <c r="X15" s="61"/>
      <c r="Y15" s="61"/>
      <c r="Z15" s="61"/>
      <c r="AA15" s="61"/>
      <c r="AB15" s="61"/>
      <c r="AC15" s="61"/>
      <c r="AD15" s="61"/>
      <c r="AE15" s="61"/>
      <c r="AF15" s="70"/>
      <c r="AJ15" s="220">
        <v>5</v>
      </c>
      <c r="AK15" s="227" t="e">
        <f t="shared" si="0"/>
        <v>#DIV/0!</v>
      </c>
      <c r="AL15" s="227" t="e">
        <f t="shared" si="0"/>
        <v>#DIV/0!</v>
      </c>
      <c r="AM15" s="227" t="e">
        <f t="shared" si="0"/>
        <v>#DIV/0!</v>
      </c>
      <c r="AN15" s="227" t="e">
        <f t="shared" si="0"/>
        <v>#DIV/0!</v>
      </c>
      <c r="AO15" s="227" t="e">
        <f t="shared" si="0"/>
        <v>#DIV/0!</v>
      </c>
      <c r="AP15" s="227" t="e">
        <f t="shared" si="0"/>
        <v>#DIV/0!</v>
      </c>
      <c r="AQ15" s="227" t="e">
        <f t="shared" si="0"/>
        <v>#DIV/0!</v>
      </c>
      <c r="AR15" s="227" t="e">
        <f t="shared" si="0"/>
        <v>#DIV/0!</v>
      </c>
      <c r="AS15" s="227" t="e">
        <f t="shared" si="0"/>
        <v>#DIV/0!</v>
      </c>
      <c r="AT15" s="227" t="e">
        <f t="shared" si="0"/>
        <v>#DIV/0!</v>
      </c>
      <c r="AU15" s="227" t="e">
        <f t="shared" si="0"/>
        <v>#DIV/0!</v>
      </c>
      <c r="AV15" s="227" t="e">
        <f t="shared" si="0"/>
        <v>#DIV/0!</v>
      </c>
      <c r="AW15" s="227" t="e">
        <f t="shared" si="0"/>
        <v>#DIV/0!</v>
      </c>
      <c r="AX15" s="228" t="e">
        <f t="shared" si="0"/>
        <v>#DIV/0!</v>
      </c>
    </row>
    <row r="16" spans="2:50">
      <c r="B16" s="220">
        <v>6</v>
      </c>
      <c r="C16" s="61"/>
      <c r="D16" s="61"/>
      <c r="E16" s="61"/>
      <c r="F16" s="61"/>
      <c r="G16" s="61"/>
      <c r="H16" s="61"/>
      <c r="I16" s="61"/>
      <c r="J16" s="61"/>
      <c r="K16" s="61"/>
      <c r="L16" s="61"/>
      <c r="M16" s="61"/>
      <c r="N16" s="61"/>
      <c r="O16" s="61"/>
      <c r="P16" s="70"/>
      <c r="R16" s="220">
        <v>6</v>
      </c>
      <c r="S16" s="61"/>
      <c r="T16" s="61"/>
      <c r="U16" s="61"/>
      <c r="V16" s="61"/>
      <c r="W16" s="61"/>
      <c r="X16" s="61"/>
      <c r="Y16" s="61"/>
      <c r="Z16" s="61"/>
      <c r="AA16" s="61"/>
      <c r="AB16" s="61"/>
      <c r="AC16" s="61"/>
      <c r="AD16" s="61"/>
      <c r="AE16" s="61"/>
      <c r="AF16" s="70"/>
      <c r="AJ16" s="220">
        <v>6</v>
      </c>
      <c r="AK16" s="227" t="e">
        <f t="shared" si="0"/>
        <v>#DIV/0!</v>
      </c>
      <c r="AL16" s="227" t="e">
        <f t="shared" si="0"/>
        <v>#DIV/0!</v>
      </c>
      <c r="AM16" s="227" t="e">
        <f t="shared" si="0"/>
        <v>#DIV/0!</v>
      </c>
      <c r="AN16" s="227" t="e">
        <f t="shared" si="0"/>
        <v>#DIV/0!</v>
      </c>
      <c r="AO16" s="227" t="e">
        <f t="shared" si="0"/>
        <v>#DIV/0!</v>
      </c>
      <c r="AP16" s="227" t="e">
        <f t="shared" si="0"/>
        <v>#DIV/0!</v>
      </c>
      <c r="AQ16" s="227" t="e">
        <f t="shared" si="0"/>
        <v>#DIV/0!</v>
      </c>
      <c r="AR16" s="227" t="e">
        <f t="shared" si="0"/>
        <v>#DIV/0!</v>
      </c>
      <c r="AS16" s="227" t="e">
        <f t="shared" si="0"/>
        <v>#DIV/0!</v>
      </c>
      <c r="AT16" s="227" t="e">
        <f t="shared" si="0"/>
        <v>#DIV/0!</v>
      </c>
      <c r="AU16" s="227" t="e">
        <f t="shared" si="0"/>
        <v>#DIV/0!</v>
      </c>
      <c r="AV16" s="227" t="e">
        <f t="shared" si="0"/>
        <v>#DIV/0!</v>
      </c>
      <c r="AW16" s="227" t="e">
        <f t="shared" si="0"/>
        <v>#DIV/0!</v>
      </c>
      <c r="AX16" s="228" t="e">
        <f t="shared" si="0"/>
        <v>#DIV/0!</v>
      </c>
    </row>
    <row r="17" spans="2:50">
      <c r="B17" s="220">
        <v>7</v>
      </c>
      <c r="C17" s="61"/>
      <c r="D17" s="61"/>
      <c r="E17" s="61"/>
      <c r="F17" s="61"/>
      <c r="G17" s="61"/>
      <c r="H17" s="61"/>
      <c r="I17" s="61"/>
      <c r="J17" s="61"/>
      <c r="K17" s="61"/>
      <c r="L17" s="61"/>
      <c r="M17" s="61"/>
      <c r="N17" s="61"/>
      <c r="O17" s="61"/>
      <c r="P17" s="70"/>
      <c r="R17" s="220">
        <v>7</v>
      </c>
      <c r="S17" s="61"/>
      <c r="T17" s="61"/>
      <c r="U17" s="61"/>
      <c r="V17" s="61"/>
      <c r="W17" s="61"/>
      <c r="X17" s="61"/>
      <c r="Y17" s="61"/>
      <c r="Z17" s="61"/>
      <c r="AA17" s="61"/>
      <c r="AB17" s="61"/>
      <c r="AC17" s="61"/>
      <c r="AD17" s="61"/>
      <c r="AE17" s="61"/>
      <c r="AF17" s="70"/>
      <c r="AJ17" s="220">
        <v>7</v>
      </c>
      <c r="AK17" s="227" t="e">
        <f t="shared" si="0"/>
        <v>#DIV/0!</v>
      </c>
      <c r="AL17" s="227" t="e">
        <f t="shared" si="0"/>
        <v>#DIV/0!</v>
      </c>
      <c r="AM17" s="227" t="e">
        <f t="shared" si="0"/>
        <v>#DIV/0!</v>
      </c>
      <c r="AN17" s="227" t="e">
        <f t="shared" si="0"/>
        <v>#DIV/0!</v>
      </c>
      <c r="AO17" s="227" t="e">
        <f t="shared" si="0"/>
        <v>#DIV/0!</v>
      </c>
      <c r="AP17" s="227" t="e">
        <f t="shared" si="0"/>
        <v>#DIV/0!</v>
      </c>
      <c r="AQ17" s="227" t="e">
        <f t="shared" si="0"/>
        <v>#DIV/0!</v>
      </c>
      <c r="AR17" s="227" t="e">
        <f t="shared" si="0"/>
        <v>#DIV/0!</v>
      </c>
      <c r="AS17" s="227" t="e">
        <f t="shared" si="0"/>
        <v>#DIV/0!</v>
      </c>
      <c r="AT17" s="227" t="e">
        <f t="shared" si="0"/>
        <v>#DIV/0!</v>
      </c>
      <c r="AU17" s="227" t="e">
        <f t="shared" si="0"/>
        <v>#DIV/0!</v>
      </c>
      <c r="AV17" s="227" t="e">
        <f t="shared" si="0"/>
        <v>#DIV/0!</v>
      </c>
      <c r="AW17" s="227" t="e">
        <f t="shared" si="0"/>
        <v>#DIV/0!</v>
      </c>
      <c r="AX17" s="228" t="e">
        <f t="shared" si="0"/>
        <v>#DIV/0!</v>
      </c>
    </row>
    <row r="18" spans="2:50">
      <c r="B18" s="220">
        <v>8</v>
      </c>
      <c r="C18" s="61"/>
      <c r="D18" s="61"/>
      <c r="E18" s="61"/>
      <c r="F18" s="61"/>
      <c r="G18" s="61"/>
      <c r="H18" s="61"/>
      <c r="I18" s="61"/>
      <c r="J18" s="61"/>
      <c r="K18" s="61"/>
      <c r="L18" s="61"/>
      <c r="M18" s="61"/>
      <c r="N18" s="61"/>
      <c r="O18" s="61"/>
      <c r="P18" s="70"/>
      <c r="R18" s="220">
        <v>8</v>
      </c>
      <c r="S18" s="61"/>
      <c r="T18" s="61"/>
      <c r="U18" s="61"/>
      <c r="V18" s="61"/>
      <c r="W18" s="61"/>
      <c r="X18" s="61"/>
      <c r="Y18" s="61"/>
      <c r="Z18" s="61"/>
      <c r="AA18" s="61"/>
      <c r="AB18" s="61"/>
      <c r="AC18" s="61"/>
      <c r="AD18" s="61"/>
      <c r="AE18" s="61"/>
      <c r="AF18" s="70"/>
      <c r="AJ18" s="220">
        <v>8</v>
      </c>
      <c r="AK18" s="227" t="e">
        <f t="shared" si="0"/>
        <v>#DIV/0!</v>
      </c>
      <c r="AL18" s="227" t="e">
        <f t="shared" si="0"/>
        <v>#DIV/0!</v>
      </c>
      <c r="AM18" s="227" t="e">
        <f t="shared" si="0"/>
        <v>#DIV/0!</v>
      </c>
      <c r="AN18" s="227" t="e">
        <f t="shared" si="0"/>
        <v>#DIV/0!</v>
      </c>
      <c r="AO18" s="227" t="e">
        <f t="shared" si="0"/>
        <v>#DIV/0!</v>
      </c>
      <c r="AP18" s="227" t="e">
        <f t="shared" si="0"/>
        <v>#DIV/0!</v>
      </c>
      <c r="AQ18" s="227" t="e">
        <f t="shared" si="0"/>
        <v>#DIV/0!</v>
      </c>
      <c r="AR18" s="227" t="e">
        <f t="shared" si="0"/>
        <v>#DIV/0!</v>
      </c>
      <c r="AS18" s="227" t="e">
        <f t="shared" si="0"/>
        <v>#DIV/0!</v>
      </c>
      <c r="AT18" s="227" t="e">
        <f t="shared" si="0"/>
        <v>#DIV/0!</v>
      </c>
      <c r="AU18" s="227" t="e">
        <f t="shared" si="0"/>
        <v>#DIV/0!</v>
      </c>
      <c r="AV18" s="227" t="e">
        <f t="shared" si="0"/>
        <v>#DIV/0!</v>
      </c>
      <c r="AW18" s="227" t="e">
        <f t="shared" si="0"/>
        <v>#DIV/0!</v>
      </c>
      <c r="AX18" s="228" t="e">
        <f t="shared" si="0"/>
        <v>#DIV/0!</v>
      </c>
    </row>
    <row r="19" spans="2:50">
      <c r="B19" s="220">
        <v>9</v>
      </c>
      <c r="C19" s="61"/>
      <c r="D19" s="61"/>
      <c r="E19" s="61"/>
      <c r="F19" s="61"/>
      <c r="G19" s="61"/>
      <c r="H19" s="61"/>
      <c r="I19" s="61"/>
      <c r="J19" s="61"/>
      <c r="K19" s="61"/>
      <c r="L19" s="61"/>
      <c r="M19" s="61"/>
      <c r="N19" s="61"/>
      <c r="O19" s="61"/>
      <c r="P19" s="70"/>
      <c r="R19" s="220">
        <v>9</v>
      </c>
      <c r="S19" s="61"/>
      <c r="T19" s="61"/>
      <c r="U19" s="61"/>
      <c r="V19" s="61"/>
      <c r="W19" s="61"/>
      <c r="X19" s="61"/>
      <c r="Y19" s="61"/>
      <c r="Z19" s="61"/>
      <c r="AA19" s="61"/>
      <c r="AB19" s="61"/>
      <c r="AC19" s="61"/>
      <c r="AD19" s="61"/>
      <c r="AE19" s="61"/>
      <c r="AF19" s="70"/>
      <c r="AJ19" s="220">
        <v>9</v>
      </c>
      <c r="AK19" s="227" t="e">
        <f t="shared" si="0"/>
        <v>#DIV/0!</v>
      </c>
      <c r="AL19" s="227" t="e">
        <f t="shared" si="0"/>
        <v>#DIV/0!</v>
      </c>
      <c r="AM19" s="227" t="e">
        <f t="shared" si="0"/>
        <v>#DIV/0!</v>
      </c>
      <c r="AN19" s="227" t="e">
        <f t="shared" si="0"/>
        <v>#DIV/0!</v>
      </c>
      <c r="AO19" s="227" t="e">
        <f t="shared" si="0"/>
        <v>#DIV/0!</v>
      </c>
      <c r="AP19" s="227" t="e">
        <f t="shared" si="0"/>
        <v>#DIV/0!</v>
      </c>
      <c r="AQ19" s="227" t="e">
        <f t="shared" si="0"/>
        <v>#DIV/0!</v>
      </c>
      <c r="AR19" s="227" t="e">
        <f t="shared" si="0"/>
        <v>#DIV/0!</v>
      </c>
      <c r="AS19" s="227" t="e">
        <f t="shared" si="0"/>
        <v>#DIV/0!</v>
      </c>
      <c r="AT19" s="227" t="e">
        <f t="shared" si="0"/>
        <v>#DIV/0!</v>
      </c>
      <c r="AU19" s="227" t="e">
        <f t="shared" si="0"/>
        <v>#DIV/0!</v>
      </c>
      <c r="AV19" s="227" t="e">
        <f t="shared" si="0"/>
        <v>#DIV/0!</v>
      </c>
      <c r="AW19" s="227" t="e">
        <f t="shared" si="0"/>
        <v>#DIV/0!</v>
      </c>
      <c r="AX19" s="228" t="e">
        <f t="shared" si="0"/>
        <v>#DIV/0!</v>
      </c>
    </row>
    <row r="20" spans="2:50">
      <c r="B20" s="220">
        <v>10</v>
      </c>
      <c r="C20" s="61"/>
      <c r="D20" s="61"/>
      <c r="E20" s="61"/>
      <c r="F20" s="61"/>
      <c r="G20" s="61"/>
      <c r="H20" s="61"/>
      <c r="I20" s="61"/>
      <c r="J20" s="61"/>
      <c r="K20" s="61"/>
      <c r="L20" s="61"/>
      <c r="M20" s="61"/>
      <c r="N20" s="61"/>
      <c r="O20" s="61"/>
      <c r="P20" s="70"/>
      <c r="R20" s="220">
        <v>10</v>
      </c>
      <c r="S20" s="61"/>
      <c r="T20" s="61"/>
      <c r="U20" s="61"/>
      <c r="V20" s="61"/>
      <c r="W20" s="61"/>
      <c r="X20" s="61"/>
      <c r="Y20" s="61"/>
      <c r="Z20" s="61"/>
      <c r="AA20" s="61"/>
      <c r="AB20" s="61"/>
      <c r="AC20" s="61"/>
      <c r="AD20" s="61"/>
      <c r="AE20" s="61"/>
      <c r="AF20" s="70"/>
      <c r="AJ20" s="220">
        <v>10</v>
      </c>
      <c r="AK20" s="227" t="e">
        <f t="shared" ref="AK20:AX29" si="1">EXP(-AK$9*$AJ20)</f>
        <v>#DIV/0!</v>
      </c>
      <c r="AL20" s="227" t="e">
        <f t="shared" si="1"/>
        <v>#DIV/0!</v>
      </c>
      <c r="AM20" s="227" t="e">
        <f t="shared" si="1"/>
        <v>#DIV/0!</v>
      </c>
      <c r="AN20" s="227" t="e">
        <f t="shared" si="1"/>
        <v>#DIV/0!</v>
      </c>
      <c r="AO20" s="227" t="e">
        <f t="shared" si="1"/>
        <v>#DIV/0!</v>
      </c>
      <c r="AP20" s="227" t="e">
        <f t="shared" si="1"/>
        <v>#DIV/0!</v>
      </c>
      <c r="AQ20" s="227" t="e">
        <f t="shared" si="1"/>
        <v>#DIV/0!</v>
      </c>
      <c r="AR20" s="227" t="e">
        <f t="shared" si="1"/>
        <v>#DIV/0!</v>
      </c>
      <c r="AS20" s="227" t="e">
        <f t="shared" si="1"/>
        <v>#DIV/0!</v>
      </c>
      <c r="AT20" s="227" t="e">
        <f t="shared" si="1"/>
        <v>#DIV/0!</v>
      </c>
      <c r="AU20" s="227" t="e">
        <f t="shared" si="1"/>
        <v>#DIV/0!</v>
      </c>
      <c r="AV20" s="227" t="e">
        <f t="shared" si="1"/>
        <v>#DIV/0!</v>
      </c>
      <c r="AW20" s="227" t="e">
        <f t="shared" si="1"/>
        <v>#DIV/0!</v>
      </c>
      <c r="AX20" s="228" t="e">
        <f t="shared" si="1"/>
        <v>#DIV/0!</v>
      </c>
    </row>
    <row r="21" spans="2:50">
      <c r="B21" s="224">
        <v>11</v>
      </c>
      <c r="C21" s="68"/>
      <c r="D21" s="68"/>
      <c r="E21" s="68"/>
      <c r="F21" s="68"/>
      <c r="G21" s="68"/>
      <c r="H21" s="68"/>
      <c r="I21" s="68"/>
      <c r="J21" s="68"/>
      <c r="K21" s="68"/>
      <c r="L21" s="68"/>
      <c r="M21" s="68"/>
      <c r="N21" s="68"/>
      <c r="O21" s="68"/>
      <c r="P21" s="69"/>
      <c r="R21" s="224">
        <v>11</v>
      </c>
      <c r="S21" s="68"/>
      <c r="T21" s="68"/>
      <c r="U21" s="68"/>
      <c r="V21" s="68"/>
      <c r="W21" s="68"/>
      <c r="X21" s="68"/>
      <c r="Y21" s="68"/>
      <c r="Z21" s="68"/>
      <c r="AA21" s="68"/>
      <c r="AB21" s="68"/>
      <c r="AC21" s="68"/>
      <c r="AD21" s="68"/>
      <c r="AE21" s="68"/>
      <c r="AF21" s="69"/>
      <c r="AJ21" s="224">
        <v>11</v>
      </c>
      <c r="AK21" s="225" t="e">
        <f t="shared" si="1"/>
        <v>#DIV/0!</v>
      </c>
      <c r="AL21" s="225" t="e">
        <f t="shared" si="1"/>
        <v>#DIV/0!</v>
      </c>
      <c r="AM21" s="225" t="e">
        <f t="shared" si="1"/>
        <v>#DIV/0!</v>
      </c>
      <c r="AN21" s="225" t="e">
        <f t="shared" si="1"/>
        <v>#DIV/0!</v>
      </c>
      <c r="AO21" s="225" t="e">
        <f t="shared" si="1"/>
        <v>#DIV/0!</v>
      </c>
      <c r="AP21" s="225" t="e">
        <f t="shared" si="1"/>
        <v>#DIV/0!</v>
      </c>
      <c r="AQ21" s="225" t="e">
        <f t="shared" si="1"/>
        <v>#DIV/0!</v>
      </c>
      <c r="AR21" s="225" t="e">
        <f t="shared" si="1"/>
        <v>#DIV/0!</v>
      </c>
      <c r="AS21" s="225" t="e">
        <f t="shared" si="1"/>
        <v>#DIV/0!</v>
      </c>
      <c r="AT21" s="225" t="e">
        <f t="shared" si="1"/>
        <v>#DIV/0!</v>
      </c>
      <c r="AU21" s="225" t="e">
        <f t="shared" si="1"/>
        <v>#DIV/0!</v>
      </c>
      <c r="AV21" s="225" t="e">
        <f t="shared" si="1"/>
        <v>#DIV/0!</v>
      </c>
      <c r="AW21" s="225" t="e">
        <f t="shared" si="1"/>
        <v>#DIV/0!</v>
      </c>
      <c r="AX21" s="226" t="e">
        <f t="shared" si="1"/>
        <v>#DIV/0!</v>
      </c>
    </row>
    <row r="22" spans="2:50" s="229" customFormat="1">
      <c r="B22" s="224">
        <v>12</v>
      </c>
      <c r="C22" s="68"/>
      <c r="D22" s="68"/>
      <c r="E22" s="68"/>
      <c r="F22" s="68"/>
      <c r="G22" s="68"/>
      <c r="H22" s="68"/>
      <c r="I22" s="68"/>
      <c r="J22" s="68"/>
      <c r="K22" s="68"/>
      <c r="L22" s="68"/>
      <c r="M22" s="68"/>
      <c r="N22" s="68"/>
      <c r="O22" s="68"/>
      <c r="P22" s="69"/>
      <c r="R22" s="224">
        <v>12</v>
      </c>
      <c r="S22" s="68"/>
      <c r="T22" s="68"/>
      <c r="U22" s="68"/>
      <c r="V22" s="68"/>
      <c r="W22" s="68"/>
      <c r="X22" s="68"/>
      <c r="Y22" s="68"/>
      <c r="Z22" s="68"/>
      <c r="AA22" s="68"/>
      <c r="AB22" s="68"/>
      <c r="AC22" s="68"/>
      <c r="AD22" s="68"/>
      <c r="AE22" s="68"/>
      <c r="AF22" s="69"/>
      <c r="AJ22" s="224">
        <v>12</v>
      </c>
      <c r="AK22" s="225" t="e">
        <f t="shared" si="1"/>
        <v>#DIV/0!</v>
      </c>
      <c r="AL22" s="225" t="e">
        <f t="shared" si="1"/>
        <v>#DIV/0!</v>
      </c>
      <c r="AM22" s="225" t="e">
        <f t="shared" si="1"/>
        <v>#DIV/0!</v>
      </c>
      <c r="AN22" s="225" t="e">
        <f t="shared" si="1"/>
        <v>#DIV/0!</v>
      </c>
      <c r="AO22" s="225" t="e">
        <f t="shared" si="1"/>
        <v>#DIV/0!</v>
      </c>
      <c r="AP22" s="225" t="e">
        <f t="shared" si="1"/>
        <v>#DIV/0!</v>
      </c>
      <c r="AQ22" s="225" t="e">
        <f t="shared" si="1"/>
        <v>#DIV/0!</v>
      </c>
      <c r="AR22" s="225" t="e">
        <f t="shared" si="1"/>
        <v>#DIV/0!</v>
      </c>
      <c r="AS22" s="225" t="e">
        <f t="shared" si="1"/>
        <v>#DIV/0!</v>
      </c>
      <c r="AT22" s="225" t="e">
        <f t="shared" si="1"/>
        <v>#DIV/0!</v>
      </c>
      <c r="AU22" s="225" t="e">
        <f t="shared" si="1"/>
        <v>#DIV/0!</v>
      </c>
      <c r="AV22" s="225" t="e">
        <f t="shared" si="1"/>
        <v>#DIV/0!</v>
      </c>
      <c r="AW22" s="225" t="e">
        <f t="shared" si="1"/>
        <v>#DIV/0!</v>
      </c>
      <c r="AX22" s="226" t="e">
        <f t="shared" si="1"/>
        <v>#DIV/0!</v>
      </c>
    </row>
    <row r="23" spans="2:50">
      <c r="B23" s="220">
        <v>13</v>
      </c>
      <c r="C23" s="61"/>
      <c r="D23" s="61"/>
      <c r="E23" s="61"/>
      <c r="F23" s="61"/>
      <c r="G23" s="61"/>
      <c r="H23" s="61"/>
      <c r="I23" s="61"/>
      <c r="J23" s="61"/>
      <c r="K23" s="61"/>
      <c r="L23" s="61"/>
      <c r="M23" s="61"/>
      <c r="N23" s="61"/>
      <c r="O23" s="61"/>
      <c r="P23" s="70"/>
      <c r="R23" s="220">
        <v>13</v>
      </c>
      <c r="S23" s="61"/>
      <c r="T23" s="61"/>
      <c r="U23" s="61"/>
      <c r="V23" s="61"/>
      <c r="W23" s="61"/>
      <c r="X23" s="61"/>
      <c r="Y23" s="61"/>
      <c r="Z23" s="61"/>
      <c r="AA23" s="61"/>
      <c r="AB23" s="61"/>
      <c r="AC23" s="61"/>
      <c r="AD23" s="61"/>
      <c r="AE23" s="61"/>
      <c r="AF23" s="70"/>
      <c r="AJ23" s="220">
        <v>13</v>
      </c>
      <c r="AK23" s="227" t="e">
        <f t="shared" si="1"/>
        <v>#DIV/0!</v>
      </c>
      <c r="AL23" s="227" t="e">
        <f t="shared" si="1"/>
        <v>#DIV/0!</v>
      </c>
      <c r="AM23" s="227" t="e">
        <f t="shared" si="1"/>
        <v>#DIV/0!</v>
      </c>
      <c r="AN23" s="227" t="e">
        <f t="shared" si="1"/>
        <v>#DIV/0!</v>
      </c>
      <c r="AO23" s="227" t="e">
        <f t="shared" si="1"/>
        <v>#DIV/0!</v>
      </c>
      <c r="AP23" s="227" t="e">
        <f t="shared" si="1"/>
        <v>#DIV/0!</v>
      </c>
      <c r="AQ23" s="227" t="e">
        <f t="shared" si="1"/>
        <v>#DIV/0!</v>
      </c>
      <c r="AR23" s="227" t="e">
        <f t="shared" si="1"/>
        <v>#DIV/0!</v>
      </c>
      <c r="AS23" s="227" t="e">
        <f t="shared" si="1"/>
        <v>#DIV/0!</v>
      </c>
      <c r="AT23" s="227" t="e">
        <f t="shared" si="1"/>
        <v>#DIV/0!</v>
      </c>
      <c r="AU23" s="227" t="e">
        <f t="shared" si="1"/>
        <v>#DIV/0!</v>
      </c>
      <c r="AV23" s="227" t="e">
        <f t="shared" si="1"/>
        <v>#DIV/0!</v>
      </c>
      <c r="AW23" s="227" t="e">
        <f t="shared" si="1"/>
        <v>#DIV/0!</v>
      </c>
      <c r="AX23" s="228" t="e">
        <f t="shared" si="1"/>
        <v>#DIV/0!</v>
      </c>
    </row>
    <row r="24" spans="2:50">
      <c r="B24" s="220">
        <v>14</v>
      </c>
      <c r="C24" s="61"/>
      <c r="D24" s="61"/>
      <c r="E24" s="61"/>
      <c r="F24" s="61"/>
      <c r="G24" s="61"/>
      <c r="H24" s="61"/>
      <c r="I24" s="61"/>
      <c r="J24" s="61"/>
      <c r="K24" s="61"/>
      <c r="L24" s="61"/>
      <c r="M24" s="61"/>
      <c r="N24" s="61"/>
      <c r="O24" s="61"/>
      <c r="P24" s="70"/>
      <c r="R24" s="220">
        <v>14</v>
      </c>
      <c r="S24" s="61"/>
      <c r="T24" s="61"/>
      <c r="U24" s="61"/>
      <c r="V24" s="61"/>
      <c r="W24" s="61"/>
      <c r="X24" s="61"/>
      <c r="Y24" s="61"/>
      <c r="Z24" s="61"/>
      <c r="AA24" s="61"/>
      <c r="AB24" s="61"/>
      <c r="AC24" s="61"/>
      <c r="AD24" s="61"/>
      <c r="AE24" s="61"/>
      <c r="AF24" s="70"/>
      <c r="AJ24" s="220">
        <v>14</v>
      </c>
      <c r="AK24" s="227" t="e">
        <f t="shared" si="1"/>
        <v>#DIV/0!</v>
      </c>
      <c r="AL24" s="227" t="e">
        <f t="shared" si="1"/>
        <v>#DIV/0!</v>
      </c>
      <c r="AM24" s="227" t="e">
        <f t="shared" si="1"/>
        <v>#DIV/0!</v>
      </c>
      <c r="AN24" s="227" t="e">
        <f t="shared" si="1"/>
        <v>#DIV/0!</v>
      </c>
      <c r="AO24" s="227" t="e">
        <f t="shared" si="1"/>
        <v>#DIV/0!</v>
      </c>
      <c r="AP24" s="227" t="e">
        <f t="shared" si="1"/>
        <v>#DIV/0!</v>
      </c>
      <c r="AQ24" s="227" t="e">
        <f t="shared" si="1"/>
        <v>#DIV/0!</v>
      </c>
      <c r="AR24" s="227" t="e">
        <f t="shared" si="1"/>
        <v>#DIV/0!</v>
      </c>
      <c r="AS24" s="227" t="e">
        <f t="shared" si="1"/>
        <v>#DIV/0!</v>
      </c>
      <c r="AT24" s="227" t="e">
        <f t="shared" si="1"/>
        <v>#DIV/0!</v>
      </c>
      <c r="AU24" s="227" t="e">
        <f t="shared" si="1"/>
        <v>#DIV/0!</v>
      </c>
      <c r="AV24" s="227" t="e">
        <f t="shared" si="1"/>
        <v>#DIV/0!</v>
      </c>
      <c r="AW24" s="227" t="e">
        <f t="shared" si="1"/>
        <v>#DIV/0!</v>
      </c>
      <c r="AX24" s="228" t="e">
        <f t="shared" si="1"/>
        <v>#DIV/0!</v>
      </c>
    </row>
    <row r="25" spans="2:50">
      <c r="B25" s="220">
        <v>15</v>
      </c>
      <c r="C25" s="61"/>
      <c r="D25" s="61"/>
      <c r="E25" s="61"/>
      <c r="F25" s="61"/>
      <c r="G25" s="61"/>
      <c r="H25" s="61"/>
      <c r="I25" s="61"/>
      <c r="J25" s="61"/>
      <c r="K25" s="61"/>
      <c r="L25" s="61"/>
      <c r="M25" s="61"/>
      <c r="N25" s="61"/>
      <c r="O25" s="61"/>
      <c r="P25" s="70"/>
      <c r="R25" s="220">
        <v>15</v>
      </c>
      <c r="S25" s="61"/>
      <c r="T25" s="61"/>
      <c r="U25" s="61"/>
      <c r="V25" s="61"/>
      <c r="W25" s="61"/>
      <c r="X25" s="61"/>
      <c r="Y25" s="61"/>
      <c r="Z25" s="61"/>
      <c r="AA25" s="61"/>
      <c r="AB25" s="61"/>
      <c r="AC25" s="61"/>
      <c r="AD25" s="61"/>
      <c r="AE25" s="61"/>
      <c r="AF25" s="70"/>
      <c r="AJ25" s="220">
        <v>15</v>
      </c>
      <c r="AK25" s="227" t="e">
        <f t="shared" si="1"/>
        <v>#DIV/0!</v>
      </c>
      <c r="AL25" s="227" t="e">
        <f t="shared" si="1"/>
        <v>#DIV/0!</v>
      </c>
      <c r="AM25" s="227" t="e">
        <f t="shared" si="1"/>
        <v>#DIV/0!</v>
      </c>
      <c r="AN25" s="227" t="e">
        <f t="shared" si="1"/>
        <v>#DIV/0!</v>
      </c>
      <c r="AO25" s="227" t="e">
        <f t="shared" si="1"/>
        <v>#DIV/0!</v>
      </c>
      <c r="AP25" s="227" t="e">
        <f t="shared" si="1"/>
        <v>#DIV/0!</v>
      </c>
      <c r="AQ25" s="227" t="e">
        <f t="shared" si="1"/>
        <v>#DIV/0!</v>
      </c>
      <c r="AR25" s="227" t="e">
        <f t="shared" si="1"/>
        <v>#DIV/0!</v>
      </c>
      <c r="AS25" s="227" t="e">
        <f t="shared" si="1"/>
        <v>#DIV/0!</v>
      </c>
      <c r="AT25" s="227" t="e">
        <f t="shared" si="1"/>
        <v>#DIV/0!</v>
      </c>
      <c r="AU25" s="227" t="e">
        <f t="shared" si="1"/>
        <v>#DIV/0!</v>
      </c>
      <c r="AV25" s="227" t="e">
        <f t="shared" si="1"/>
        <v>#DIV/0!</v>
      </c>
      <c r="AW25" s="227" t="e">
        <f t="shared" si="1"/>
        <v>#DIV/0!</v>
      </c>
      <c r="AX25" s="228" t="e">
        <f t="shared" si="1"/>
        <v>#DIV/0!</v>
      </c>
    </row>
    <row r="26" spans="2:50">
      <c r="B26" s="220">
        <v>16</v>
      </c>
      <c r="C26" s="61"/>
      <c r="D26" s="61"/>
      <c r="E26" s="61"/>
      <c r="F26" s="61"/>
      <c r="G26" s="61"/>
      <c r="H26" s="61"/>
      <c r="I26" s="61"/>
      <c r="J26" s="61"/>
      <c r="K26" s="61"/>
      <c r="L26" s="61"/>
      <c r="M26" s="61"/>
      <c r="N26" s="61"/>
      <c r="O26" s="61"/>
      <c r="P26" s="70"/>
      <c r="R26" s="220">
        <v>16</v>
      </c>
      <c r="S26" s="61"/>
      <c r="T26" s="61"/>
      <c r="U26" s="61"/>
      <c r="V26" s="61"/>
      <c r="W26" s="61"/>
      <c r="X26" s="61"/>
      <c r="Y26" s="61"/>
      <c r="Z26" s="61"/>
      <c r="AA26" s="61"/>
      <c r="AB26" s="61"/>
      <c r="AC26" s="61"/>
      <c r="AD26" s="61"/>
      <c r="AE26" s="61"/>
      <c r="AF26" s="70"/>
      <c r="AJ26" s="220">
        <v>16</v>
      </c>
      <c r="AK26" s="227" t="e">
        <f t="shared" si="1"/>
        <v>#DIV/0!</v>
      </c>
      <c r="AL26" s="227" t="e">
        <f t="shared" si="1"/>
        <v>#DIV/0!</v>
      </c>
      <c r="AM26" s="227" t="e">
        <f t="shared" si="1"/>
        <v>#DIV/0!</v>
      </c>
      <c r="AN26" s="227" t="e">
        <f t="shared" si="1"/>
        <v>#DIV/0!</v>
      </c>
      <c r="AO26" s="227" t="e">
        <f t="shared" si="1"/>
        <v>#DIV/0!</v>
      </c>
      <c r="AP26" s="227" t="e">
        <f t="shared" si="1"/>
        <v>#DIV/0!</v>
      </c>
      <c r="AQ26" s="227" t="e">
        <f t="shared" si="1"/>
        <v>#DIV/0!</v>
      </c>
      <c r="AR26" s="227" t="e">
        <f t="shared" si="1"/>
        <v>#DIV/0!</v>
      </c>
      <c r="AS26" s="227" t="e">
        <f t="shared" si="1"/>
        <v>#DIV/0!</v>
      </c>
      <c r="AT26" s="227" t="e">
        <f t="shared" si="1"/>
        <v>#DIV/0!</v>
      </c>
      <c r="AU26" s="227" t="e">
        <f t="shared" si="1"/>
        <v>#DIV/0!</v>
      </c>
      <c r="AV26" s="227" t="e">
        <f t="shared" si="1"/>
        <v>#DIV/0!</v>
      </c>
      <c r="AW26" s="227" t="e">
        <f t="shared" si="1"/>
        <v>#DIV/0!</v>
      </c>
      <c r="AX26" s="228" t="e">
        <f t="shared" si="1"/>
        <v>#DIV/0!</v>
      </c>
    </row>
    <row r="27" spans="2:50">
      <c r="B27" s="220">
        <v>17</v>
      </c>
      <c r="C27" s="61"/>
      <c r="D27" s="61"/>
      <c r="E27" s="61"/>
      <c r="F27" s="61"/>
      <c r="G27" s="61"/>
      <c r="H27" s="61"/>
      <c r="I27" s="61"/>
      <c r="J27" s="61"/>
      <c r="K27" s="61"/>
      <c r="L27" s="61"/>
      <c r="M27" s="61"/>
      <c r="N27" s="61"/>
      <c r="O27" s="61"/>
      <c r="P27" s="70"/>
      <c r="R27" s="220">
        <v>17</v>
      </c>
      <c r="S27" s="61"/>
      <c r="T27" s="61"/>
      <c r="U27" s="61"/>
      <c r="V27" s="61"/>
      <c r="W27" s="61"/>
      <c r="X27" s="61"/>
      <c r="Y27" s="61"/>
      <c r="Z27" s="61"/>
      <c r="AA27" s="61"/>
      <c r="AB27" s="61"/>
      <c r="AC27" s="61"/>
      <c r="AD27" s="61"/>
      <c r="AE27" s="61"/>
      <c r="AF27" s="70"/>
      <c r="AJ27" s="220">
        <v>17</v>
      </c>
      <c r="AK27" s="227" t="e">
        <f t="shared" si="1"/>
        <v>#DIV/0!</v>
      </c>
      <c r="AL27" s="227" t="e">
        <f t="shared" si="1"/>
        <v>#DIV/0!</v>
      </c>
      <c r="AM27" s="227" t="e">
        <f t="shared" si="1"/>
        <v>#DIV/0!</v>
      </c>
      <c r="AN27" s="227" t="e">
        <f t="shared" si="1"/>
        <v>#DIV/0!</v>
      </c>
      <c r="AO27" s="227" t="e">
        <f t="shared" si="1"/>
        <v>#DIV/0!</v>
      </c>
      <c r="AP27" s="227" t="e">
        <f t="shared" si="1"/>
        <v>#DIV/0!</v>
      </c>
      <c r="AQ27" s="227" t="e">
        <f t="shared" si="1"/>
        <v>#DIV/0!</v>
      </c>
      <c r="AR27" s="227" t="e">
        <f t="shared" si="1"/>
        <v>#DIV/0!</v>
      </c>
      <c r="AS27" s="227" t="e">
        <f t="shared" si="1"/>
        <v>#DIV/0!</v>
      </c>
      <c r="AT27" s="227" t="e">
        <f t="shared" si="1"/>
        <v>#DIV/0!</v>
      </c>
      <c r="AU27" s="227" t="e">
        <f t="shared" si="1"/>
        <v>#DIV/0!</v>
      </c>
      <c r="AV27" s="227" t="e">
        <f t="shared" si="1"/>
        <v>#DIV/0!</v>
      </c>
      <c r="AW27" s="227" t="e">
        <f t="shared" si="1"/>
        <v>#DIV/0!</v>
      </c>
      <c r="AX27" s="228" t="e">
        <f t="shared" si="1"/>
        <v>#DIV/0!</v>
      </c>
    </row>
    <row r="28" spans="2:50">
      <c r="B28" s="220">
        <v>18</v>
      </c>
      <c r="C28" s="61"/>
      <c r="D28" s="61"/>
      <c r="E28" s="61"/>
      <c r="F28" s="61"/>
      <c r="G28" s="61"/>
      <c r="H28" s="61"/>
      <c r="I28" s="61"/>
      <c r="J28" s="61"/>
      <c r="K28" s="61"/>
      <c r="L28" s="61"/>
      <c r="M28" s="61"/>
      <c r="N28" s="61"/>
      <c r="O28" s="61"/>
      <c r="P28" s="70"/>
      <c r="R28" s="220">
        <v>18</v>
      </c>
      <c r="S28" s="61"/>
      <c r="T28" s="61"/>
      <c r="U28" s="61"/>
      <c r="V28" s="61"/>
      <c r="W28" s="61"/>
      <c r="X28" s="61"/>
      <c r="Y28" s="61"/>
      <c r="Z28" s="61"/>
      <c r="AA28" s="61"/>
      <c r="AB28" s="61"/>
      <c r="AC28" s="61"/>
      <c r="AD28" s="61"/>
      <c r="AE28" s="61"/>
      <c r="AF28" s="70"/>
      <c r="AJ28" s="220">
        <v>18</v>
      </c>
      <c r="AK28" s="227" t="e">
        <f t="shared" si="1"/>
        <v>#DIV/0!</v>
      </c>
      <c r="AL28" s="227" t="e">
        <f t="shared" si="1"/>
        <v>#DIV/0!</v>
      </c>
      <c r="AM28" s="227" t="e">
        <f t="shared" si="1"/>
        <v>#DIV/0!</v>
      </c>
      <c r="AN28" s="227" t="e">
        <f t="shared" si="1"/>
        <v>#DIV/0!</v>
      </c>
      <c r="AO28" s="227" t="e">
        <f t="shared" si="1"/>
        <v>#DIV/0!</v>
      </c>
      <c r="AP28" s="227" t="e">
        <f t="shared" si="1"/>
        <v>#DIV/0!</v>
      </c>
      <c r="AQ28" s="227" t="e">
        <f t="shared" si="1"/>
        <v>#DIV/0!</v>
      </c>
      <c r="AR28" s="227" t="e">
        <f t="shared" si="1"/>
        <v>#DIV/0!</v>
      </c>
      <c r="AS28" s="227" t="e">
        <f t="shared" si="1"/>
        <v>#DIV/0!</v>
      </c>
      <c r="AT28" s="227" t="e">
        <f t="shared" si="1"/>
        <v>#DIV/0!</v>
      </c>
      <c r="AU28" s="227" t="e">
        <f t="shared" si="1"/>
        <v>#DIV/0!</v>
      </c>
      <c r="AV28" s="227" t="e">
        <f t="shared" si="1"/>
        <v>#DIV/0!</v>
      </c>
      <c r="AW28" s="227" t="e">
        <f t="shared" si="1"/>
        <v>#DIV/0!</v>
      </c>
      <c r="AX28" s="228" t="e">
        <f t="shared" si="1"/>
        <v>#DIV/0!</v>
      </c>
    </row>
    <row r="29" spans="2:50">
      <c r="B29" s="220">
        <v>19</v>
      </c>
      <c r="C29" s="61"/>
      <c r="D29" s="61"/>
      <c r="E29" s="61"/>
      <c r="F29" s="61"/>
      <c r="G29" s="61"/>
      <c r="H29" s="61"/>
      <c r="I29" s="61"/>
      <c r="J29" s="61"/>
      <c r="K29" s="61"/>
      <c r="L29" s="61"/>
      <c r="M29" s="61"/>
      <c r="N29" s="61"/>
      <c r="O29" s="61"/>
      <c r="P29" s="70"/>
      <c r="R29" s="220">
        <v>19</v>
      </c>
      <c r="S29" s="61"/>
      <c r="T29" s="61"/>
      <c r="U29" s="61"/>
      <c r="V29" s="61"/>
      <c r="W29" s="61"/>
      <c r="X29" s="61"/>
      <c r="Y29" s="61"/>
      <c r="Z29" s="61"/>
      <c r="AA29" s="61"/>
      <c r="AB29" s="61"/>
      <c r="AC29" s="61"/>
      <c r="AD29" s="61"/>
      <c r="AE29" s="61"/>
      <c r="AF29" s="70"/>
      <c r="AJ29" s="220">
        <v>19</v>
      </c>
      <c r="AK29" s="227" t="e">
        <f t="shared" si="1"/>
        <v>#DIV/0!</v>
      </c>
      <c r="AL29" s="227" t="e">
        <f t="shared" si="1"/>
        <v>#DIV/0!</v>
      </c>
      <c r="AM29" s="227" t="e">
        <f t="shared" si="1"/>
        <v>#DIV/0!</v>
      </c>
      <c r="AN29" s="227" t="e">
        <f t="shared" si="1"/>
        <v>#DIV/0!</v>
      </c>
      <c r="AO29" s="227" t="e">
        <f t="shared" si="1"/>
        <v>#DIV/0!</v>
      </c>
      <c r="AP29" s="227" t="e">
        <f t="shared" si="1"/>
        <v>#DIV/0!</v>
      </c>
      <c r="AQ29" s="227" t="e">
        <f t="shared" si="1"/>
        <v>#DIV/0!</v>
      </c>
      <c r="AR29" s="227" t="e">
        <f t="shared" si="1"/>
        <v>#DIV/0!</v>
      </c>
      <c r="AS29" s="227" t="e">
        <f t="shared" si="1"/>
        <v>#DIV/0!</v>
      </c>
      <c r="AT29" s="227" t="e">
        <f t="shared" si="1"/>
        <v>#DIV/0!</v>
      </c>
      <c r="AU29" s="227" t="e">
        <f t="shared" si="1"/>
        <v>#DIV/0!</v>
      </c>
      <c r="AV29" s="227" t="e">
        <f t="shared" si="1"/>
        <v>#DIV/0!</v>
      </c>
      <c r="AW29" s="227" t="e">
        <f t="shared" si="1"/>
        <v>#DIV/0!</v>
      </c>
      <c r="AX29" s="228" t="e">
        <f t="shared" si="1"/>
        <v>#DIV/0!</v>
      </c>
    </row>
    <row r="30" spans="2:50">
      <c r="B30" s="220">
        <v>20</v>
      </c>
      <c r="C30" s="61"/>
      <c r="D30" s="61"/>
      <c r="E30" s="61"/>
      <c r="F30" s="61"/>
      <c r="G30" s="61"/>
      <c r="H30" s="61"/>
      <c r="I30" s="61"/>
      <c r="J30" s="61"/>
      <c r="K30" s="61"/>
      <c r="L30" s="61"/>
      <c r="M30" s="61"/>
      <c r="N30" s="61"/>
      <c r="O30" s="61"/>
      <c r="P30" s="70"/>
      <c r="R30" s="220">
        <v>20</v>
      </c>
      <c r="S30" s="61"/>
      <c r="T30" s="61"/>
      <c r="U30" s="61"/>
      <c r="V30" s="61"/>
      <c r="W30" s="61"/>
      <c r="X30" s="61"/>
      <c r="Y30" s="61"/>
      <c r="Z30" s="61"/>
      <c r="AA30" s="61"/>
      <c r="AB30" s="61"/>
      <c r="AC30" s="61"/>
      <c r="AD30" s="61"/>
      <c r="AE30" s="61"/>
      <c r="AF30" s="70"/>
      <c r="AJ30" s="220">
        <v>20</v>
      </c>
      <c r="AK30" s="227" t="e">
        <f t="shared" ref="AK30:AX42" si="2">EXP(-AK$9*$AJ30)</f>
        <v>#DIV/0!</v>
      </c>
      <c r="AL30" s="227" t="e">
        <f t="shared" si="2"/>
        <v>#DIV/0!</v>
      </c>
      <c r="AM30" s="227" t="e">
        <f t="shared" si="2"/>
        <v>#DIV/0!</v>
      </c>
      <c r="AN30" s="227" t="e">
        <f t="shared" si="2"/>
        <v>#DIV/0!</v>
      </c>
      <c r="AO30" s="227" t="e">
        <f t="shared" si="2"/>
        <v>#DIV/0!</v>
      </c>
      <c r="AP30" s="227" t="e">
        <f t="shared" si="2"/>
        <v>#DIV/0!</v>
      </c>
      <c r="AQ30" s="227" t="e">
        <f t="shared" si="2"/>
        <v>#DIV/0!</v>
      </c>
      <c r="AR30" s="227" t="e">
        <f t="shared" si="2"/>
        <v>#DIV/0!</v>
      </c>
      <c r="AS30" s="227" t="e">
        <f t="shared" si="2"/>
        <v>#DIV/0!</v>
      </c>
      <c r="AT30" s="227" t="e">
        <f t="shared" si="2"/>
        <v>#DIV/0!</v>
      </c>
      <c r="AU30" s="227" t="e">
        <f t="shared" si="2"/>
        <v>#DIV/0!</v>
      </c>
      <c r="AV30" s="227" t="e">
        <f t="shared" si="2"/>
        <v>#DIV/0!</v>
      </c>
      <c r="AW30" s="227" t="e">
        <f t="shared" si="2"/>
        <v>#DIV/0!</v>
      </c>
      <c r="AX30" s="228" t="e">
        <f t="shared" si="2"/>
        <v>#DIV/0!</v>
      </c>
    </row>
    <row r="31" spans="2:50">
      <c r="B31" s="220">
        <v>21</v>
      </c>
      <c r="C31" s="61"/>
      <c r="D31" s="61"/>
      <c r="E31" s="61"/>
      <c r="F31" s="61"/>
      <c r="G31" s="61"/>
      <c r="H31" s="61"/>
      <c r="I31" s="61"/>
      <c r="J31" s="61"/>
      <c r="K31" s="61"/>
      <c r="L31" s="61"/>
      <c r="M31" s="61"/>
      <c r="N31" s="61"/>
      <c r="O31" s="61"/>
      <c r="P31" s="70"/>
      <c r="R31" s="220">
        <v>21</v>
      </c>
      <c r="S31" s="61"/>
      <c r="T31" s="61"/>
      <c r="U31" s="61"/>
      <c r="V31" s="61"/>
      <c r="W31" s="61"/>
      <c r="X31" s="61"/>
      <c r="Y31" s="61"/>
      <c r="Z31" s="61"/>
      <c r="AA31" s="61"/>
      <c r="AB31" s="61"/>
      <c r="AC31" s="61"/>
      <c r="AD31" s="61"/>
      <c r="AE31" s="61"/>
      <c r="AF31" s="70"/>
      <c r="AJ31" s="220">
        <v>21</v>
      </c>
      <c r="AK31" s="227" t="e">
        <f t="shared" si="2"/>
        <v>#DIV/0!</v>
      </c>
      <c r="AL31" s="227" t="e">
        <f t="shared" si="2"/>
        <v>#DIV/0!</v>
      </c>
      <c r="AM31" s="227" t="e">
        <f t="shared" si="2"/>
        <v>#DIV/0!</v>
      </c>
      <c r="AN31" s="227" t="e">
        <f t="shared" si="2"/>
        <v>#DIV/0!</v>
      </c>
      <c r="AO31" s="227" t="e">
        <f t="shared" si="2"/>
        <v>#DIV/0!</v>
      </c>
      <c r="AP31" s="227" t="e">
        <f t="shared" si="2"/>
        <v>#DIV/0!</v>
      </c>
      <c r="AQ31" s="227" t="e">
        <f t="shared" si="2"/>
        <v>#DIV/0!</v>
      </c>
      <c r="AR31" s="227" t="e">
        <f t="shared" si="2"/>
        <v>#DIV/0!</v>
      </c>
      <c r="AS31" s="227" t="e">
        <f t="shared" si="2"/>
        <v>#DIV/0!</v>
      </c>
      <c r="AT31" s="227" t="e">
        <f t="shared" si="2"/>
        <v>#DIV/0!</v>
      </c>
      <c r="AU31" s="227" t="e">
        <f t="shared" si="2"/>
        <v>#DIV/0!</v>
      </c>
      <c r="AV31" s="227" t="e">
        <f t="shared" si="2"/>
        <v>#DIV/0!</v>
      </c>
      <c r="AW31" s="227" t="e">
        <f t="shared" si="2"/>
        <v>#DIV/0!</v>
      </c>
      <c r="AX31" s="228" t="e">
        <f t="shared" si="2"/>
        <v>#DIV/0!</v>
      </c>
    </row>
    <row r="32" spans="2:50">
      <c r="B32" s="220">
        <v>22</v>
      </c>
      <c r="C32" s="61"/>
      <c r="D32" s="61"/>
      <c r="E32" s="61"/>
      <c r="F32" s="61"/>
      <c r="G32" s="61"/>
      <c r="H32" s="61"/>
      <c r="I32" s="61"/>
      <c r="J32" s="61"/>
      <c r="K32" s="61"/>
      <c r="L32" s="61"/>
      <c r="M32" s="61"/>
      <c r="N32" s="61"/>
      <c r="O32" s="61"/>
      <c r="P32" s="70"/>
      <c r="R32" s="220">
        <v>22</v>
      </c>
      <c r="S32" s="61"/>
      <c r="T32" s="61"/>
      <c r="U32" s="61"/>
      <c r="V32" s="61"/>
      <c r="W32" s="61"/>
      <c r="X32" s="61"/>
      <c r="Y32" s="61"/>
      <c r="Z32" s="61"/>
      <c r="AA32" s="61"/>
      <c r="AB32" s="61"/>
      <c r="AC32" s="61"/>
      <c r="AD32" s="61"/>
      <c r="AE32" s="61"/>
      <c r="AF32" s="70"/>
      <c r="AJ32" s="220">
        <v>22</v>
      </c>
      <c r="AK32" s="227" t="e">
        <f t="shared" si="2"/>
        <v>#DIV/0!</v>
      </c>
      <c r="AL32" s="227" t="e">
        <f t="shared" si="2"/>
        <v>#DIV/0!</v>
      </c>
      <c r="AM32" s="227" t="e">
        <f t="shared" si="2"/>
        <v>#DIV/0!</v>
      </c>
      <c r="AN32" s="227" t="e">
        <f t="shared" si="2"/>
        <v>#DIV/0!</v>
      </c>
      <c r="AO32" s="227" t="e">
        <f t="shared" si="2"/>
        <v>#DIV/0!</v>
      </c>
      <c r="AP32" s="227" t="e">
        <f t="shared" si="2"/>
        <v>#DIV/0!</v>
      </c>
      <c r="AQ32" s="227" t="e">
        <f t="shared" si="2"/>
        <v>#DIV/0!</v>
      </c>
      <c r="AR32" s="227" t="e">
        <f t="shared" si="2"/>
        <v>#DIV/0!</v>
      </c>
      <c r="AS32" s="227" t="e">
        <f t="shared" si="2"/>
        <v>#DIV/0!</v>
      </c>
      <c r="AT32" s="227" t="e">
        <f t="shared" si="2"/>
        <v>#DIV/0!</v>
      </c>
      <c r="AU32" s="227" t="e">
        <f t="shared" si="2"/>
        <v>#DIV/0!</v>
      </c>
      <c r="AV32" s="227" t="e">
        <f t="shared" si="2"/>
        <v>#DIV/0!</v>
      </c>
      <c r="AW32" s="227" t="e">
        <f t="shared" si="2"/>
        <v>#DIV/0!</v>
      </c>
      <c r="AX32" s="228" t="e">
        <f t="shared" si="2"/>
        <v>#DIV/0!</v>
      </c>
    </row>
    <row r="33" spans="2:50">
      <c r="B33" s="220">
        <v>23</v>
      </c>
      <c r="C33" s="61"/>
      <c r="D33" s="61"/>
      <c r="E33" s="61"/>
      <c r="F33" s="61"/>
      <c r="G33" s="61"/>
      <c r="H33" s="61"/>
      <c r="I33" s="61"/>
      <c r="J33" s="61"/>
      <c r="K33" s="61"/>
      <c r="L33" s="61"/>
      <c r="M33" s="61"/>
      <c r="N33" s="61"/>
      <c r="O33" s="61"/>
      <c r="P33" s="70"/>
      <c r="R33" s="220">
        <v>23</v>
      </c>
      <c r="S33" s="61"/>
      <c r="T33" s="61"/>
      <c r="U33" s="61"/>
      <c r="V33" s="61"/>
      <c r="W33" s="61"/>
      <c r="X33" s="61"/>
      <c r="Y33" s="61"/>
      <c r="Z33" s="61"/>
      <c r="AA33" s="61"/>
      <c r="AB33" s="61"/>
      <c r="AC33" s="61"/>
      <c r="AD33" s="61"/>
      <c r="AE33" s="61"/>
      <c r="AF33" s="70"/>
      <c r="AJ33" s="220">
        <v>23</v>
      </c>
      <c r="AK33" s="227" t="e">
        <f t="shared" si="2"/>
        <v>#DIV/0!</v>
      </c>
      <c r="AL33" s="227" t="e">
        <f t="shared" si="2"/>
        <v>#DIV/0!</v>
      </c>
      <c r="AM33" s="227" t="e">
        <f t="shared" si="2"/>
        <v>#DIV/0!</v>
      </c>
      <c r="AN33" s="227" t="e">
        <f t="shared" si="2"/>
        <v>#DIV/0!</v>
      </c>
      <c r="AO33" s="227" t="e">
        <f t="shared" si="2"/>
        <v>#DIV/0!</v>
      </c>
      <c r="AP33" s="227" t="e">
        <f t="shared" si="2"/>
        <v>#DIV/0!</v>
      </c>
      <c r="AQ33" s="227" t="e">
        <f t="shared" si="2"/>
        <v>#DIV/0!</v>
      </c>
      <c r="AR33" s="227" t="e">
        <f t="shared" si="2"/>
        <v>#DIV/0!</v>
      </c>
      <c r="AS33" s="227" t="e">
        <f t="shared" si="2"/>
        <v>#DIV/0!</v>
      </c>
      <c r="AT33" s="227" t="e">
        <f t="shared" si="2"/>
        <v>#DIV/0!</v>
      </c>
      <c r="AU33" s="227" t="e">
        <f t="shared" si="2"/>
        <v>#DIV/0!</v>
      </c>
      <c r="AV33" s="227" t="e">
        <f t="shared" si="2"/>
        <v>#DIV/0!</v>
      </c>
      <c r="AW33" s="227" t="e">
        <f t="shared" si="2"/>
        <v>#DIV/0!</v>
      </c>
      <c r="AX33" s="228" t="e">
        <f t="shared" si="2"/>
        <v>#DIV/0!</v>
      </c>
    </row>
    <row r="34" spans="2:50">
      <c r="B34" s="224">
        <v>24</v>
      </c>
      <c r="C34" s="68"/>
      <c r="D34" s="68"/>
      <c r="E34" s="68"/>
      <c r="F34" s="68"/>
      <c r="G34" s="68"/>
      <c r="H34" s="68"/>
      <c r="I34" s="68"/>
      <c r="J34" s="68"/>
      <c r="K34" s="68"/>
      <c r="L34" s="68"/>
      <c r="M34" s="68"/>
      <c r="N34" s="68"/>
      <c r="O34" s="68"/>
      <c r="P34" s="69"/>
      <c r="R34" s="224">
        <v>24</v>
      </c>
      <c r="S34" s="68"/>
      <c r="T34" s="68"/>
      <c r="U34" s="68"/>
      <c r="V34" s="68"/>
      <c r="W34" s="68"/>
      <c r="X34" s="68"/>
      <c r="Y34" s="68"/>
      <c r="Z34" s="68"/>
      <c r="AA34" s="68"/>
      <c r="AB34" s="68"/>
      <c r="AC34" s="68"/>
      <c r="AD34" s="68"/>
      <c r="AE34" s="68"/>
      <c r="AF34" s="69"/>
      <c r="AJ34" s="224">
        <v>24</v>
      </c>
      <c r="AK34" s="225" t="e">
        <f t="shared" si="2"/>
        <v>#DIV/0!</v>
      </c>
      <c r="AL34" s="225" t="e">
        <f t="shared" si="2"/>
        <v>#DIV/0!</v>
      </c>
      <c r="AM34" s="225" t="e">
        <f t="shared" si="2"/>
        <v>#DIV/0!</v>
      </c>
      <c r="AN34" s="225" t="e">
        <f t="shared" si="2"/>
        <v>#DIV/0!</v>
      </c>
      <c r="AO34" s="225" t="e">
        <f t="shared" si="2"/>
        <v>#DIV/0!</v>
      </c>
      <c r="AP34" s="225" t="e">
        <f t="shared" si="2"/>
        <v>#DIV/0!</v>
      </c>
      <c r="AQ34" s="225" t="e">
        <f t="shared" si="2"/>
        <v>#DIV/0!</v>
      </c>
      <c r="AR34" s="225" t="e">
        <f t="shared" si="2"/>
        <v>#DIV/0!</v>
      </c>
      <c r="AS34" s="225" t="e">
        <f t="shared" si="2"/>
        <v>#DIV/0!</v>
      </c>
      <c r="AT34" s="225" t="e">
        <f t="shared" si="2"/>
        <v>#DIV/0!</v>
      </c>
      <c r="AU34" s="225" t="e">
        <f t="shared" si="2"/>
        <v>#DIV/0!</v>
      </c>
      <c r="AV34" s="225" t="e">
        <f t="shared" si="2"/>
        <v>#DIV/0!</v>
      </c>
      <c r="AW34" s="225" t="e">
        <f t="shared" si="2"/>
        <v>#DIV/0!</v>
      </c>
      <c r="AX34" s="226" t="e">
        <f t="shared" si="2"/>
        <v>#DIV/0!</v>
      </c>
    </row>
    <row r="35" spans="2:50" s="229" customFormat="1">
      <c r="B35" s="220">
        <v>25</v>
      </c>
      <c r="C35" s="61"/>
      <c r="D35" s="61"/>
      <c r="E35" s="61"/>
      <c r="F35" s="61"/>
      <c r="G35" s="61"/>
      <c r="H35" s="61"/>
      <c r="I35" s="61"/>
      <c r="J35" s="61"/>
      <c r="K35" s="61"/>
      <c r="L35" s="61"/>
      <c r="M35" s="61"/>
      <c r="N35" s="61"/>
      <c r="O35" s="61"/>
      <c r="P35" s="70"/>
      <c r="R35" s="220">
        <v>25</v>
      </c>
      <c r="S35" s="61"/>
      <c r="T35" s="61"/>
      <c r="U35" s="61"/>
      <c r="V35" s="61"/>
      <c r="W35" s="61"/>
      <c r="X35" s="61"/>
      <c r="Y35" s="61"/>
      <c r="Z35" s="61"/>
      <c r="AA35" s="61"/>
      <c r="AB35" s="61"/>
      <c r="AC35" s="61"/>
      <c r="AD35" s="61"/>
      <c r="AE35" s="61"/>
      <c r="AF35" s="70"/>
      <c r="AJ35" s="220">
        <v>25</v>
      </c>
      <c r="AK35" s="227" t="e">
        <f t="shared" si="2"/>
        <v>#DIV/0!</v>
      </c>
      <c r="AL35" s="227" t="e">
        <f t="shared" si="2"/>
        <v>#DIV/0!</v>
      </c>
      <c r="AM35" s="227" t="e">
        <f t="shared" si="2"/>
        <v>#DIV/0!</v>
      </c>
      <c r="AN35" s="227" t="e">
        <f t="shared" si="2"/>
        <v>#DIV/0!</v>
      </c>
      <c r="AO35" s="227" t="e">
        <f t="shared" si="2"/>
        <v>#DIV/0!</v>
      </c>
      <c r="AP35" s="227" t="e">
        <f t="shared" si="2"/>
        <v>#DIV/0!</v>
      </c>
      <c r="AQ35" s="227" t="e">
        <f t="shared" si="2"/>
        <v>#DIV/0!</v>
      </c>
      <c r="AR35" s="227" t="e">
        <f t="shared" si="2"/>
        <v>#DIV/0!</v>
      </c>
      <c r="AS35" s="227" t="e">
        <f t="shared" si="2"/>
        <v>#DIV/0!</v>
      </c>
      <c r="AT35" s="227" t="e">
        <f t="shared" si="2"/>
        <v>#DIV/0!</v>
      </c>
      <c r="AU35" s="227" t="e">
        <f t="shared" si="2"/>
        <v>#DIV/0!</v>
      </c>
      <c r="AV35" s="227" t="e">
        <f t="shared" si="2"/>
        <v>#DIV/0!</v>
      </c>
      <c r="AW35" s="227" t="e">
        <f t="shared" si="2"/>
        <v>#DIV/0!</v>
      </c>
      <c r="AX35" s="228" t="e">
        <f t="shared" si="2"/>
        <v>#DIV/0!</v>
      </c>
    </row>
    <row r="36" spans="2:50">
      <c r="B36" s="220">
        <v>26</v>
      </c>
      <c r="C36" s="61"/>
      <c r="D36" s="61"/>
      <c r="E36" s="61"/>
      <c r="F36" s="61"/>
      <c r="G36" s="61"/>
      <c r="H36" s="61"/>
      <c r="I36" s="61"/>
      <c r="J36" s="61"/>
      <c r="K36" s="61"/>
      <c r="L36" s="61"/>
      <c r="M36" s="61"/>
      <c r="N36" s="61"/>
      <c r="O36" s="61"/>
      <c r="P36" s="70"/>
      <c r="R36" s="220">
        <v>26</v>
      </c>
      <c r="S36" s="61"/>
      <c r="T36" s="61"/>
      <c r="U36" s="61"/>
      <c r="V36" s="61"/>
      <c r="W36" s="61"/>
      <c r="X36" s="61"/>
      <c r="Y36" s="61"/>
      <c r="Z36" s="61"/>
      <c r="AA36" s="61"/>
      <c r="AB36" s="61"/>
      <c r="AC36" s="61"/>
      <c r="AD36" s="61"/>
      <c r="AE36" s="61"/>
      <c r="AF36" s="70"/>
      <c r="AJ36" s="220">
        <v>26</v>
      </c>
      <c r="AK36" s="227" t="e">
        <f t="shared" si="2"/>
        <v>#DIV/0!</v>
      </c>
      <c r="AL36" s="227" t="e">
        <f t="shared" si="2"/>
        <v>#DIV/0!</v>
      </c>
      <c r="AM36" s="227" t="e">
        <f t="shared" si="2"/>
        <v>#DIV/0!</v>
      </c>
      <c r="AN36" s="227" t="e">
        <f t="shared" si="2"/>
        <v>#DIV/0!</v>
      </c>
      <c r="AO36" s="227" t="e">
        <f t="shared" si="2"/>
        <v>#DIV/0!</v>
      </c>
      <c r="AP36" s="227" t="e">
        <f t="shared" si="2"/>
        <v>#DIV/0!</v>
      </c>
      <c r="AQ36" s="227" t="e">
        <f t="shared" si="2"/>
        <v>#DIV/0!</v>
      </c>
      <c r="AR36" s="227" t="e">
        <f t="shared" si="2"/>
        <v>#DIV/0!</v>
      </c>
      <c r="AS36" s="227" t="e">
        <f t="shared" si="2"/>
        <v>#DIV/0!</v>
      </c>
      <c r="AT36" s="227" t="e">
        <f t="shared" si="2"/>
        <v>#DIV/0!</v>
      </c>
      <c r="AU36" s="227" t="e">
        <f t="shared" si="2"/>
        <v>#DIV/0!</v>
      </c>
      <c r="AV36" s="227" t="e">
        <f t="shared" si="2"/>
        <v>#DIV/0!</v>
      </c>
      <c r="AW36" s="227" t="e">
        <f t="shared" si="2"/>
        <v>#DIV/0!</v>
      </c>
      <c r="AX36" s="228" t="e">
        <f t="shared" si="2"/>
        <v>#DIV/0!</v>
      </c>
    </row>
    <row r="37" spans="2:50">
      <c r="B37" s="220">
        <v>27</v>
      </c>
      <c r="C37" s="61"/>
      <c r="D37" s="61"/>
      <c r="E37" s="61"/>
      <c r="F37" s="61"/>
      <c r="G37" s="61"/>
      <c r="H37" s="61"/>
      <c r="I37" s="61"/>
      <c r="J37" s="61"/>
      <c r="K37" s="61"/>
      <c r="L37" s="61"/>
      <c r="M37" s="61"/>
      <c r="N37" s="61"/>
      <c r="O37" s="61"/>
      <c r="P37" s="70"/>
      <c r="R37" s="220">
        <v>27</v>
      </c>
      <c r="S37" s="61"/>
      <c r="T37" s="61"/>
      <c r="U37" s="61"/>
      <c r="V37" s="61"/>
      <c r="W37" s="61"/>
      <c r="X37" s="61"/>
      <c r="Y37" s="61"/>
      <c r="Z37" s="61"/>
      <c r="AA37" s="61"/>
      <c r="AB37" s="61"/>
      <c r="AC37" s="61"/>
      <c r="AD37" s="61"/>
      <c r="AE37" s="61"/>
      <c r="AF37" s="70"/>
      <c r="AJ37" s="220">
        <v>27</v>
      </c>
      <c r="AK37" s="227" t="e">
        <f t="shared" si="2"/>
        <v>#DIV/0!</v>
      </c>
      <c r="AL37" s="227" t="e">
        <f t="shared" si="2"/>
        <v>#DIV/0!</v>
      </c>
      <c r="AM37" s="227" t="e">
        <f t="shared" si="2"/>
        <v>#DIV/0!</v>
      </c>
      <c r="AN37" s="227" t="e">
        <f t="shared" si="2"/>
        <v>#DIV/0!</v>
      </c>
      <c r="AO37" s="227" t="e">
        <f t="shared" si="2"/>
        <v>#DIV/0!</v>
      </c>
      <c r="AP37" s="227" t="e">
        <f t="shared" si="2"/>
        <v>#DIV/0!</v>
      </c>
      <c r="AQ37" s="227" t="e">
        <f t="shared" si="2"/>
        <v>#DIV/0!</v>
      </c>
      <c r="AR37" s="227" t="e">
        <f t="shared" si="2"/>
        <v>#DIV/0!</v>
      </c>
      <c r="AS37" s="227" t="e">
        <f t="shared" si="2"/>
        <v>#DIV/0!</v>
      </c>
      <c r="AT37" s="227" t="e">
        <f t="shared" si="2"/>
        <v>#DIV/0!</v>
      </c>
      <c r="AU37" s="227" t="e">
        <f t="shared" si="2"/>
        <v>#DIV/0!</v>
      </c>
      <c r="AV37" s="227" t="e">
        <f t="shared" si="2"/>
        <v>#DIV/0!</v>
      </c>
      <c r="AW37" s="227" t="e">
        <f t="shared" si="2"/>
        <v>#DIV/0!</v>
      </c>
      <c r="AX37" s="228" t="e">
        <f t="shared" si="2"/>
        <v>#DIV/0!</v>
      </c>
    </row>
    <row r="38" spans="2:50">
      <c r="B38" s="220">
        <v>28</v>
      </c>
      <c r="C38" s="61"/>
      <c r="D38" s="61"/>
      <c r="E38" s="61"/>
      <c r="F38" s="61"/>
      <c r="G38" s="61"/>
      <c r="H38" s="61"/>
      <c r="I38" s="61"/>
      <c r="J38" s="61"/>
      <c r="K38" s="61"/>
      <c r="L38" s="61"/>
      <c r="M38" s="61"/>
      <c r="N38" s="61"/>
      <c r="O38" s="61"/>
      <c r="P38" s="70"/>
      <c r="R38" s="220">
        <v>28</v>
      </c>
      <c r="S38" s="61"/>
      <c r="T38" s="61"/>
      <c r="U38" s="61"/>
      <c r="V38" s="61"/>
      <c r="W38" s="61"/>
      <c r="X38" s="61"/>
      <c r="Y38" s="61"/>
      <c r="Z38" s="61"/>
      <c r="AA38" s="61"/>
      <c r="AB38" s="61"/>
      <c r="AC38" s="61"/>
      <c r="AD38" s="61"/>
      <c r="AE38" s="61"/>
      <c r="AF38" s="70"/>
      <c r="AJ38" s="220">
        <v>28</v>
      </c>
      <c r="AK38" s="227" t="e">
        <f t="shared" si="2"/>
        <v>#DIV/0!</v>
      </c>
      <c r="AL38" s="227" t="e">
        <f t="shared" si="2"/>
        <v>#DIV/0!</v>
      </c>
      <c r="AM38" s="227" t="e">
        <f t="shared" si="2"/>
        <v>#DIV/0!</v>
      </c>
      <c r="AN38" s="227" t="e">
        <f t="shared" si="2"/>
        <v>#DIV/0!</v>
      </c>
      <c r="AO38" s="227" t="e">
        <f t="shared" si="2"/>
        <v>#DIV/0!</v>
      </c>
      <c r="AP38" s="227" t="e">
        <f t="shared" si="2"/>
        <v>#DIV/0!</v>
      </c>
      <c r="AQ38" s="227" t="e">
        <f t="shared" si="2"/>
        <v>#DIV/0!</v>
      </c>
      <c r="AR38" s="227" t="e">
        <f t="shared" si="2"/>
        <v>#DIV/0!</v>
      </c>
      <c r="AS38" s="227" t="e">
        <f t="shared" si="2"/>
        <v>#DIV/0!</v>
      </c>
      <c r="AT38" s="227" t="e">
        <f t="shared" si="2"/>
        <v>#DIV/0!</v>
      </c>
      <c r="AU38" s="227" t="e">
        <f t="shared" si="2"/>
        <v>#DIV/0!</v>
      </c>
      <c r="AV38" s="227" t="e">
        <f t="shared" si="2"/>
        <v>#DIV/0!</v>
      </c>
      <c r="AW38" s="227" t="e">
        <f t="shared" si="2"/>
        <v>#DIV/0!</v>
      </c>
      <c r="AX38" s="228" t="e">
        <f t="shared" si="2"/>
        <v>#DIV/0!</v>
      </c>
    </row>
    <row r="39" spans="2:50">
      <c r="B39" s="220">
        <v>29</v>
      </c>
      <c r="C39" s="61"/>
      <c r="D39" s="61"/>
      <c r="E39" s="61"/>
      <c r="F39" s="61"/>
      <c r="G39" s="61"/>
      <c r="H39" s="61"/>
      <c r="I39" s="61"/>
      <c r="J39" s="61"/>
      <c r="K39" s="61"/>
      <c r="L39" s="61"/>
      <c r="M39" s="61"/>
      <c r="N39" s="61"/>
      <c r="O39" s="61"/>
      <c r="P39" s="70"/>
      <c r="R39" s="220">
        <v>29</v>
      </c>
      <c r="S39" s="61"/>
      <c r="T39" s="61"/>
      <c r="U39" s="61"/>
      <c r="V39" s="61"/>
      <c r="W39" s="61"/>
      <c r="X39" s="61"/>
      <c r="Y39" s="61"/>
      <c r="Z39" s="61"/>
      <c r="AA39" s="61"/>
      <c r="AB39" s="61"/>
      <c r="AC39" s="61"/>
      <c r="AD39" s="61"/>
      <c r="AE39" s="61"/>
      <c r="AF39" s="70"/>
      <c r="AJ39" s="220">
        <v>29</v>
      </c>
      <c r="AK39" s="227" t="e">
        <f t="shared" si="2"/>
        <v>#DIV/0!</v>
      </c>
      <c r="AL39" s="227" t="e">
        <f t="shared" si="2"/>
        <v>#DIV/0!</v>
      </c>
      <c r="AM39" s="227" t="e">
        <f t="shared" si="2"/>
        <v>#DIV/0!</v>
      </c>
      <c r="AN39" s="227" t="e">
        <f t="shared" si="2"/>
        <v>#DIV/0!</v>
      </c>
      <c r="AO39" s="227" t="e">
        <f t="shared" si="2"/>
        <v>#DIV/0!</v>
      </c>
      <c r="AP39" s="227" t="e">
        <f t="shared" si="2"/>
        <v>#DIV/0!</v>
      </c>
      <c r="AQ39" s="227" t="e">
        <f t="shared" si="2"/>
        <v>#DIV/0!</v>
      </c>
      <c r="AR39" s="227" t="e">
        <f t="shared" si="2"/>
        <v>#DIV/0!</v>
      </c>
      <c r="AS39" s="227" t="e">
        <f t="shared" si="2"/>
        <v>#DIV/0!</v>
      </c>
      <c r="AT39" s="227" t="e">
        <f t="shared" si="2"/>
        <v>#DIV/0!</v>
      </c>
      <c r="AU39" s="227" t="e">
        <f t="shared" si="2"/>
        <v>#DIV/0!</v>
      </c>
      <c r="AV39" s="227" t="e">
        <f t="shared" si="2"/>
        <v>#DIV/0!</v>
      </c>
      <c r="AW39" s="227" t="e">
        <f t="shared" si="2"/>
        <v>#DIV/0!</v>
      </c>
      <c r="AX39" s="228" t="e">
        <f t="shared" si="2"/>
        <v>#DIV/0!</v>
      </c>
    </row>
    <row r="40" spans="2:50">
      <c r="B40" s="220">
        <v>30</v>
      </c>
      <c r="C40" s="61"/>
      <c r="D40" s="61"/>
      <c r="E40" s="61"/>
      <c r="F40" s="61"/>
      <c r="G40" s="61"/>
      <c r="H40" s="61"/>
      <c r="I40" s="61"/>
      <c r="J40" s="61"/>
      <c r="K40" s="61"/>
      <c r="L40" s="61"/>
      <c r="M40" s="61"/>
      <c r="N40" s="61"/>
      <c r="O40" s="61"/>
      <c r="P40" s="70"/>
      <c r="R40" s="220">
        <v>30</v>
      </c>
      <c r="S40" s="61"/>
      <c r="T40" s="61"/>
      <c r="U40" s="61"/>
      <c r="V40" s="61"/>
      <c r="W40" s="61"/>
      <c r="X40" s="61"/>
      <c r="Y40" s="61"/>
      <c r="Z40" s="61"/>
      <c r="AA40" s="61"/>
      <c r="AB40" s="61"/>
      <c r="AC40" s="61"/>
      <c r="AD40" s="61"/>
      <c r="AE40" s="61"/>
      <c r="AF40" s="70"/>
      <c r="AJ40" s="220">
        <v>30</v>
      </c>
      <c r="AK40" s="227" t="e">
        <f t="shared" si="2"/>
        <v>#DIV/0!</v>
      </c>
      <c r="AL40" s="227" t="e">
        <f t="shared" si="2"/>
        <v>#DIV/0!</v>
      </c>
      <c r="AM40" s="227" t="e">
        <f t="shared" si="2"/>
        <v>#DIV/0!</v>
      </c>
      <c r="AN40" s="227" t="e">
        <f t="shared" si="2"/>
        <v>#DIV/0!</v>
      </c>
      <c r="AO40" s="227" t="e">
        <f t="shared" si="2"/>
        <v>#DIV/0!</v>
      </c>
      <c r="AP40" s="227" t="e">
        <f t="shared" si="2"/>
        <v>#DIV/0!</v>
      </c>
      <c r="AQ40" s="227" t="e">
        <f t="shared" si="2"/>
        <v>#DIV/0!</v>
      </c>
      <c r="AR40" s="227" t="e">
        <f t="shared" si="2"/>
        <v>#DIV/0!</v>
      </c>
      <c r="AS40" s="227" t="e">
        <f t="shared" si="2"/>
        <v>#DIV/0!</v>
      </c>
      <c r="AT40" s="227" t="e">
        <f t="shared" si="2"/>
        <v>#DIV/0!</v>
      </c>
      <c r="AU40" s="227" t="e">
        <f t="shared" si="2"/>
        <v>#DIV/0!</v>
      </c>
      <c r="AV40" s="227" t="e">
        <f t="shared" si="2"/>
        <v>#DIV/0!</v>
      </c>
      <c r="AW40" s="227" t="e">
        <f t="shared" si="2"/>
        <v>#DIV/0!</v>
      </c>
      <c r="AX40" s="228" t="e">
        <f t="shared" si="2"/>
        <v>#DIV/0!</v>
      </c>
    </row>
    <row r="41" spans="2:50">
      <c r="B41" s="220">
        <v>31</v>
      </c>
      <c r="C41" s="61"/>
      <c r="D41" s="61"/>
      <c r="E41" s="61"/>
      <c r="F41" s="61"/>
      <c r="G41" s="61"/>
      <c r="H41" s="61"/>
      <c r="I41" s="61"/>
      <c r="J41" s="61"/>
      <c r="K41" s="61"/>
      <c r="L41" s="61"/>
      <c r="M41" s="61"/>
      <c r="N41" s="61"/>
      <c r="O41" s="61"/>
      <c r="P41" s="70"/>
      <c r="R41" s="220">
        <v>31</v>
      </c>
      <c r="S41" s="61"/>
      <c r="T41" s="61"/>
      <c r="U41" s="61"/>
      <c r="V41" s="61"/>
      <c r="W41" s="61"/>
      <c r="X41" s="61"/>
      <c r="Y41" s="61"/>
      <c r="Z41" s="61"/>
      <c r="AA41" s="61"/>
      <c r="AB41" s="61"/>
      <c r="AC41" s="61"/>
      <c r="AD41" s="61"/>
      <c r="AE41" s="61"/>
      <c r="AF41" s="70"/>
      <c r="AJ41" s="220">
        <v>31</v>
      </c>
      <c r="AK41" s="227" t="e">
        <f t="shared" si="2"/>
        <v>#DIV/0!</v>
      </c>
      <c r="AL41" s="227" t="e">
        <f t="shared" si="2"/>
        <v>#DIV/0!</v>
      </c>
      <c r="AM41" s="227" t="e">
        <f t="shared" si="2"/>
        <v>#DIV/0!</v>
      </c>
      <c r="AN41" s="227" t="e">
        <f t="shared" si="2"/>
        <v>#DIV/0!</v>
      </c>
      <c r="AO41" s="227" t="e">
        <f t="shared" si="2"/>
        <v>#DIV/0!</v>
      </c>
      <c r="AP41" s="227" t="e">
        <f t="shared" si="2"/>
        <v>#DIV/0!</v>
      </c>
      <c r="AQ41" s="227" t="e">
        <f t="shared" si="2"/>
        <v>#DIV/0!</v>
      </c>
      <c r="AR41" s="227" t="e">
        <f t="shared" si="2"/>
        <v>#DIV/0!</v>
      </c>
      <c r="AS41" s="227" t="e">
        <f t="shared" si="2"/>
        <v>#DIV/0!</v>
      </c>
      <c r="AT41" s="227" t="e">
        <f t="shared" si="2"/>
        <v>#DIV/0!</v>
      </c>
      <c r="AU41" s="227" t="e">
        <f t="shared" si="2"/>
        <v>#DIV/0!</v>
      </c>
      <c r="AV41" s="227" t="e">
        <f t="shared" si="2"/>
        <v>#DIV/0!</v>
      </c>
      <c r="AW41" s="227" t="e">
        <f t="shared" si="2"/>
        <v>#DIV/0!</v>
      </c>
      <c r="AX41" s="228" t="e">
        <f t="shared" si="2"/>
        <v>#DIV/0!</v>
      </c>
    </row>
    <row r="42" spans="2:50">
      <c r="B42" s="220">
        <v>32</v>
      </c>
      <c r="C42" s="61"/>
      <c r="D42" s="61"/>
      <c r="E42" s="61"/>
      <c r="F42" s="61"/>
      <c r="G42" s="61"/>
      <c r="H42" s="61"/>
      <c r="I42" s="61"/>
      <c r="J42" s="61"/>
      <c r="K42" s="61"/>
      <c r="L42" s="61"/>
      <c r="M42" s="61"/>
      <c r="N42" s="61"/>
      <c r="O42" s="61"/>
      <c r="P42" s="70"/>
      <c r="R42" s="220">
        <v>32</v>
      </c>
      <c r="S42" s="61"/>
      <c r="T42" s="61"/>
      <c r="U42" s="61"/>
      <c r="V42" s="61"/>
      <c r="W42" s="61"/>
      <c r="X42" s="61"/>
      <c r="Y42" s="61"/>
      <c r="Z42" s="61"/>
      <c r="AA42" s="61"/>
      <c r="AB42" s="61"/>
      <c r="AC42" s="61"/>
      <c r="AD42" s="61"/>
      <c r="AE42" s="61"/>
      <c r="AF42" s="70"/>
      <c r="AJ42" s="220">
        <v>32</v>
      </c>
      <c r="AK42" s="227" t="e">
        <f t="shared" si="2"/>
        <v>#DIV/0!</v>
      </c>
      <c r="AL42" s="227" t="e">
        <f t="shared" si="2"/>
        <v>#DIV/0!</v>
      </c>
      <c r="AM42" s="227" t="e">
        <f t="shared" si="2"/>
        <v>#DIV/0!</v>
      </c>
      <c r="AN42" s="227" t="e">
        <f t="shared" si="2"/>
        <v>#DIV/0!</v>
      </c>
      <c r="AO42" s="227" t="e">
        <f t="shared" si="2"/>
        <v>#DIV/0!</v>
      </c>
      <c r="AP42" s="227" t="e">
        <f t="shared" si="2"/>
        <v>#DIV/0!</v>
      </c>
      <c r="AQ42" s="227" t="e">
        <f t="shared" si="2"/>
        <v>#DIV/0!</v>
      </c>
      <c r="AR42" s="227" t="e">
        <f t="shared" si="2"/>
        <v>#DIV/0!</v>
      </c>
      <c r="AS42" s="227" t="e">
        <f t="shared" si="2"/>
        <v>#DIV/0!</v>
      </c>
      <c r="AT42" s="227" t="e">
        <f t="shared" si="2"/>
        <v>#DIV/0!</v>
      </c>
      <c r="AU42" s="227" t="e">
        <f t="shared" si="2"/>
        <v>#DIV/0!</v>
      </c>
      <c r="AV42" s="227" t="e">
        <f t="shared" si="2"/>
        <v>#DIV/0!</v>
      </c>
      <c r="AW42" s="227" t="e">
        <f t="shared" si="2"/>
        <v>#DIV/0!</v>
      </c>
      <c r="AX42" s="228" t="e">
        <f t="shared" si="2"/>
        <v>#DIV/0!</v>
      </c>
    </row>
    <row r="43" spans="2:50">
      <c r="B43" s="220">
        <v>33</v>
      </c>
      <c r="C43" s="61"/>
      <c r="D43" s="61"/>
      <c r="E43" s="61"/>
      <c r="F43" s="61"/>
      <c r="G43" s="61"/>
      <c r="H43" s="61"/>
      <c r="I43" s="61"/>
      <c r="J43" s="61"/>
      <c r="K43" s="61"/>
      <c r="L43" s="61"/>
      <c r="M43" s="61"/>
      <c r="N43" s="61"/>
      <c r="O43" s="61"/>
      <c r="P43" s="70"/>
      <c r="R43" s="220">
        <v>33</v>
      </c>
      <c r="S43" s="61"/>
      <c r="T43" s="61"/>
      <c r="U43" s="61"/>
      <c r="V43" s="61"/>
      <c r="W43" s="61"/>
      <c r="X43" s="61"/>
      <c r="Y43" s="61"/>
      <c r="Z43" s="61"/>
      <c r="AA43" s="61"/>
      <c r="AB43" s="61"/>
      <c r="AC43" s="61"/>
      <c r="AD43" s="61"/>
      <c r="AE43" s="61"/>
      <c r="AF43" s="70"/>
      <c r="AJ43" s="220">
        <v>33</v>
      </c>
      <c r="AK43" s="227" t="e">
        <f t="shared" ref="AK43:AX58" si="3">EXP(-AK$9*$AJ43)</f>
        <v>#DIV/0!</v>
      </c>
      <c r="AL43" s="227" t="e">
        <f t="shared" si="3"/>
        <v>#DIV/0!</v>
      </c>
      <c r="AM43" s="227" t="e">
        <f t="shared" si="3"/>
        <v>#DIV/0!</v>
      </c>
      <c r="AN43" s="227" t="e">
        <f t="shared" si="3"/>
        <v>#DIV/0!</v>
      </c>
      <c r="AO43" s="227" t="e">
        <f t="shared" si="3"/>
        <v>#DIV/0!</v>
      </c>
      <c r="AP43" s="227" t="e">
        <f t="shared" si="3"/>
        <v>#DIV/0!</v>
      </c>
      <c r="AQ43" s="227" t="e">
        <f t="shared" si="3"/>
        <v>#DIV/0!</v>
      </c>
      <c r="AR43" s="227" t="e">
        <f t="shared" si="3"/>
        <v>#DIV/0!</v>
      </c>
      <c r="AS43" s="227" t="e">
        <f t="shared" si="3"/>
        <v>#DIV/0!</v>
      </c>
      <c r="AT43" s="227" t="e">
        <f t="shared" si="3"/>
        <v>#DIV/0!</v>
      </c>
      <c r="AU43" s="227" t="e">
        <f t="shared" si="3"/>
        <v>#DIV/0!</v>
      </c>
      <c r="AV43" s="227" t="e">
        <f t="shared" si="3"/>
        <v>#DIV/0!</v>
      </c>
      <c r="AW43" s="227" t="e">
        <f t="shared" si="3"/>
        <v>#DIV/0!</v>
      </c>
      <c r="AX43" s="228" t="e">
        <f t="shared" si="3"/>
        <v>#DIV/0!</v>
      </c>
    </row>
    <row r="44" spans="2:50">
      <c r="B44" s="220">
        <v>34</v>
      </c>
      <c r="C44" s="61"/>
      <c r="D44" s="61"/>
      <c r="E44" s="61"/>
      <c r="F44" s="61"/>
      <c r="G44" s="61"/>
      <c r="H44" s="61"/>
      <c r="I44" s="61"/>
      <c r="J44" s="61"/>
      <c r="K44" s="61"/>
      <c r="L44" s="61"/>
      <c r="M44" s="61"/>
      <c r="N44" s="61"/>
      <c r="O44" s="61"/>
      <c r="P44" s="70"/>
      <c r="R44" s="220">
        <v>34</v>
      </c>
      <c r="S44" s="61"/>
      <c r="T44" s="61"/>
      <c r="U44" s="61"/>
      <c r="V44" s="61"/>
      <c r="W44" s="61"/>
      <c r="X44" s="61"/>
      <c r="Y44" s="61"/>
      <c r="Z44" s="61"/>
      <c r="AA44" s="61"/>
      <c r="AB44" s="61"/>
      <c r="AC44" s="61"/>
      <c r="AD44" s="61"/>
      <c r="AE44" s="61"/>
      <c r="AF44" s="70"/>
      <c r="AJ44" s="220">
        <v>34</v>
      </c>
      <c r="AK44" s="227" t="e">
        <f t="shared" si="3"/>
        <v>#DIV/0!</v>
      </c>
      <c r="AL44" s="227" t="e">
        <f t="shared" si="3"/>
        <v>#DIV/0!</v>
      </c>
      <c r="AM44" s="227" t="e">
        <f t="shared" si="3"/>
        <v>#DIV/0!</v>
      </c>
      <c r="AN44" s="227" t="e">
        <f t="shared" si="3"/>
        <v>#DIV/0!</v>
      </c>
      <c r="AO44" s="227" t="e">
        <f t="shared" si="3"/>
        <v>#DIV/0!</v>
      </c>
      <c r="AP44" s="227" t="e">
        <f t="shared" si="3"/>
        <v>#DIV/0!</v>
      </c>
      <c r="AQ44" s="227" t="e">
        <f t="shared" si="3"/>
        <v>#DIV/0!</v>
      </c>
      <c r="AR44" s="227" t="e">
        <f t="shared" si="3"/>
        <v>#DIV/0!</v>
      </c>
      <c r="AS44" s="227" t="e">
        <f t="shared" si="3"/>
        <v>#DIV/0!</v>
      </c>
      <c r="AT44" s="227" t="e">
        <f t="shared" si="3"/>
        <v>#DIV/0!</v>
      </c>
      <c r="AU44" s="227" t="e">
        <f t="shared" si="3"/>
        <v>#DIV/0!</v>
      </c>
      <c r="AV44" s="227" t="e">
        <f t="shared" si="3"/>
        <v>#DIV/0!</v>
      </c>
      <c r="AW44" s="227" t="e">
        <f t="shared" si="3"/>
        <v>#DIV/0!</v>
      </c>
      <c r="AX44" s="228" t="e">
        <f t="shared" si="3"/>
        <v>#DIV/0!</v>
      </c>
    </row>
    <row r="45" spans="2:50">
      <c r="B45" s="220">
        <v>35</v>
      </c>
      <c r="C45" s="61"/>
      <c r="D45" s="61"/>
      <c r="E45" s="61"/>
      <c r="F45" s="61"/>
      <c r="G45" s="61"/>
      <c r="H45" s="61"/>
      <c r="I45" s="61"/>
      <c r="J45" s="61"/>
      <c r="K45" s="61"/>
      <c r="L45" s="61"/>
      <c r="M45" s="61"/>
      <c r="N45" s="61"/>
      <c r="O45" s="61"/>
      <c r="P45" s="70"/>
      <c r="R45" s="220">
        <v>35</v>
      </c>
      <c r="S45" s="61"/>
      <c r="T45" s="61"/>
      <c r="U45" s="61"/>
      <c r="V45" s="61"/>
      <c r="W45" s="61"/>
      <c r="X45" s="61"/>
      <c r="Y45" s="61"/>
      <c r="Z45" s="61"/>
      <c r="AA45" s="61"/>
      <c r="AB45" s="61"/>
      <c r="AC45" s="61"/>
      <c r="AD45" s="61"/>
      <c r="AE45" s="61"/>
      <c r="AF45" s="70"/>
      <c r="AJ45" s="220">
        <v>35</v>
      </c>
      <c r="AK45" s="227" t="e">
        <f t="shared" si="3"/>
        <v>#DIV/0!</v>
      </c>
      <c r="AL45" s="227" t="e">
        <f t="shared" si="3"/>
        <v>#DIV/0!</v>
      </c>
      <c r="AM45" s="227" t="e">
        <f t="shared" si="3"/>
        <v>#DIV/0!</v>
      </c>
      <c r="AN45" s="227" t="e">
        <f t="shared" si="3"/>
        <v>#DIV/0!</v>
      </c>
      <c r="AO45" s="227" t="e">
        <f t="shared" si="3"/>
        <v>#DIV/0!</v>
      </c>
      <c r="AP45" s="227" t="e">
        <f t="shared" si="3"/>
        <v>#DIV/0!</v>
      </c>
      <c r="AQ45" s="227" t="e">
        <f t="shared" si="3"/>
        <v>#DIV/0!</v>
      </c>
      <c r="AR45" s="227" t="e">
        <f t="shared" si="3"/>
        <v>#DIV/0!</v>
      </c>
      <c r="AS45" s="227" t="e">
        <f t="shared" si="3"/>
        <v>#DIV/0!</v>
      </c>
      <c r="AT45" s="227" t="e">
        <f t="shared" si="3"/>
        <v>#DIV/0!</v>
      </c>
      <c r="AU45" s="227" t="e">
        <f t="shared" si="3"/>
        <v>#DIV/0!</v>
      </c>
      <c r="AV45" s="227" t="e">
        <f t="shared" si="3"/>
        <v>#DIV/0!</v>
      </c>
      <c r="AW45" s="227" t="e">
        <f t="shared" si="3"/>
        <v>#DIV/0!</v>
      </c>
      <c r="AX45" s="228" t="e">
        <f t="shared" si="3"/>
        <v>#DIV/0!</v>
      </c>
    </row>
    <row r="46" spans="2:50">
      <c r="B46" s="224">
        <v>36</v>
      </c>
      <c r="C46" s="68"/>
      <c r="D46" s="68"/>
      <c r="E46" s="68"/>
      <c r="F46" s="68"/>
      <c r="G46" s="68"/>
      <c r="H46" s="68"/>
      <c r="I46" s="68"/>
      <c r="J46" s="68"/>
      <c r="K46" s="68"/>
      <c r="L46" s="68"/>
      <c r="M46" s="68"/>
      <c r="N46" s="68"/>
      <c r="O46" s="68"/>
      <c r="P46" s="69"/>
      <c r="R46" s="224">
        <v>36</v>
      </c>
      <c r="S46" s="68"/>
      <c r="T46" s="68"/>
      <c r="U46" s="68"/>
      <c r="V46" s="68"/>
      <c r="W46" s="68"/>
      <c r="X46" s="68"/>
      <c r="Y46" s="68"/>
      <c r="Z46" s="68"/>
      <c r="AA46" s="68"/>
      <c r="AB46" s="68"/>
      <c r="AC46" s="68"/>
      <c r="AD46" s="68"/>
      <c r="AE46" s="68"/>
      <c r="AF46" s="69"/>
      <c r="AJ46" s="224">
        <v>36</v>
      </c>
      <c r="AK46" s="225" t="e">
        <f t="shared" si="3"/>
        <v>#DIV/0!</v>
      </c>
      <c r="AL46" s="225" t="e">
        <f t="shared" si="3"/>
        <v>#DIV/0!</v>
      </c>
      <c r="AM46" s="225" t="e">
        <f t="shared" si="3"/>
        <v>#DIV/0!</v>
      </c>
      <c r="AN46" s="225" t="e">
        <f t="shared" si="3"/>
        <v>#DIV/0!</v>
      </c>
      <c r="AO46" s="225" t="e">
        <f t="shared" si="3"/>
        <v>#DIV/0!</v>
      </c>
      <c r="AP46" s="225" t="e">
        <f t="shared" si="3"/>
        <v>#DIV/0!</v>
      </c>
      <c r="AQ46" s="225" t="e">
        <f t="shared" si="3"/>
        <v>#DIV/0!</v>
      </c>
      <c r="AR46" s="225" t="e">
        <f t="shared" si="3"/>
        <v>#DIV/0!</v>
      </c>
      <c r="AS46" s="225" t="e">
        <f t="shared" si="3"/>
        <v>#DIV/0!</v>
      </c>
      <c r="AT46" s="225" t="e">
        <f t="shared" si="3"/>
        <v>#DIV/0!</v>
      </c>
      <c r="AU46" s="225" t="e">
        <f t="shared" si="3"/>
        <v>#DIV/0!</v>
      </c>
      <c r="AV46" s="225" t="e">
        <f t="shared" si="3"/>
        <v>#DIV/0!</v>
      </c>
      <c r="AW46" s="225" t="e">
        <f t="shared" si="3"/>
        <v>#DIV/0!</v>
      </c>
      <c r="AX46" s="226" t="e">
        <f t="shared" si="3"/>
        <v>#DIV/0!</v>
      </c>
    </row>
    <row r="47" spans="2:50" s="229" customFormat="1">
      <c r="B47" s="220">
        <v>37</v>
      </c>
      <c r="C47" s="61"/>
      <c r="D47" s="61"/>
      <c r="E47" s="61"/>
      <c r="F47" s="61"/>
      <c r="G47" s="61"/>
      <c r="H47" s="61"/>
      <c r="I47" s="61"/>
      <c r="J47" s="61"/>
      <c r="K47" s="61"/>
      <c r="L47" s="61"/>
      <c r="M47" s="61"/>
      <c r="N47" s="61"/>
      <c r="O47" s="61"/>
      <c r="P47" s="70"/>
      <c r="R47" s="220">
        <v>37</v>
      </c>
      <c r="S47" s="61"/>
      <c r="T47" s="61"/>
      <c r="U47" s="61"/>
      <c r="V47" s="61"/>
      <c r="W47" s="61"/>
      <c r="X47" s="61"/>
      <c r="Y47" s="61"/>
      <c r="Z47" s="61"/>
      <c r="AA47" s="61"/>
      <c r="AB47" s="61"/>
      <c r="AC47" s="61"/>
      <c r="AD47" s="61"/>
      <c r="AE47" s="61"/>
      <c r="AF47" s="70"/>
      <c r="AJ47" s="220">
        <v>37</v>
      </c>
      <c r="AK47" s="227" t="e">
        <f t="shared" si="3"/>
        <v>#DIV/0!</v>
      </c>
      <c r="AL47" s="227" t="e">
        <f t="shared" si="3"/>
        <v>#DIV/0!</v>
      </c>
      <c r="AM47" s="227" t="e">
        <f t="shared" si="3"/>
        <v>#DIV/0!</v>
      </c>
      <c r="AN47" s="227" t="e">
        <f t="shared" si="3"/>
        <v>#DIV/0!</v>
      </c>
      <c r="AO47" s="227" t="e">
        <f t="shared" si="3"/>
        <v>#DIV/0!</v>
      </c>
      <c r="AP47" s="227" t="e">
        <f t="shared" si="3"/>
        <v>#DIV/0!</v>
      </c>
      <c r="AQ47" s="227" t="e">
        <f t="shared" si="3"/>
        <v>#DIV/0!</v>
      </c>
      <c r="AR47" s="227" t="e">
        <f t="shared" si="3"/>
        <v>#DIV/0!</v>
      </c>
      <c r="AS47" s="227" t="e">
        <f t="shared" si="3"/>
        <v>#DIV/0!</v>
      </c>
      <c r="AT47" s="227" t="e">
        <f t="shared" si="3"/>
        <v>#DIV/0!</v>
      </c>
      <c r="AU47" s="227" t="e">
        <f t="shared" si="3"/>
        <v>#DIV/0!</v>
      </c>
      <c r="AV47" s="227" t="e">
        <f t="shared" si="3"/>
        <v>#DIV/0!</v>
      </c>
      <c r="AW47" s="227" t="e">
        <f t="shared" si="3"/>
        <v>#DIV/0!</v>
      </c>
      <c r="AX47" s="228" t="e">
        <f t="shared" si="3"/>
        <v>#DIV/0!</v>
      </c>
    </row>
    <row r="48" spans="2:50">
      <c r="B48" s="220">
        <v>38</v>
      </c>
      <c r="C48" s="61"/>
      <c r="D48" s="61"/>
      <c r="E48" s="61"/>
      <c r="F48" s="61"/>
      <c r="G48" s="61"/>
      <c r="H48" s="61"/>
      <c r="I48" s="61"/>
      <c r="J48" s="61"/>
      <c r="K48" s="61"/>
      <c r="L48" s="61"/>
      <c r="M48" s="61"/>
      <c r="N48" s="61"/>
      <c r="O48" s="61"/>
      <c r="P48" s="70"/>
      <c r="R48" s="220">
        <v>38</v>
      </c>
      <c r="S48" s="61"/>
      <c r="T48" s="61"/>
      <c r="U48" s="61"/>
      <c r="V48" s="61"/>
      <c r="W48" s="61"/>
      <c r="X48" s="61"/>
      <c r="Y48" s="61"/>
      <c r="Z48" s="61"/>
      <c r="AA48" s="61"/>
      <c r="AB48" s="61"/>
      <c r="AC48" s="61"/>
      <c r="AD48" s="61"/>
      <c r="AE48" s="61"/>
      <c r="AF48" s="70"/>
      <c r="AJ48" s="220">
        <v>38</v>
      </c>
      <c r="AK48" s="227" t="e">
        <f t="shared" si="3"/>
        <v>#DIV/0!</v>
      </c>
      <c r="AL48" s="227" t="e">
        <f t="shared" si="3"/>
        <v>#DIV/0!</v>
      </c>
      <c r="AM48" s="227" t="e">
        <f t="shared" si="3"/>
        <v>#DIV/0!</v>
      </c>
      <c r="AN48" s="227" t="e">
        <f t="shared" si="3"/>
        <v>#DIV/0!</v>
      </c>
      <c r="AO48" s="227" t="e">
        <f t="shared" si="3"/>
        <v>#DIV/0!</v>
      </c>
      <c r="AP48" s="227" t="e">
        <f t="shared" si="3"/>
        <v>#DIV/0!</v>
      </c>
      <c r="AQ48" s="227" t="e">
        <f t="shared" si="3"/>
        <v>#DIV/0!</v>
      </c>
      <c r="AR48" s="227" t="e">
        <f t="shared" si="3"/>
        <v>#DIV/0!</v>
      </c>
      <c r="AS48" s="227" t="e">
        <f t="shared" si="3"/>
        <v>#DIV/0!</v>
      </c>
      <c r="AT48" s="227" t="e">
        <f t="shared" si="3"/>
        <v>#DIV/0!</v>
      </c>
      <c r="AU48" s="227" t="e">
        <f t="shared" si="3"/>
        <v>#DIV/0!</v>
      </c>
      <c r="AV48" s="227" t="e">
        <f t="shared" si="3"/>
        <v>#DIV/0!</v>
      </c>
      <c r="AW48" s="227" t="e">
        <f t="shared" si="3"/>
        <v>#DIV/0!</v>
      </c>
      <c r="AX48" s="228" t="e">
        <f t="shared" si="3"/>
        <v>#DIV/0!</v>
      </c>
    </row>
    <row r="49" spans="2:50">
      <c r="B49" s="220">
        <v>39</v>
      </c>
      <c r="C49" s="61"/>
      <c r="D49" s="61"/>
      <c r="E49" s="61"/>
      <c r="F49" s="61"/>
      <c r="G49" s="61"/>
      <c r="H49" s="61"/>
      <c r="I49" s="61"/>
      <c r="J49" s="61"/>
      <c r="K49" s="61"/>
      <c r="L49" s="61"/>
      <c r="M49" s="61"/>
      <c r="N49" s="61"/>
      <c r="O49" s="61"/>
      <c r="P49" s="70"/>
      <c r="R49" s="220">
        <v>39</v>
      </c>
      <c r="S49" s="61"/>
      <c r="T49" s="61"/>
      <c r="U49" s="61"/>
      <c r="V49" s="61"/>
      <c r="W49" s="61"/>
      <c r="X49" s="61"/>
      <c r="Y49" s="61"/>
      <c r="Z49" s="61"/>
      <c r="AA49" s="61"/>
      <c r="AB49" s="61"/>
      <c r="AC49" s="61"/>
      <c r="AD49" s="61"/>
      <c r="AE49" s="61"/>
      <c r="AF49" s="70"/>
      <c r="AJ49" s="220">
        <v>39</v>
      </c>
      <c r="AK49" s="227" t="e">
        <f t="shared" si="3"/>
        <v>#DIV/0!</v>
      </c>
      <c r="AL49" s="227" t="e">
        <f t="shared" si="3"/>
        <v>#DIV/0!</v>
      </c>
      <c r="AM49" s="227" t="e">
        <f t="shared" si="3"/>
        <v>#DIV/0!</v>
      </c>
      <c r="AN49" s="227" t="e">
        <f t="shared" si="3"/>
        <v>#DIV/0!</v>
      </c>
      <c r="AO49" s="227" t="e">
        <f t="shared" si="3"/>
        <v>#DIV/0!</v>
      </c>
      <c r="AP49" s="227" t="e">
        <f t="shared" si="3"/>
        <v>#DIV/0!</v>
      </c>
      <c r="AQ49" s="227" t="e">
        <f t="shared" si="3"/>
        <v>#DIV/0!</v>
      </c>
      <c r="AR49" s="227" t="e">
        <f t="shared" si="3"/>
        <v>#DIV/0!</v>
      </c>
      <c r="AS49" s="227" t="e">
        <f t="shared" si="3"/>
        <v>#DIV/0!</v>
      </c>
      <c r="AT49" s="227" t="e">
        <f t="shared" si="3"/>
        <v>#DIV/0!</v>
      </c>
      <c r="AU49" s="227" t="e">
        <f t="shared" si="3"/>
        <v>#DIV/0!</v>
      </c>
      <c r="AV49" s="227" t="e">
        <f t="shared" si="3"/>
        <v>#DIV/0!</v>
      </c>
      <c r="AW49" s="227" t="e">
        <f t="shared" si="3"/>
        <v>#DIV/0!</v>
      </c>
      <c r="AX49" s="228" t="e">
        <f t="shared" si="3"/>
        <v>#DIV/0!</v>
      </c>
    </row>
    <row r="50" spans="2:50">
      <c r="B50" s="220">
        <v>40</v>
      </c>
      <c r="C50" s="61"/>
      <c r="D50" s="61"/>
      <c r="E50" s="61"/>
      <c r="F50" s="61"/>
      <c r="G50" s="61"/>
      <c r="H50" s="61"/>
      <c r="I50" s="61"/>
      <c r="J50" s="61"/>
      <c r="K50" s="61"/>
      <c r="L50" s="61"/>
      <c r="M50" s="61"/>
      <c r="N50" s="61"/>
      <c r="O50" s="61"/>
      <c r="P50" s="70"/>
      <c r="R50" s="220">
        <v>40</v>
      </c>
      <c r="S50" s="61"/>
      <c r="T50" s="61"/>
      <c r="U50" s="61"/>
      <c r="V50" s="61"/>
      <c r="W50" s="61"/>
      <c r="X50" s="61"/>
      <c r="Y50" s="61"/>
      <c r="Z50" s="61"/>
      <c r="AA50" s="61"/>
      <c r="AB50" s="61"/>
      <c r="AC50" s="61"/>
      <c r="AD50" s="61"/>
      <c r="AE50" s="61"/>
      <c r="AF50" s="70"/>
      <c r="AJ50" s="220">
        <v>40</v>
      </c>
      <c r="AK50" s="227" t="e">
        <f t="shared" si="3"/>
        <v>#DIV/0!</v>
      </c>
      <c r="AL50" s="227" t="e">
        <f t="shared" si="3"/>
        <v>#DIV/0!</v>
      </c>
      <c r="AM50" s="227" t="e">
        <f t="shared" si="3"/>
        <v>#DIV/0!</v>
      </c>
      <c r="AN50" s="227" t="e">
        <f t="shared" si="3"/>
        <v>#DIV/0!</v>
      </c>
      <c r="AO50" s="227" t="e">
        <f t="shared" si="3"/>
        <v>#DIV/0!</v>
      </c>
      <c r="AP50" s="227" t="e">
        <f t="shared" si="3"/>
        <v>#DIV/0!</v>
      </c>
      <c r="AQ50" s="227" t="e">
        <f t="shared" si="3"/>
        <v>#DIV/0!</v>
      </c>
      <c r="AR50" s="227" t="e">
        <f t="shared" si="3"/>
        <v>#DIV/0!</v>
      </c>
      <c r="AS50" s="227" t="e">
        <f t="shared" si="3"/>
        <v>#DIV/0!</v>
      </c>
      <c r="AT50" s="227" t="e">
        <f t="shared" si="3"/>
        <v>#DIV/0!</v>
      </c>
      <c r="AU50" s="227" t="e">
        <f t="shared" si="3"/>
        <v>#DIV/0!</v>
      </c>
      <c r="AV50" s="227" t="e">
        <f t="shared" si="3"/>
        <v>#DIV/0!</v>
      </c>
      <c r="AW50" s="227" t="e">
        <f t="shared" si="3"/>
        <v>#DIV/0!</v>
      </c>
      <c r="AX50" s="228" t="e">
        <f t="shared" si="3"/>
        <v>#DIV/0!</v>
      </c>
    </row>
    <row r="51" spans="2:50">
      <c r="B51" s="220">
        <v>41</v>
      </c>
      <c r="C51" s="61"/>
      <c r="D51" s="61"/>
      <c r="E51" s="61"/>
      <c r="F51" s="61"/>
      <c r="G51" s="61"/>
      <c r="H51" s="61"/>
      <c r="I51" s="61"/>
      <c r="J51" s="61"/>
      <c r="K51" s="61"/>
      <c r="L51" s="61"/>
      <c r="M51" s="61"/>
      <c r="N51" s="61"/>
      <c r="O51" s="61"/>
      <c r="P51" s="70"/>
      <c r="R51" s="220">
        <v>41</v>
      </c>
      <c r="S51" s="61"/>
      <c r="T51" s="61"/>
      <c r="U51" s="61"/>
      <c r="V51" s="61"/>
      <c r="W51" s="61"/>
      <c r="X51" s="61"/>
      <c r="Y51" s="61"/>
      <c r="Z51" s="61"/>
      <c r="AA51" s="61"/>
      <c r="AB51" s="61"/>
      <c r="AC51" s="61"/>
      <c r="AD51" s="61"/>
      <c r="AE51" s="61"/>
      <c r="AF51" s="70"/>
      <c r="AJ51" s="220">
        <v>41</v>
      </c>
      <c r="AK51" s="227" t="e">
        <f t="shared" si="3"/>
        <v>#DIV/0!</v>
      </c>
      <c r="AL51" s="227" t="e">
        <f t="shared" si="3"/>
        <v>#DIV/0!</v>
      </c>
      <c r="AM51" s="227" t="e">
        <f t="shared" si="3"/>
        <v>#DIV/0!</v>
      </c>
      <c r="AN51" s="227" t="e">
        <f t="shared" si="3"/>
        <v>#DIV/0!</v>
      </c>
      <c r="AO51" s="227" t="e">
        <f t="shared" si="3"/>
        <v>#DIV/0!</v>
      </c>
      <c r="AP51" s="227" t="e">
        <f t="shared" si="3"/>
        <v>#DIV/0!</v>
      </c>
      <c r="AQ51" s="227" t="e">
        <f t="shared" si="3"/>
        <v>#DIV/0!</v>
      </c>
      <c r="AR51" s="227" t="e">
        <f t="shared" si="3"/>
        <v>#DIV/0!</v>
      </c>
      <c r="AS51" s="227" t="e">
        <f t="shared" si="3"/>
        <v>#DIV/0!</v>
      </c>
      <c r="AT51" s="227" t="e">
        <f t="shared" si="3"/>
        <v>#DIV/0!</v>
      </c>
      <c r="AU51" s="227" t="e">
        <f t="shared" si="3"/>
        <v>#DIV/0!</v>
      </c>
      <c r="AV51" s="227" t="e">
        <f t="shared" si="3"/>
        <v>#DIV/0!</v>
      </c>
      <c r="AW51" s="227" t="e">
        <f t="shared" si="3"/>
        <v>#DIV/0!</v>
      </c>
      <c r="AX51" s="228" t="e">
        <f t="shared" si="3"/>
        <v>#DIV/0!</v>
      </c>
    </row>
    <row r="52" spans="2:50">
      <c r="B52" s="220">
        <v>42</v>
      </c>
      <c r="C52" s="61"/>
      <c r="D52" s="61"/>
      <c r="E52" s="61"/>
      <c r="F52" s="61"/>
      <c r="G52" s="61"/>
      <c r="H52" s="61"/>
      <c r="I52" s="61"/>
      <c r="J52" s="61"/>
      <c r="K52" s="61"/>
      <c r="L52" s="61"/>
      <c r="M52" s="61"/>
      <c r="N52" s="61"/>
      <c r="O52" s="61"/>
      <c r="P52" s="70"/>
      <c r="R52" s="220">
        <v>42</v>
      </c>
      <c r="S52" s="61"/>
      <c r="T52" s="61"/>
      <c r="U52" s="61"/>
      <c r="V52" s="61"/>
      <c r="W52" s="61"/>
      <c r="X52" s="61"/>
      <c r="Y52" s="61"/>
      <c r="Z52" s="61"/>
      <c r="AA52" s="61"/>
      <c r="AB52" s="61"/>
      <c r="AC52" s="61"/>
      <c r="AD52" s="61"/>
      <c r="AE52" s="61"/>
      <c r="AF52" s="70"/>
      <c r="AJ52" s="220">
        <v>42</v>
      </c>
      <c r="AK52" s="227" t="e">
        <f t="shared" si="3"/>
        <v>#DIV/0!</v>
      </c>
      <c r="AL52" s="227" t="e">
        <f t="shared" si="3"/>
        <v>#DIV/0!</v>
      </c>
      <c r="AM52" s="227" t="e">
        <f t="shared" si="3"/>
        <v>#DIV/0!</v>
      </c>
      <c r="AN52" s="227" t="e">
        <f t="shared" si="3"/>
        <v>#DIV/0!</v>
      </c>
      <c r="AO52" s="227" t="e">
        <f t="shared" si="3"/>
        <v>#DIV/0!</v>
      </c>
      <c r="AP52" s="227" t="e">
        <f t="shared" si="3"/>
        <v>#DIV/0!</v>
      </c>
      <c r="AQ52" s="227" t="e">
        <f t="shared" si="3"/>
        <v>#DIV/0!</v>
      </c>
      <c r="AR52" s="227" t="e">
        <f t="shared" si="3"/>
        <v>#DIV/0!</v>
      </c>
      <c r="AS52" s="227" t="e">
        <f t="shared" si="3"/>
        <v>#DIV/0!</v>
      </c>
      <c r="AT52" s="227" t="e">
        <f t="shared" si="3"/>
        <v>#DIV/0!</v>
      </c>
      <c r="AU52" s="227" t="e">
        <f t="shared" si="3"/>
        <v>#DIV/0!</v>
      </c>
      <c r="AV52" s="227" t="e">
        <f t="shared" si="3"/>
        <v>#DIV/0!</v>
      </c>
      <c r="AW52" s="227" t="e">
        <f t="shared" si="3"/>
        <v>#DIV/0!</v>
      </c>
      <c r="AX52" s="228" t="e">
        <f t="shared" si="3"/>
        <v>#DIV/0!</v>
      </c>
    </row>
    <row r="53" spans="2:50">
      <c r="B53" s="220">
        <v>43</v>
      </c>
      <c r="C53" s="61"/>
      <c r="D53" s="61"/>
      <c r="E53" s="61"/>
      <c r="F53" s="61"/>
      <c r="G53" s="61"/>
      <c r="H53" s="61"/>
      <c r="I53" s="61"/>
      <c r="J53" s="61"/>
      <c r="K53" s="61"/>
      <c r="L53" s="61"/>
      <c r="M53" s="61"/>
      <c r="N53" s="61"/>
      <c r="O53" s="61"/>
      <c r="P53" s="70"/>
      <c r="R53" s="220">
        <v>43</v>
      </c>
      <c r="S53" s="61"/>
      <c r="T53" s="61"/>
      <c r="U53" s="61"/>
      <c r="V53" s="61"/>
      <c r="W53" s="61"/>
      <c r="X53" s="61"/>
      <c r="Y53" s="61"/>
      <c r="Z53" s="61"/>
      <c r="AA53" s="61"/>
      <c r="AB53" s="61"/>
      <c r="AC53" s="61"/>
      <c r="AD53" s="61"/>
      <c r="AE53" s="61"/>
      <c r="AF53" s="70"/>
      <c r="AJ53" s="220">
        <v>43</v>
      </c>
      <c r="AK53" s="227" t="e">
        <f t="shared" si="3"/>
        <v>#DIV/0!</v>
      </c>
      <c r="AL53" s="227" t="e">
        <f t="shared" si="3"/>
        <v>#DIV/0!</v>
      </c>
      <c r="AM53" s="227" t="e">
        <f t="shared" si="3"/>
        <v>#DIV/0!</v>
      </c>
      <c r="AN53" s="227" t="e">
        <f t="shared" si="3"/>
        <v>#DIV/0!</v>
      </c>
      <c r="AO53" s="227" t="e">
        <f t="shared" si="3"/>
        <v>#DIV/0!</v>
      </c>
      <c r="AP53" s="227" t="e">
        <f t="shared" si="3"/>
        <v>#DIV/0!</v>
      </c>
      <c r="AQ53" s="227" t="e">
        <f t="shared" si="3"/>
        <v>#DIV/0!</v>
      </c>
      <c r="AR53" s="227" t="e">
        <f t="shared" si="3"/>
        <v>#DIV/0!</v>
      </c>
      <c r="AS53" s="227" t="e">
        <f t="shared" si="3"/>
        <v>#DIV/0!</v>
      </c>
      <c r="AT53" s="227" t="e">
        <f t="shared" si="3"/>
        <v>#DIV/0!</v>
      </c>
      <c r="AU53" s="227" t="e">
        <f t="shared" si="3"/>
        <v>#DIV/0!</v>
      </c>
      <c r="AV53" s="227" t="e">
        <f t="shared" si="3"/>
        <v>#DIV/0!</v>
      </c>
      <c r="AW53" s="227" t="e">
        <f t="shared" si="3"/>
        <v>#DIV/0!</v>
      </c>
      <c r="AX53" s="228" t="e">
        <f t="shared" si="3"/>
        <v>#DIV/0!</v>
      </c>
    </row>
    <row r="54" spans="2:50">
      <c r="B54" s="220">
        <v>44</v>
      </c>
      <c r="C54" s="61"/>
      <c r="D54" s="61"/>
      <c r="E54" s="61"/>
      <c r="F54" s="61"/>
      <c r="G54" s="61"/>
      <c r="H54" s="61"/>
      <c r="I54" s="61"/>
      <c r="J54" s="61"/>
      <c r="K54" s="61"/>
      <c r="L54" s="61"/>
      <c r="M54" s="61"/>
      <c r="N54" s="61"/>
      <c r="O54" s="61"/>
      <c r="P54" s="70"/>
      <c r="R54" s="220">
        <v>44</v>
      </c>
      <c r="S54" s="61"/>
      <c r="T54" s="61"/>
      <c r="U54" s="61"/>
      <c r="V54" s="61"/>
      <c r="W54" s="61"/>
      <c r="X54" s="61"/>
      <c r="Y54" s="61"/>
      <c r="Z54" s="61"/>
      <c r="AA54" s="61"/>
      <c r="AB54" s="61"/>
      <c r="AC54" s="61"/>
      <c r="AD54" s="61"/>
      <c r="AE54" s="61"/>
      <c r="AF54" s="70"/>
      <c r="AJ54" s="220">
        <v>44</v>
      </c>
      <c r="AK54" s="227" t="e">
        <f t="shared" si="3"/>
        <v>#DIV/0!</v>
      </c>
      <c r="AL54" s="227" t="e">
        <f t="shared" si="3"/>
        <v>#DIV/0!</v>
      </c>
      <c r="AM54" s="227" t="e">
        <f t="shared" si="3"/>
        <v>#DIV/0!</v>
      </c>
      <c r="AN54" s="227" t="e">
        <f t="shared" si="3"/>
        <v>#DIV/0!</v>
      </c>
      <c r="AO54" s="227" t="e">
        <f t="shared" si="3"/>
        <v>#DIV/0!</v>
      </c>
      <c r="AP54" s="227" t="e">
        <f t="shared" si="3"/>
        <v>#DIV/0!</v>
      </c>
      <c r="AQ54" s="227" t="e">
        <f t="shared" si="3"/>
        <v>#DIV/0!</v>
      </c>
      <c r="AR54" s="227" t="e">
        <f t="shared" si="3"/>
        <v>#DIV/0!</v>
      </c>
      <c r="AS54" s="227" t="e">
        <f t="shared" si="3"/>
        <v>#DIV/0!</v>
      </c>
      <c r="AT54" s="227" t="e">
        <f t="shared" si="3"/>
        <v>#DIV/0!</v>
      </c>
      <c r="AU54" s="227" t="e">
        <f t="shared" si="3"/>
        <v>#DIV/0!</v>
      </c>
      <c r="AV54" s="227" t="e">
        <f t="shared" si="3"/>
        <v>#DIV/0!</v>
      </c>
      <c r="AW54" s="227" t="e">
        <f t="shared" si="3"/>
        <v>#DIV/0!</v>
      </c>
      <c r="AX54" s="228" t="e">
        <f t="shared" si="3"/>
        <v>#DIV/0!</v>
      </c>
    </row>
    <row r="55" spans="2:50">
      <c r="B55" s="220">
        <v>45</v>
      </c>
      <c r="C55" s="61"/>
      <c r="D55" s="61"/>
      <c r="E55" s="61"/>
      <c r="F55" s="61"/>
      <c r="G55" s="61"/>
      <c r="H55" s="61"/>
      <c r="I55" s="61"/>
      <c r="J55" s="61"/>
      <c r="K55" s="61"/>
      <c r="L55" s="61"/>
      <c r="M55" s="61"/>
      <c r="N55" s="61"/>
      <c r="O55" s="61"/>
      <c r="P55" s="70"/>
      <c r="R55" s="220">
        <v>45</v>
      </c>
      <c r="S55" s="61"/>
      <c r="T55" s="61"/>
      <c r="U55" s="61"/>
      <c r="V55" s="61"/>
      <c r="W55" s="61"/>
      <c r="X55" s="61"/>
      <c r="Y55" s="61"/>
      <c r="Z55" s="61"/>
      <c r="AA55" s="61"/>
      <c r="AB55" s="61"/>
      <c r="AC55" s="61"/>
      <c r="AD55" s="61"/>
      <c r="AE55" s="61"/>
      <c r="AF55" s="70"/>
      <c r="AJ55" s="220">
        <v>45</v>
      </c>
      <c r="AK55" s="227" t="e">
        <f t="shared" si="3"/>
        <v>#DIV/0!</v>
      </c>
      <c r="AL55" s="227" t="e">
        <f t="shared" si="3"/>
        <v>#DIV/0!</v>
      </c>
      <c r="AM55" s="227" t="e">
        <f t="shared" si="3"/>
        <v>#DIV/0!</v>
      </c>
      <c r="AN55" s="227" t="e">
        <f t="shared" si="3"/>
        <v>#DIV/0!</v>
      </c>
      <c r="AO55" s="227" t="e">
        <f t="shared" si="3"/>
        <v>#DIV/0!</v>
      </c>
      <c r="AP55" s="227" t="e">
        <f t="shared" si="3"/>
        <v>#DIV/0!</v>
      </c>
      <c r="AQ55" s="227" t="e">
        <f t="shared" si="3"/>
        <v>#DIV/0!</v>
      </c>
      <c r="AR55" s="227" t="e">
        <f t="shared" si="3"/>
        <v>#DIV/0!</v>
      </c>
      <c r="AS55" s="227" t="e">
        <f t="shared" si="3"/>
        <v>#DIV/0!</v>
      </c>
      <c r="AT55" s="227" t="e">
        <f t="shared" si="3"/>
        <v>#DIV/0!</v>
      </c>
      <c r="AU55" s="227" t="e">
        <f t="shared" si="3"/>
        <v>#DIV/0!</v>
      </c>
      <c r="AV55" s="227" t="e">
        <f t="shared" si="3"/>
        <v>#DIV/0!</v>
      </c>
      <c r="AW55" s="227" t="e">
        <f t="shared" si="3"/>
        <v>#DIV/0!</v>
      </c>
      <c r="AX55" s="228" t="e">
        <f t="shared" si="3"/>
        <v>#DIV/0!</v>
      </c>
    </row>
    <row r="56" spans="2:50">
      <c r="B56" s="220">
        <v>46</v>
      </c>
      <c r="C56" s="61"/>
      <c r="D56" s="61"/>
      <c r="E56" s="61"/>
      <c r="F56" s="61"/>
      <c r="G56" s="61"/>
      <c r="H56" s="61"/>
      <c r="I56" s="61"/>
      <c r="J56" s="61"/>
      <c r="K56" s="61"/>
      <c r="L56" s="61"/>
      <c r="M56" s="61"/>
      <c r="N56" s="61"/>
      <c r="O56" s="61"/>
      <c r="P56" s="70"/>
      <c r="R56" s="220">
        <v>46</v>
      </c>
      <c r="S56" s="61"/>
      <c r="T56" s="61"/>
      <c r="U56" s="61"/>
      <c r="V56" s="61"/>
      <c r="W56" s="61"/>
      <c r="X56" s="61"/>
      <c r="Y56" s="61"/>
      <c r="Z56" s="61"/>
      <c r="AA56" s="61"/>
      <c r="AB56" s="61"/>
      <c r="AC56" s="61"/>
      <c r="AD56" s="61"/>
      <c r="AE56" s="61"/>
      <c r="AF56" s="70"/>
      <c r="AJ56" s="220">
        <v>46</v>
      </c>
      <c r="AK56" s="227" t="e">
        <f t="shared" si="3"/>
        <v>#DIV/0!</v>
      </c>
      <c r="AL56" s="227" t="e">
        <f t="shared" si="3"/>
        <v>#DIV/0!</v>
      </c>
      <c r="AM56" s="227" t="e">
        <f t="shared" si="3"/>
        <v>#DIV/0!</v>
      </c>
      <c r="AN56" s="227" t="e">
        <f t="shared" si="3"/>
        <v>#DIV/0!</v>
      </c>
      <c r="AO56" s="227" t="e">
        <f t="shared" si="3"/>
        <v>#DIV/0!</v>
      </c>
      <c r="AP56" s="227" t="e">
        <f t="shared" si="3"/>
        <v>#DIV/0!</v>
      </c>
      <c r="AQ56" s="227" t="e">
        <f t="shared" si="3"/>
        <v>#DIV/0!</v>
      </c>
      <c r="AR56" s="227" t="e">
        <f t="shared" si="3"/>
        <v>#DIV/0!</v>
      </c>
      <c r="AS56" s="227" t="e">
        <f t="shared" si="3"/>
        <v>#DIV/0!</v>
      </c>
      <c r="AT56" s="227" t="e">
        <f t="shared" si="3"/>
        <v>#DIV/0!</v>
      </c>
      <c r="AU56" s="227" t="e">
        <f t="shared" si="3"/>
        <v>#DIV/0!</v>
      </c>
      <c r="AV56" s="227" t="e">
        <f t="shared" si="3"/>
        <v>#DIV/0!</v>
      </c>
      <c r="AW56" s="227" t="e">
        <f t="shared" si="3"/>
        <v>#DIV/0!</v>
      </c>
      <c r="AX56" s="228" t="e">
        <f t="shared" si="3"/>
        <v>#DIV/0!</v>
      </c>
    </row>
    <row r="57" spans="2:50">
      <c r="B57" s="220">
        <v>47</v>
      </c>
      <c r="C57" s="61"/>
      <c r="D57" s="61"/>
      <c r="E57" s="61"/>
      <c r="F57" s="61"/>
      <c r="G57" s="61"/>
      <c r="H57" s="61"/>
      <c r="I57" s="61"/>
      <c r="J57" s="61"/>
      <c r="K57" s="61"/>
      <c r="L57" s="61"/>
      <c r="M57" s="61"/>
      <c r="N57" s="61"/>
      <c r="O57" s="61"/>
      <c r="P57" s="70"/>
      <c r="R57" s="220">
        <v>47</v>
      </c>
      <c r="S57" s="61"/>
      <c r="T57" s="61"/>
      <c r="U57" s="61"/>
      <c r="V57" s="61"/>
      <c r="W57" s="61"/>
      <c r="X57" s="61"/>
      <c r="Y57" s="61"/>
      <c r="Z57" s="61"/>
      <c r="AA57" s="61"/>
      <c r="AB57" s="61"/>
      <c r="AC57" s="61"/>
      <c r="AD57" s="61"/>
      <c r="AE57" s="61"/>
      <c r="AF57" s="70"/>
      <c r="AJ57" s="220">
        <v>47</v>
      </c>
      <c r="AK57" s="227" t="e">
        <f t="shared" si="3"/>
        <v>#DIV/0!</v>
      </c>
      <c r="AL57" s="227" t="e">
        <f t="shared" si="3"/>
        <v>#DIV/0!</v>
      </c>
      <c r="AM57" s="227" t="e">
        <f t="shared" si="3"/>
        <v>#DIV/0!</v>
      </c>
      <c r="AN57" s="227" t="e">
        <f t="shared" si="3"/>
        <v>#DIV/0!</v>
      </c>
      <c r="AO57" s="227" t="e">
        <f t="shared" si="3"/>
        <v>#DIV/0!</v>
      </c>
      <c r="AP57" s="227" t="e">
        <f t="shared" si="3"/>
        <v>#DIV/0!</v>
      </c>
      <c r="AQ57" s="227" t="e">
        <f t="shared" si="3"/>
        <v>#DIV/0!</v>
      </c>
      <c r="AR57" s="227" t="e">
        <f t="shared" si="3"/>
        <v>#DIV/0!</v>
      </c>
      <c r="AS57" s="227" t="e">
        <f t="shared" si="3"/>
        <v>#DIV/0!</v>
      </c>
      <c r="AT57" s="227" t="e">
        <f t="shared" si="3"/>
        <v>#DIV/0!</v>
      </c>
      <c r="AU57" s="227" t="e">
        <f t="shared" si="3"/>
        <v>#DIV/0!</v>
      </c>
      <c r="AV57" s="227" t="e">
        <f t="shared" si="3"/>
        <v>#DIV/0!</v>
      </c>
      <c r="AW57" s="227" t="e">
        <f t="shared" si="3"/>
        <v>#DIV/0!</v>
      </c>
      <c r="AX57" s="228" t="e">
        <f t="shared" si="3"/>
        <v>#DIV/0!</v>
      </c>
    </row>
    <row r="58" spans="2:50">
      <c r="B58" s="224">
        <v>48</v>
      </c>
      <c r="C58" s="68"/>
      <c r="D58" s="68"/>
      <c r="E58" s="68"/>
      <c r="F58" s="68"/>
      <c r="G58" s="68"/>
      <c r="H58" s="68"/>
      <c r="I58" s="68"/>
      <c r="J58" s="68"/>
      <c r="K58" s="68"/>
      <c r="L58" s="68"/>
      <c r="M58" s="68"/>
      <c r="N58" s="68"/>
      <c r="O58" s="68"/>
      <c r="P58" s="69"/>
      <c r="R58" s="224">
        <v>48</v>
      </c>
      <c r="S58" s="68"/>
      <c r="T58" s="68"/>
      <c r="U58" s="68"/>
      <c r="V58" s="68"/>
      <c r="W58" s="68"/>
      <c r="X58" s="68"/>
      <c r="Y58" s="68"/>
      <c r="Z58" s="68"/>
      <c r="AA58" s="68"/>
      <c r="AB58" s="68"/>
      <c r="AC58" s="68"/>
      <c r="AD58" s="68"/>
      <c r="AE58" s="68"/>
      <c r="AF58" s="69"/>
      <c r="AJ58" s="224">
        <v>48</v>
      </c>
      <c r="AK58" s="225" t="e">
        <f t="shared" si="3"/>
        <v>#DIV/0!</v>
      </c>
      <c r="AL58" s="225" t="e">
        <f t="shared" si="3"/>
        <v>#DIV/0!</v>
      </c>
      <c r="AM58" s="225" t="e">
        <f t="shared" si="3"/>
        <v>#DIV/0!</v>
      </c>
      <c r="AN58" s="225" t="e">
        <f t="shared" si="3"/>
        <v>#DIV/0!</v>
      </c>
      <c r="AO58" s="225" t="e">
        <f t="shared" si="3"/>
        <v>#DIV/0!</v>
      </c>
      <c r="AP58" s="225" t="e">
        <f t="shared" si="3"/>
        <v>#DIV/0!</v>
      </c>
      <c r="AQ58" s="225" t="e">
        <f t="shared" si="3"/>
        <v>#DIV/0!</v>
      </c>
      <c r="AR58" s="225" t="e">
        <f t="shared" si="3"/>
        <v>#DIV/0!</v>
      </c>
      <c r="AS58" s="225" t="e">
        <f t="shared" si="3"/>
        <v>#DIV/0!</v>
      </c>
      <c r="AT58" s="225" t="e">
        <f t="shared" si="3"/>
        <v>#DIV/0!</v>
      </c>
      <c r="AU58" s="225" t="e">
        <f t="shared" si="3"/>
        <v>#DIV/0!</v>
      </c>
      <c r="AV58" s="225" t="e">
        <f t="shared" si="3"/>
        <v>#DIV/0!</v>
      </c>
      <c r="AW58" s="225" t="e">
        <f t="shared" si="3"/>
        <v>#DIV/0!</v>
      </c>
      <c r="AX58" s="226" t="e">
        <f t="shared" si="3"/>
        <v>#DIV/0!</v>
      </c>
    </row>
    <row r="59" spans="2:50" s="229" customFormat="1"/>
    <row r="71" spans="2:36" s="229" customFormat="1"/>
    <row r="72" spans="2:36" ht="15.6">
      <c r="B72" s="219" t="s">
        <v>268</v>
      </c>
      <c r="R72" s="219" t="s">
        <v>269</v>
      </c>
      <c r="AJ72" s="219" t="s">
        <v>272</v>
      </c>
    </row>
    <row r="73" spans="2:36" hidden="1"/>
    <row r="74" spans="2:36" hidden="1"/>
    <row r="75" spans="2:36" hidden="1"/>
    <row r="76" spans="2:36" hidden="1"/>
    <row r="77" spans="2:36" hidden="1"/>
    <row r="78" spans="2:36" hidden="1"/>
    <row r="79" spans="2:36" hidden="1"/>
    <row r="80" spans="2:36" hidden="1"/>
    <row r="81" hidden="1"/>
    <row r="82" hidden="1"/>
    <row r="83" hidden="1"/>
    <row r="84" hidden="1"/>
    <row r="85" hidden="1"/>
    <row r="86" hidden="1"/>
    <row r="87" hidden="1"/>
    <row r="88" hidden="1"/>
    <row r="89" hidden="1"/>
    <row r="90" hidden="1"/>
    <row r="91" hidden="1"/>
    <row r="92" hidden="1"/>
    <row r="93" hidden="1"/>
    <row r="94" hidden="1"/>
    <row r="95" hidden="1"/>
    <row r="96" hidden="1"/>
    <row r="97" spans="2:50" hidden="1"/>
    <row r="98" spans="2:50" hidden="1"/>
    <row r="99" spans="2:50" hidden="1"/>
    <row r="100" spans="2:50" hidden="1"/>
    <row r="101" spans="2:50" hidden="1"/>
    <row r="102" spans="2:50" hidden="1"/>
    <row r="103" spans="2:50" hidden="1"/>
    <row r="104" spans="2:50" hidden="1"/>
    <row r="105" spans="2:50" hidden="1"/>
    <row r="106" spans="2:50" hidden="1"/>
    <row r="107" spans="2:50">
      <c r="B107" s="499" t="s">
        <v>270</v>
      </c>
      <c r="C107" s="500"/>
      <c r="D107" s="500"/>
      <c r="E107" s="500"/>
      <c r="F107" s="500"/>
      <c r="G107" s="500"/>
      <c r="H107" s="500"/>
      <c r="I107" s="500"/>
      <c r="J107" s="500"/>
      <c r="K107" s="500"/>
      <c r="L107" s="500"/>
      <c r="M107" s="500"/>
      <c r="N107" s="500"/>
      <c r="O107" s="500"/>
      <c r="P107" s="501"/>
      <c r="R107" s="499" t="s">
        <v>271</v>
      </c>
      <c r="S107" s="500"/>
      <c r="T107" s="500"/>
      <c r="U107" s="500"/>
      <c r="V107" s="500"/>
      <c r="W107" s="500"/>
      <c r="X107" s="500"/>
      <c r="Y107" s="500"/>
      <c r="Z107" s="500"/>
      <c r="AA107" s="500"/>
      <c r="AB107" s="500"/>
      <c r="AC107" s="500"/>
      <c r="AD107" s="500"/>
      <c r="AE107" s="500"/>
      <c r="AF107" s="501"/>
      <c r="AJ107" s="499" t="s">
        <v>10</v>
      </c>
      <c r="AK107" s="500"/>
      <c r="AL107" s="500"/>
      <c r="AM107" s="500"/>
      <c r="AN107" s="500"/>
      <c r="AO107" s="500"/>
      <c r="AP107" s="500"/>
      <c r="AQ107" s="500"/>
      <c r="AR107" s="500"/>
      <c r="AS107" s="500"/>
      <c r="AT107" s="500"/>
      <c r="AU107" s="500"/>
      <c r="AV107" s="500"/>
      <c r="AW107" s="500"/>
      <c r="AX107" s="501"/>
    </row>
    <row r="108" spans="2:50" ht="28.8">
      <c r="B108" s="498"/>
      <c r="C108" s="498" t="str">
        <f>IF(intervencao1=0,"Do not fill",intervencao1)</f>
        <v>Intrauterine device levonorgestrel</v>
      </c>
      <c r="D108" s="498" t="str">
        <f>IF(intervencao2=0,"Do not fill",intervencao2)</f>
        <v>Do not fill</v>
      </c>
      <c r="E108" s="498" t="str">
        <f>IF(intervencao3=0,"Do not fill",intervencao3)</f>
        <v>Do not fill</v>
      </c>
      <c r="F108" s="498" t="str">
        <f>IF(intervencao4=0,"Do not fill",intervencao4)</f>
        <v>Do not fill</v>
      </c>
      <c r="G108" s="498" t="str">
        <f>IF(comparador1=0,"Do not fill",comparador1)</f>
        <v>Oral contraceptive</v>
      </c>
      <c r="H108" s="498" t="str">
        <f>IF(comparador2=0,"Do not fill",comparador2)</f>
        <v>Do not fill</v>
      </c>
      <c r="I108" s="498" t="str">
        <f>IF(comparador3=0,"Do not fill",comparador3)</f>
        <v>Do not fill</v>
      </c>
      <c r="J108" s="498" t="str">
        <f>IF(comparador4=0,"Do not fill",comparador4)</f>
        <v>Do not fill</v>
      </c>
      <c r="K108" s="498" t="str">
        <f>IF(comparador5=0,"Do not fill",comparador5)</f>
        <v>Do not fill</v>
      </c>
      <c r="L108" s="498" t="str">
        <f>IF(comparador6=0,"Do not fill",comparador6)</f>
        <v>Do not fill</v>
      </c>
      <c r="M108" s="498" t="str">
        <f>IF(comparador7=0,"Do not fill",comparador7)</f>
        <v>Do not fill</v>
      </c>
      <c r="N108" s="498" t="str">
        <f>IF(comparador8=0,"Do not fill",comparador8)</f>
        <v>Do not fill</v>
      </c>
      <c r="O108" s="498" t="str">
        <f>IF(comparador9=0,"Do not fill",comparador9)</f>
        <v>Do not fill</v>
      </c>
      <c r="P108" s="498" t="str">
        <f>IF(comparador10=0,"Do not fill",comparador10)</f>
        <v>Do not fill</v>
      </c>
      <c r="R108" s="498"/>
      <c r="S108" s="498" t="str">
        <f>IF(intervencao1=0,"Do not fill",intervencao1)</f>
        <v>Intrauterine device levonorgestrel</v>
      </c>
      <c r="T108" s="498" t="str">
        <f>IF(intervencao2=0,"Do not fill",intervencao2)</f>
        <v>Do not fill</v>
      </c>
      <c r="U108" s="498" t="str">
        <f>IF(intervencao3=0,"Do not fill",intervencao3)</f>
        <v>Do not fill</v>
      </c>
      <c r="V108" s="498" t="str">
        <f>IF(intervencao4=0,"Do not fill",intervencao4)</f>
        <v>Do not fill</v>
      </c>
      <c r="W108" s="498" t="str">
        <f>IF(comparador1=0,"Do not fill",comparador1)</f>
        <v>Oral contraceptive</v>
      </c>
      <c r="X108" s="498" t="str">
        <f>IF(comparador2=0,"Do not fill",comparador2)</f>
        <v>Do not fill</v>
      </c>
      <c r="Y108" s="498" t="str">
        <f>IF(comparador3=0,"Do not fill",comparador3)</f>
        <v>Do not fill</v>
      </c>
      <c r="Z108" s="498" t="str">
        <f>IF(comparador4=0,"Do not fill",comparador4)</f>
        <v>Do not fill</v>
      </c>
      <c r="AA108" s="498" t="str">
        <f>IF(comparador5=0,"Do not fill",comparador5)</f>
        <v>Do not fill</v>
      </c>
      <c r="AB108" s="498" t="str">
        <f>IF(comparador6=0,"Do not fill",comparador6)</f>
        <v>Do not fill</v>
      </c>
      <c r="AC108" s="498" t="str">
        <f>IF(comparador7=0,"Do not fill",comparador7)</f>
        <v>Do not fill</v>
      </c>
      <c r="AD108" s="498" t="str">
        <f>IF(comparador8=0,"Do not fill",comparador8)</f>
        <v>Do not fill</v>
      </c>
      <c r="AE108" s="498" t="str">
        <f>IF(comparador9=0,"Do not fill",comparador9)</f>
        <v>Do not fill</v>
      </c>
      <c r="AF108" s="498" t="str">
        <f>IF(comparador10=0,"Do not fill",comparador10)</f>
        <v>Do not fill</v>
      </c>
      <c r="AJ108" s="220"/>
      <c r="AK108" s="221" t="str">
        <f>IF(intervencao1=0,"Do not fill",intervencao1)</f>
        <v>Intrauterine device levonorgestrel</v>
      </c>
      <c r="AL108" s="221" t="str">
        <f>IF(intervencao2=0,"Do not fill",intervencao2)</f>
        <v>Do not fill</v>
      </c>
      <c r="AM108" s="221" t="str">
        <f>IF(intervencao3=0,"Do not fill",intervencao3)</f>
        <v>Do not fill</v>
      </c>
      <c r="AN108" s="221" t="str">
        <f>IF(intervencao4=0,"Do not fill",intervencao4)</f>
        <v>Do not fill</v>
      </c>
      <c r="AO108" s="221" t="str">
        <f>IF(comparador1=0,"Do not fill",comparador1)</f>
        <v>Oral contraceptive</v>
      </c>
      <c r="AP108" s="221" t="str">
        <f>IF(comparador2=0,"Do not fill",comparador2)</f>
        <v>Do not fill</v>
      </c>
      <c r="AQ108" s="221" t="str">
        <f>IF(comparador3=0,"Do not fill",comparador3)</f>
        <v>Do not fill</v>
      </c>
      <c r="AR108" s="221" t="str">
        <f>IF(comparador4=0,"Do not fill",comparador4)</f>
        <v>Do not fill</v>
      </c>
      <c r="AS108" s="221" t="str">
        <f>IF(comparador5=0,"Do not fill",comparador5)</f>
        <v>Do not fill</v>
      </c>
      <c r="AT108" s="221" t="str">
        <f>IF(comparador6=0,"Do not fill",comparador6)</f>
        <v>Do not fill</v>
      </c>
      <c r="AU108" s="221" t="str">
        <f>IF(comparador7=0,"Do not fill",comparador7)</f>
        <v>Do not fill</v>
      </c>
      <c r="AV108" s="221" t="str">
        <f>IF(comparador8=0,"Do not fill",comparador8)</f>
        <v>Do not fill</v>
      </c>
      <c r="AW108" s="221" t="str">
        <f>IF(comparador9=0,"Do not fill",comparador9)</f>
        <v>Do not fill</v>
      </c>
      <c r="AX108" s="222" t="str">
        <f>IF(comparador10=0,"Do not fill",comparador10)</f>
        <v>Do not fill</v>
      </c>
    </row>
    <row r="109" spans="2:50">
      <c r="B109" s="468"/>
      <c r="C109" s="468"/>
      <c r="D109" s="468"/>
      <c r="E109" s="468"/>
      <c r="F109" s="468"/>
      <c r="G109" s="468"/>
      <c r="H109" s="468"/>
      <c r="I109" s="468"/>
      <c r="J109" s="468"/>
      <c r="K109" s="468"/>
      <c r="L109" s="468"/>
      <c r="M109" s="468"/>
      <c r="N109" s="468"/>
      <c r="O109" s="468"/>
      <c r="P109" s="468"/>
      <c r="R109" s="468"/>
      <c r="S109" s="468"/>
      <c r="T109" s="468"/>
      <c r="U109" s="468"/>
      <c r="V109" s="468"/>
      <c r="W109" s="468"/>
      <c r="X109" s="468"/>
      <c r="Y109" s="468"/>
      <c r="Z109" s="468"/>
      <c r="AA109" s="468"/>
      <c r="AB109" s="468"/>
      <c r="AC109" s="468"/>
      <c r="AD109" s="468"/>
      <c r="AE109" s="468"/>
      <c r="AF109" s="468"/>
      <c r="AJ109" s="220" t="s">
        <v>9</v>
      </c>
      <c r="AK109" s="223" t="e">
        <f>LN(2)/'Time on treatment'!$D$113</f>
        <v>#DIV/0!</v>
      </c>
      <c r="AL109" s="223" t="e">
        <f>LN(2)/'Time on treatment'!$D$114</f>
        <v>#DIV/0!</v>
      </c>
      <c r="AM109" s="223" t="e">
        <f>LN(2)/'Time on treatment'!$D$115</f>
        <v>#DIV/0!</v>
      </c>
      <c r="AN109" s="223" t="e">
        <f>LN(2)/'Time on treatment'!$D$116</f>
        <v>#DIV/0!</v>
      </c>
      <c r="AO109" s="223" t="e">
        <f>LN(2)/'Time on treatment'!$D$118</f>
        <v>#DIV/0!</v>
      </c>
      <c r="AP109" s="223" t="e">
        <f>LN(2)/'Time on treatment'!$D$119</f>
        <v>#DIV/0!</v>
      </c>
      <c r="AQ109" s="223" t="e">
        <f>LN(2)/'Time on treatment'!$D$120</f>
        <v>#DIV/0!</v>
      </c>
      <c r="AR109" s="223" t="e">
        <f>LN(2)/'Time on treatment'!$D$121</f>
        <v>#DIV/0!</v>
      </c>
      <c r="AS109" s="223" t="e">
        <f>LN(2)/'Time on treatment'!$D$122</f>
        <v>#DIV/0!</v>
      </c>
      <c r="AT109" s="223" t="e">
        <f>LN(2)/'Time on treatment'!$D$123</f>
        <v>#DIV/0!</v>
      </c>
      <c r="AU109" s="223" t="e">
        <f>LN(2)/'Time on treatment'!$D$124</f>
        <v>#DIV/0!</v>
      </c>
      <c r="AV109" s="223" t="e">
        <f>LN(2)/'Time on treatment'!$D$125</f>
        <v>#DIV/0!</v>
      </c>
      <c r="AW109" s="223" t="e">
        <f>LN(2)/'Time on treatment'!$D$126</f>
        <v>#DIV/0!</v>
      </c>
      <c r="AX109" s="223" t="e">
        <f>LN(2)/'Time on treatment'!$D$127</f>
        <v>#DIV/0!</v>
      </c>
    </row>
    <row r="110" spans="2:50">
      <c r="B110" s="224">
        <v>0</v>
      </c>
      <c r="C110" s="68"/>
      <c r="D110" s="68"/>
      <c r="E110" s="68"/>
      <c r="F110" s="68"/>
      <c r="G110" s="68"/>
      <c r="H110" s="68"/>
      <c r="I110" s="68"/>
      <c r="J110" s="68"/>
      <c r="K110" s="68"/>
      <c r="L110" s="68"/>
      <c r="M110" s="68"/>
      <c r="N110" s="68"/>
      <c r="O110" s="68"/>
      <c r="P110" s="68"/>
      <c r="R110" s="224">
        <v>0</v>
      </c>
      <c r="S110" s="68"/>
      <c r="T110" s="68"/>
      <c r="U110" s="68"/>
      <c r="V110" s="68"/>
      <c r="W110" s="68"/>
      <c r="X110" s="68"/>
      <c r="Y110" s="68"/>
      <c r="Z110" s="68"/>
      <c r="AA110" s="68"/>
      <c r="AB110" s="68"/>
      <c r="AC110" s="68"/>
      <c r="AD110" s="68"/>
      <c r="AE110" s="68"/>
      <c r="AF110" s="68"/>
      <c r="AJ110" s="224">
        <v>0</v>
      </c>
      <c r="AK110" s="225" t="e">
        <f t="shared" ref="AK110:AX110" si="4">EXP(-AK$109*$AJ110)</f>
        <v>#DIV/0!</v>
      </c>
      <c r="AL110" s="225" t="e">
        <f t="shared" si="4"/>
        <v>#DIV/0!</v>
      </c>
      <c r="AM110" s="225" t="e">
        <f t="shared" si="4"/>
        <v>#DIV/0!</v>
      </c>
      <c r="AN110" s="225" t="e">
        <f t="shared" si="4"/>
        <v>#DIV/0!</v>
      </c>
      <c r="AO110" s="225" t="e">
        <f t="shared" si="4"/>
        <v>#DIV/0!</v>
      </c>
      <c r="AP110" s="225" t="e">
        <f t="shared" si="4"/>
        <v>#DIV/0!</v>
      </c>
      <c r="AQ110" s="225" t="e">
        <f t="shared" si="4"/>
        <v>#DIV/0!</v>
      </c>
      <c r="AR110" s="225" t="e">
        <f t="shared" si="4"/>
        <v>#DIV/0!</v>
      </c>
      <c r="AS110" s="225" t="e">
        <f t="shared" si="4"/>
        <v>#DIV/0!</v>
      </c>
      <c r="AT110" s="225" t="e">
        <f t="shared" si="4"/>
        <v>#DIV/0!</v>
      </c>
      <c r="AU110" s="225" t="e">
        <f t="shared" si="4"/>
        <v>#DIV/0!</v>
      </c>
      <c r="AV110" s="225" t="e">
        <f t="shared" si="4"/>
        <v>#DIV/0!</v>
      </c>
      <c r="AW110" s="225" t="e">
        <f t="shared" si="4"/>
        <v>#DIV/0!</v>
      </c>
      <c r="AX110" s="226" t="e">
        <f t="shared" si="4"/>
        <v>#DIV/0!</v>
      </c>
    </row>
    <row r="111" spans="2:50">
      <c r="B111" s="220">
        <v>1</v>
      </c>
      <c r="C111" s="61"/>
      <c r="D111" s="61"/>
      <c r="E111" s="61"/>
      <c r="F111" s="61"/>
      <c r="G111" s="61"/>
      <c r="H111" s="61"/>
      <c r="I111" s="61"/>
      <c r="J111" s="61"/>
      <c r="K111" s="61"/>
      <c r="L111" s="61"/>
      <c r="M111" s="61"/>
      <c r="N111" s="61"/>
      <c r="O111" s="61"/>
      <c r="P111" s="61"/>
      <c r="R111" s="220">
        <v>1</v>
      </c>
      <c r="S111" s="61"/>
      <c r="T111" s="61"/>
      <c r="U111" s="61"/>
      <c r="V111" s="61"/>
      <c r="W111" s="61"/>
      <c r="X111" s="61"/>
      <c r="Y111" s="61"/>
      <c r="Z111" s="61"/>
      <c r="AA111" s="61"/>
      <c r="AB111" s="61"/>
      <c r="AC111" s="61"/>
      <c r="AD111" s="61"/>
      <c r="AE111" s="61"/>
      <c r="AF111" s="61"/>
      <c r="AJ111" s="220">
        <v>1</v>
      </c>
      <c r="AK111" s="225" t="e">
        <f t="shared" ref="AK111:AX158" si="5">EXP(-AK$109*$AJ111)</f>
        <v>#DIV/0!</v>
      </c>
      <c r="AL111" s="225" t="e">
        <f t="shared" si="5"/>
        <v>#DIV/0!</v>
      </c>
      <c r="AM111" s="225" t="e">
        <f t="shared" si="5"/>
        <v>#DIV/0!</v>
      </c>
      <c r="AN111" s="225" t="e">
        <f t="shared" si="5"/>
        <v>#DIV/0!</v>
      </c>
      <c r="AO111" s="225" t="e">
        <f t="shared" si="5"/>
        <v>#DIV/0!</v>
      </c>
      <c r="AP111" s="225" t="e">
        <f t="shared" si="5"/>
        <v>#DIV/0!</v>
      </c>
      <c r="AQ111" s="225" t="e">
        <f t="shared" si="5"/>
        <v>#DIV/0!</v>
      </c>
      <c r="AR111" s="225" t="e">
        <f t="shared" si="5"/>
        <v>#DIV/0!</v>
      </c>
      <c r="AS111" s="225" t="e">
        <f t="shared" si="5"/>
        <v>#DIV/0!</v>
      </c>
      <c r="AT111" s="225" t="e">
        <f t="shared" si="5"/>
        <v>#DIV/0!</v>
      </c>
      <c r="AU111" s="225" t="e">
        <f t="shared" si="5"/>
        <v>#DIV/0!</v>
      </c>
      <c r="AV111" s="225" t="e">
        <f t="shared" si="5"/>
        <v>#DIV/0!</v>
      </c>
      <c r="AW111" s="225" t="e">
        <f t="shared" si="5"/>
        <v>#DIV/0!</v>
      </c>
      <c r="AX111" s="226" t="e">
        <f t="shared" si="5"/>
        <v>#DIV/0!</v>
      </c>
    </row>
    <row r="112" spans="2:50">
      <c r="B112" s="220">
        <v>2</v>
      </c>
      <c r="C112" s="61"/>
      <c r="D112" s="61"/>
      <c r="E112" s="61"/>
      <c r="F112" s="61"/>
      <c r="G112" s="61"/>
      <c r="H112" s="61"/>
      <c r="I112" s="61"/>
      <c r="J112" s="61"/>
      <c r="K112" s="61"/>
      <c r="L112" s="61"/>
      <c r="M112" s="61"/>
      <c r="N112" s="61"/>
      <c r="O112" s="61"/>
      <c r="P112" s="61"/>
      <c r="R112" s="220">
        <v>2</v>
      </c>
      <c r="S112" s="68"/>
      <c r="T112" s="68"/>
      <c r="U112" s="68"/>
      <c r="V112" s="68"/>
      <c r="W112" s="68"/>
      <c r="X112" s="68"/>
      <c r="Y112" s="68"/>
      <c r="Z112" s="68"/>
      <c r="AA112" s="68"/>
      <c r="AB112" s="68"/>
      <c r="AC112" s="68"/>
      <c r="AD112" s="68"/>
      <c r="AE112" s="68"/>
      <c r="AF112" s="68"/>
      <c r="AJ112" s="220">
        <v>2</v>
      </c>
      <c r="AK112" s="225" t="e">
        <f t="shared" si="5"/>
        <v>#DIV/0!</v>
      </c>
      <c r="AL112" s="225" t="e">
        <f t="shared" si="5"/>
        <v>#DIV/0!</v>
      </c>
      <c r="AM112" s="225" t="e">
        <f t="shared" si="5"/>
        <v>#DIV/0!</v>
      </c>
      <c r="AN112" s="225" t="e">
        <f t="shared" si="5"/>
        <v>#DIV/0!</v>
      </c>
      <c r="AO112" s="225" t="e">
        <f t="shared" si="5"/>
        <v>#DIV/0!</v>
      </c>
      <c r="AP112" s="225" t="e">
        <f t="shared" si="5"/>
        <v>#DIV/0!</v>
      </c>
      <c r="AQ112" s="225" t="e">
        <f t="shared" si="5"/>
        <v>#DIV/0!</v>
      </c>
      <c r="AR112" s="225" t="e">
        <f t="shared" si="5"/>
        <v>#DIV/0!</v>
      </c>
      <c r="AS112" s="225" t="e">
        <f t="shared" si="5"/>
        <v>#DIV/0!</v>
      </c>
      <c r="AT112" s="225" t="e">
        <f t="shared" si="5"/>
        <v>#DIV/0!</v>
      </c>
      <c r="AU112" s="225" t="e">
        <f t="shared" si="5"/>
        <v>#DIV/0!</v>
      </c>
      <c r="AV112" s="225" t="e">
        <f t="shared" si="5"/>
        <v>#DIV/0!</v>
      </c>
      <c r="AW112" s="225" t="e">
        <f t="shared" si="5"/>
        <v>#DIV/0!</v>
      </c>
      <c r="AX112" s="226" t="e">
        <f t="shared" si="5"/>
        <v>#DIV/0!</v>
      </c>
    </row>
    <row r="113" spans="2:50">
      <c r="B113" s="220">
        <v>3</v>
      </c>
      <c r="C113" s="61"/>
      <c r="D113" s="61"/>
      <c r="E113" s="61"/>
      <c r="F113" s="61"/>
      <c r="G113" s="61"/>
      <c r="H113" s="61"/>
      <c r="I113" s="61"/>
      <c r="J113" s="61"/>
      <c r="K113" s="61"/>
      <c r="L113" s="61"/>
      <c r="M113" s="61"/>
      <c r="N113" s="61"/>
      <c r="O113" s="61"/>
      <c r="P113" s="61"/>
      <c r="R113" s="220">
        <v>3</v>
      </c>
      <c r="S113" s="61"/>
      <c r="T113" s="61"/>
      <c r="U113" s="61"/>
      <c r="V113" s="61"/>
      <c r="W113" s="61"/>
      <c r="X113" s="61"/>
      <c r="Y113" s="61"/>
      <c r="Z113" s="61"/>
      <c r="AA113" s="61"/>
      <c r="AB113" s="61"/>
      <c r="AC113" s="61"/>
      <c r="AD113" s="61"/>
      <c r="AE113" s="61"/>
      <c r="AF113" s="61"/>
      <c r="AJ113" s="220">
        <v>3</v>
      </c>
      <c r="AK113" s="225" t="e">
        <f t="shared" si="5"/>
        <v>#DIV/0!</v>
      </c>
      <c r="AL113" s="225" t="e">
        <f t="shared" si="5"/>
        <v>#DIV/0!</v>
      </c>
      <c r="AM113" s="225" t="e">
        <f t="shared" si="5"/>
        <v>#DIV/0!</v>
      </c>
      <c r="AN113" s="225" t="e">
        <f t="shared" si="5"/>
        <v>#DIV/0!</v>
      </c>
      <c r="AO113" s="225" t="e">
        <f t="shared" si="5"/>
        <v>#DIV/0!</v>
      </c>
      <c r="AP113" s="225" t="e">
        <f t="shared" si="5"/>
        <v>#DIV/0!</v>
      </c>
      <c r="AQ113" s="225" t="e">
        <f t="shared" si="5"/>
        <v>#DIV/0!</v>
      </c>
      <c r="AR113" s="225" t="e">
        <f t="shared" si="5"/>
        <v>#DIV/0!</v>
      </c>
      <c r="AS113" s="225" t="e">
        <f t="shared" si="5"/>
        <v>#DIV/0!</v>
      </c>
      <c r="AT113" s="225" t="e">
        <f t="shared" si="5"/>
        <v>#DIV/0!</v>
      </c>
      <c r="AU113" s="225" t="e">
        <f t="shared" si="5"/>
        <v>#DIV/0!</v>
      </c>
      <c r="AV113" s="225" t="e">
        <f t="shared" si="5"/>
        <v>#DIV/0!</v>
      </c>
      <c r="AW113" s="225" t="e">
        <f t="shared" si="5"/>
        <v>#DIV/0!</v>
      </c>
      <c r="AX113" s="226" t="e">
        <f t="shared" si="5"/>
        <v>#DIV/0!</v>
      </c>
    </row>
    <row r="114" spans="2:50">
      <c r="B114" s="220">
        <v>4</v>
      </c>
      <c r="C114" s="68"/>
      <c r="D114" s="68"/>
      <c r="E114" s="68"/>
      <c r="F114" s="68"/>
      <c r="G114" s="68"/>
      <c r="H114" s="68"/>
      <c r="I114" s="68"/>
      <c r="J114" s="68"/>
      <c r="K114" s="68"/>
      <c r="L114" s="68"/>
      <c r="M114" s="68"/>
      <c r="N114" s="68"/>
      <c r="O114" s="68"/>
      <c r="P114" s="68"/>
      <c r="R114" s="220">
        <v>4</v>
      </c>
      <c r="S114" s="68"/>
      <c r="T114" s="68"/>
      <c r="U114" s="68"/>
      <c r="V114" s="68"/>
      <c r="W114" s="68"/>
      <c r="X114" s="68"/>
      <c r="Y114" s="68"/>
      <c r="Z114" s="68"/>
      <c r="AA114" s="68"/>
      <c r="AB114" s="68"/>
      <c r="AC114" s="68"/>
      <c r="AD114" s="68"/>
      <c r="AE114" s="68"/>
      <c r="AF114" s="68"/>
      <c r="AJ114" s="220">
        <v>4</v>
      </c>
      <c r="AK114" s="225" t="e">
        <f t="shared" si="5"/>
        <v>#DIV/0!</v>
      </c>
      <c r="AL114" s="225" t="e">
        <f t="shared" si="5"/>
        <v>#DIV/0!</v>
      </c>
      <c r="AM114" s="225" t="e">
        <f t="shared" si="5"/>
        <v>#DIV/0!</v>
      </c>
      <c r="AN114" s="225" t="e">
        <f t="shared" si="5"/>
        <v>#DIV/0!</v>
      </c>
      <c r="AO114" s="225" t="e">
        <f t="shared" si="5"/>
        <v>#DIV/0!</v>
      </c>
      <c r="AP114" s="225" t="e">
        <f t="shared" si="5"/>
        <v>#DIV/0!</v>
      </c>
      <c r="AQ114" s="225" t="e">
        <f t="shared" si="5"/>
        <v>#DIV/0!</v>
      </c>
      <c r="AR114" s="225" t="e">
        <f t="shared" si="5"/>
        <v>#DIV/0!</v>
      </c>
      <c r="AS114" s="225" t="e">
        <f t="shared" si="5"/>
        <v>#DIV/0!</v>
      </c>
      <c r="AT114" s="225" t="e">
        <f t="shared" si="5"/>
        <v>#DIV/0!</v>
      </c>
      <c r="AU114" s="225" t="e">
        <f t="shared" si="5"/>
        <v>#DIV/0!</v>
      </c>
      <c r="AV114" s="225" t="e">
        <f t="shared" si="5"/>
        <v>#DIV/0!</v>
      </c>
      <c r="AW114" s="225" t="e">
        <f t="shared" si="5"/>
        <v>#DIV/0!</v>
      </c>
      <c r="AX114" s="226" t="e">
        <f t="shared" si="5"/>
        <v>#DIV/0!</v>
      </c>
    </row>
    <row r="115" spans="2:50">
      <c r="B115" s="220">
        <v>5</v>
      </c>
      <c r="C115" s="61"/>
      <c r="D115" s="61"/>
      <c r="E115" s="61"/>
      <c r="F115" s="61"/>
      <c r="G115" s="61"/>
      <c r="H115" s="61"/>
      <c r="I115" s="61"/>
      <c r="J115" s="61"/>
      <c r="K115" s="61"/>
      <c r="L115" s="61"/>
      <c r="M115" s="61"/>
      <c r="N115" s="61"/>
      <c r="O115" s="61"/>
      <c r="P115" s="61"/>
      <c r="R115" s="220">
        <v>5</v>
      </c>
      <c r="S115" s="61"/>
      <c r="T115" s="61"/>
      <c r="U115" s="61"/>
      <c r="V115" s="61"/>
      <c r="W115" s="61"/>
      <c r="X115" s="61"/>
      <c r="Y115" s="61"/>
      <c r="Z115" s="61"/>
      <c r="AA115" s="61"/>
      <c r="AB115" s="61"/>
      <c r="AC115" s="61"/>
      <c r="AD115" s="61"/>
      <c r="AE115" s="61"/>
      <c r="AF115" s="61"/>
      <c r="AJ115" s="220">
        <v>5</v>
      </c>
      <c r="AK115" s="225" t="e">
        <f t="shared" si="5"/>
        <v>#DIV/0!</v>
      </c>
      <c r="AL115" s="225" t="e">
        <f t="shared" si="5"/>
        <v>#DIV/0!</v>
      </c>
      <c r="AM115" s="225" t="e">
        <f t="shared" si="5"/>
        <v>#DIV/0!</v>
      </c>
      <c r="AN115" s="225" t="e">
        <f t="shared" si="5"/>
        <v>#DIV/0!</v>
      </c>
      <c r="AO115" s="225" t="e">
        <f t="shared" si="5"/>
        <v>#DIV/0!</v>
      </c>
      <c r="AP115" s="225" t="e">
        <f t="shared" si="5"/>
        <v>#DIV/0!</v>
      </c>
      <c r="AQ115" s="225" t="e">
        <f t="shared" si="5"/>
        <v>#DIV/0!</v>
      </c>
      <c r="AR115" s="225" t="e">
        <f t="shared" si="5"/>
        <v>#DIV/0!</v>
      </c>
      <c r="AS115" s="225" t="e">
        <f t="shared" si="5"/>
        <v>#DIV/0!</v>
      </c>
      <c r="AT115" s="225" t="e">
        <f t="shared" si="5"/>
        <v>#DIV/0!</v>
      </c>
      <c r="AU115" s="225" t="e">
        <f t="shared" si="5"/>
        <v>#DIV/0!</v>
      </c>
      <c r="AV115" s="225" t="e">
        <f t="shared" si="5"/>
        <v>#DIV/0!</v>
      </c>
      <c r="AW115" s="225" t="e">
        <f t="shared" si="5"/>
        <v>#DIV/0!</v>
      </c>
      <c r="AX115" s="226" t="e">
        <f t="shared" si="5"/>
        <v>#DIV/0!</v>
      </c>
    </row>
    <row r="116" spans="2:50">
      <c r="B116" s="220">
        <v>6</v>
      </c>
      <c r="C116" s="61"/>
      <c r="D116" s="61"/>
      <c r="E116" s="61"/>
      <c r="F116" s="61"/>
      <c r="G116" s="61"/>
      <c r="H116" s="61"/>
      <c r="I116" s="61"/>
      <c r="J116" s="61"/>
      <c r="K116" s="61"/>
      <c r="L116" s="61"/>
      <c r="M116" s="61"/>
      <c r="N116" s="61"/>
      <c r="O116" s="61"/>
      <c r="P116" s="61"/>
      <c r="R116" s="220">
        <v>6</v>
      </c>
      <c r="S116" s="68"/>
      <c r="T116" s="68"/>
      <c r="U116" s="68"/>
      <c r="V116" s="68"/>
      <c r="W116" s="68"/>
      <c r="X116" s="68"/>
      <c r="Y116" s="68"/>
      <c r="Z116" s="68"/>
      <c r="AA116" s="68"/>
      <c r="AB116" s="68"/>
      <c r="AC116" s="68"/>
      <c r="AD116" s="68"/>
      <c r="AE116" s="68"/>
      <c r="AF116" s="68"/>
      <c r="AJ116" s="220">
        <v>6</v>
      </c>
      <c r="AK116" s="225" t="e">
        <f t="shared" si="5"/>
        <v>#DIV/0!</v>
      </c>
      <c r="AL116" s="225" t="e">
        <f t="shared" si="5"/>
        <v>#DIV/0!</v>
      </c>
      <c r="AM116" s="225" t="e">
        <f t="shared" si="5"/>
        <v>#DIV/0!</v>
      </c>
      <c r="AN116" s="225" t="e">
        <f t="shared" si="5"/>
        <v>#DIV/0!</v>
      </c>
      <c r="AO116" s="225" t="e">
        <f t="shared" si="5"/>
        <v>#DIV/0!</v>
      </c>
      <c r="AP116" s="225" t="e">
        <f t="shared" si="5"/>
        <v>#DIV/0!</v>
      </c>
      <c r="AQ116" s="225" t="e">
        <f t="shared" si="5"/>
        <v>#DIV/0!</v>
      </c>
      <c r="AR116" s="225" t="e">
        <f t="shared" si="5"/>
        <v>#DIV/0!</v>
      </c>
      <c r="AS116" s="225" t="e">
        <f t="shared" si="5"/>
        <v>#DIV/0!</v>
      </c>
      <c r="AT116" s="225" t="e">
        <f t="shared" si="5"/>
        <v>#DIV/0!</v>
      </c>
      <c r="AU116" s="225" t="e">
        <f t="shared" si="5"/>
        <v>#DIV/0!</v>
      </c>
      <c r="AV116" s="225" t="e">
        <f t="shared" si="5"/>
        <v>#DIV/0!</v>
      </c>
      <c r="AW116" s="225" t="e">
        <f t="shared" si="5"/>
        <v>#DIV/0!</v>
      </c>
      <c r="AX116" s="226" t="e">
        <f t="shared" si="5"/>
        <v>#DIV/0!</v>
      </c>
    </row>
    <row r="117" spans="2:50">
      <c r="B117" s="220">
        <v>7</v>
      </c>
      <c r="C117" s="61"/>
      <c r="D117" s="61"/>
      <c r="E117" s="61"/>
      <c r="F117" s="61"/>
      <c r="G117" s="61"/>
      <c r="H117" s="61"/>
      <c r="I117" s="61"/>
      <c r="J117" s="61"/>
      <c r="K117" s="61"/>
      <c r="L117" s="61"/>
      <c r="M117" s="61"/>
      <c r="N117" s="61"/>
      <c r="O117" s="61"/>
      <c r="P117" s="61"/>
      <c r="R117" s="220">
        <v>7</v>
      </c>
      <c r="S117" s="61"/>
      <c r="T117" s="61"/>
      <c r="U117" s="61"/>
      <c r="V117" s="61"/>
      <c r="W117" s="61"/>
      <c r="X117" s="61"/>
      <c r="Y117" s="61"/>
      <c r="Z117" s="61"/>
      <c r="AA117" s="61"/>
      <c r="AB117" s="61"/>
      <c r="AC117" s="61"/>
      <c r="AD117" s="61"/>
      <c r="AE117" s="61"/>
      <c r="AF117" s="61"/>
      <c r="AJ117" s="220">
        <v>7</v>
      </c>
      <c r="AK117" s="225" t="e">
        <f t="shared" si="5"/>
        <v>#DIV/0!</v>
      </c>
      <c r="AL117" s="225" t="e">
        <f t="shared" si="5"/>
        <v>#DIV/0!</v>
      </c>
      <c r="AM117" s="225" t="e">
        <f t="shared" si="5"/>
        <v>#DIV/0!</v>
      </c>
      <c r="AN117" s="225" t="e">
        <f t="shared" si="5"/>
        <v>#DIV/0!</v>
      </c>
      <c r="AO117" s="225" t="e">
        <f t="shared" si="5"/>
        <v>#DIV/0!</v>
      </c>
      <c r="AP117" s="225" t="e">
        <f t="shared" si="5"/>
        <v>#DIV/0!</v>
      </c>
      <c r="AQ117" s="225" t="e">
        <f t="shared" si="5"/>
        <v>#DIV/0!</v>
      </c>
      <c r="AR117" s="225" t="e">
        <f t="shared" si="5"/>
        <v>#DIV/0!</v>
      </c>
      <c r="AS117" s="225" t="e">
        <f t="shared" si="5"/>
        <v>#DIV/0!</v>
      </c>
      <c r="AT117" s="225" t="e">
        <f t="shared" si="5"/>
        <v>#DIV/0!</v>
      </c>
      <c r="AU117" s="225" t="e">
        <f t="shared" si="5"/>
        <v>#DIV/0!</v>
      </c>
      <c r="AV117" s="225" t="e">
        <f t="shared" si="5"/>
        <v>#DIV/0!</v>
      </c>
      <c r="AW117" s="225" t="e">
        <f t="shared" si="5"/>
        <v>#DIV/0!</v>
      </c>
      <c r="AX117" s="226" t="e">
        <f t="shared" si="5"/>
        <v>#DIV/0!</v>
      </c>
    </row>
    <row r="118" spans="2:50">
      <c r="B118" s="220">
        <v>8</v>
      </c>
      <c r="C118" s="68"/>
      <c r="D118" s="68"/>
      <c r="E118" s="68"/>
      <c r="F118" s="68"/>
      <c r="G118" s="68"/>
      <c r="H118" s="68"/>
      <c r="I118" s="68"/>
      <c r="J118" s="68"/>
      <c r="K118" s="68"/>
      <c r="L118" s="68"/>
      <c r="M118" s="68"/>
      <c r="N118" s="68"/>
      <c r="O118" s="68"/>
      <c r="P118" s="68"/>
      <c r="R118" s="220">
        <v>8</v>
      </c>
      <c r="S118" s="68"/>
      <c r="T118" s="68"/>
      <c r="U118" s="68"/>
      <c r="V118" s="68"/>
      <c r="W118" s="68"/>
      <c r="X118" s="68"/>
      <c r="Y118" s="68"/>
      <c r="Z118" s="68"/>
      <c r="AA118" s="68"/>
      <c r="AB118" s="68"/>
      <c r="AC118" s="68"/>
      <c r="AD118" s="68"/>
      <c r="AE118" s="68"/>
      <c r="AF118" s="68"/>
      <c r="AJ118" s="220">
        <v>8</v>
      </c>
      <c r="AK118" s="225" t="e">
        <f t="shared" si="5"/>
        <v>#DIV/0!</v>
      </c>
      <c r="AL118" s="225" t="e">
        <f t="shared" si="5"/>
        <v>#DIV/0!</v>
      </c>
      <c r="AM118" s="225" t="e">
        <f t="shared" si="5"/>
        <v>#DIV/0!</v>
      </c>
      <c r="AN118" s="225" t="e">
        <f t="shared" si="5"/>
        <v>#DIV/0!</v>
      </c>
      <c r="AO118" s="225" t="e">
        <f t="shared" si="5"/>
        <v>#DIV/0!</v>
      </c>
      <c r="AP118" s="225" t="e">
        <f t="shared" si="5"/>
        <v>#DIV/0!</v>
      </c>
      <c r="AQ118" s="225" t="e">
        <f t="shared" si="5"/>
        <v>#DIV/0!</v>
      </c>
      <c r="AR118" s="225" t="e">
        <f t="shared" si="5"/>
        <v>#DIV/0!</v>
      </c>
      <c r="AS118" s="225" t="e">
        <f t="shared" si="5"/>
        <v>#DIV/0!</v>
      </c>
      <c r="AT118" s="225" t="e">
        <f t="shared" si="5"/>
        <v>#DIV/0!</v>
      </c>
      <c r="AU118" s="225" t="e">
        <f t="shared" si="5"/>
        <v>#DIV/0!</v>
      </c>
      <c r="AV118" s="225" t="e">
        <f t="shared" si="5"/>
        <v>#DIV/0!</v>
      </c>
      <c r="AW118" s="225" t="e">
        <f t="shared" si="5"/>
        <v>#DIV/0!</v>
      </c>
      <c r="AX118" s="226" t="e">
        <f t="shared" si="5"/>
        <v>#DIV/0!</v>
      </c>
    </row>
    <row r="119" spans="2:50">
      <c r="B119" s="220">
        <v>9</v>
      </c>
      <c r="C119" s="61"/>
      <c r="D119" s="61"/>
      <c r="E119" s="61"/>
      <c r="F119" s="61"/>
      <c r="G119" s="61"/>
      <c r="H119" s="61"/>
      <c r="I119" s="61"/>
      <c r="J119" s="61"/>
      <c r="K119" s="61"/>
      <c r="L119" s="61"/>
      <c r="M119" s="61"/>
      <c r="N119" s="61"/>
      <c r="O119" s="61"/>
      <c r="P119" s="61"/>
      <c r="R119" s="220">
        <v>9</v>
      </c>
      <c r="S119" s="61"/>
      <c r="T119" s="61"/>
      <c r="U119" s="61"/>
      <c r="V119" s="61"/>
      <c r="W119" s="61"/>
      <c r="X119" s="61"/>
      <c r="Y119" s="61"/>
      <c r="Z119" s="61"/>
      <c r="AA119" s="61"/>
      <c r="AB119" s="61"/>
      <c r="AC119" s="61"/>
      <c r="AD119" s="61"/>
      <c r="AE119" s="61"/>
      <c r="AF119" s="61"/>
      <c r="AJ119" s="220">
        <v>9</v>
      </c>
      <c r="AK119" s="225" t="e">
        <f t="shared" si="5"/>
        <v>#DIV/0!</v>
      </c>
      <c r="AL119" s="225" t="e">
        <f t="shared" si="5"/>
        <v>#DIV/0!</v>
      </c>
      <c r="AM119" s="225" t="e">
        <f t="shared" si="5"/>
        <v>#DIV/0!</v>
      </c>
      <c r="AN119" s="225" t="e">
        <f t="shared" si="5"/>
        <v>#DIV/0!</v>
      </c>
      <c r="AO119" s="225" t="e">
        <f t="shared" si="5"/>
        <v>#DIV/0!</v>
      </c>
      <c r="AP119" s="225" t="e">
        <f t="shared" si="5"/>
        <v>#DIV/0!</v>
      </c>
      <c r="AQ119" s="225" t="e">
        <f t="shared" si="5"/>
        <v>#DIV/0!</v>
      </c>
      <c r="AR119" s="225" t="e">
        <f t="shared" si="5"/>
        <v>#DIV/0!</v>
      </c>
      <c r="AS119" s="225" t="e">
        <f t="shared" si="5"/>
        <v>#DIV/0!</v>
      </c>
      <c r="AT119" s="225" t="e">
        <f t="shared" si="5"/>
        <v>#DIV/0!</v>
      </c>
      <c r="AU119" s="225" t="e">
        <f t="shared" si="5"/>
        <v>#DIV/0!</v>
      </c>
      <c r="AV119" s="225" t="e">
        <f t="shared" si="5"/>
        <v>#DIV/0!</v>
      </c>
      <c r="AW119" s="225" t="e">
        <f t="shared" si="5"/>
        <v>#DIV/0!</v>
      </c>
      <c r="AX119" s="226" t="e">
        <f t="shared" si="5"/>
        <v>#DIV/0!</v>
      </c>
    </row>
    <row r="120" spans="2:50">
      <c r="B120" s="220">
        <v>10</v>
      </c>
      <c r="C120" s="61"/>
      <c r="D120" s="61"/>
      <c r="E120" s="61"/>
      <c r="F120" s="61"/>
      <c r="G120" s="61"/>
      <c r="H120" s="61"/>
      <c r="I120" s="61"/>
      <c r="J120" s="61"/>
      <c r="K120" s="61"/>
      <c r="L120" s="61"/>
      <c r="M120" s="61"/>
      <c r="N120" s="61"/>
      <c r="O120" s="61"/>
      <c r="P120" s="61"/>
      <c r="R120" s="220">
        <v>10</v>
      </c>
      <c r="S120" s="68"/>
      <c r="T120" s="68"/>
      <c r="U120" s="68"/>
      <c r="V120" s="68"/>
      <c r="W120" s="68"/>
      <c r="X120" s="68"/>
      <c r="Y120" s="68"/>
      <c r="Z120" s="68"/>
      <c r="AA120" s="68"/>
      <c r="AB120" s="68"/>
      <c r="AC120" s="68"/>
      <c r="AD120" s="68"/>
      <c r="AE120" s="68"/>
      <c r="AF120" s="68"/>
      <c r="AJ120" s="220">
        <v>10</v>
      </c>
      <c r="AK120" s="225" t="e">
        <f t="shared" si="5"/>
        <v>#DIV/0!</v>
      </c>
      <c r="AL120" s="225" t="e">
        <f t="shared" si="5"/>
        <v>#DIV/0!</v>
      </c>
      <c r="AM120" s="225" t="e">
        <f t="shared" si="5"/>
        <v>#DIV/0!</v>
      </c>
      <c r="AN120" s="225" t="e">
        <f t="shared" si="5"/>
        <v>#DIV/0!</v>
      </c>
      <c r="AO120" s="225" t="e">
        <f t="shared" si="5"/>
        <v>#DIV/0!</v>
      </c>
      <c r="AP120" s="225" t="e">
        <f t="shared" si="5"/>
        <v>#DIV/0!</v>
      </c>
      <c r="AQ120" s="225" t="e">
        <f t="shared" si="5"/>
        <v>#DIV/0!</v>
      </c>
      <c r="AR120" s="225" t="e">
        <f t="shared" si="5"/>
        <v>#DIV/0!</v>
      </c>
      <c r="AS120" s="225" t="e">
        <f t="shared" si="5"/>
        <v>#DIV/0!</v>
      </c>
      <c r="AT120" s="225" t="e">
        <f t="shared" si="5"/>
        <v>#DIV/0!</v>
      </c>
      <c r="AU120" s="225" t="e">
        <f t="shared" si="5"/>
        <v>#DIV/0!</v>
      </c>
      <c r="AV120" s="225" t="e">
        <f t="shared" si="5"/>
        <v>#DIV/0!</v>
      </c>
      <c r="AW120" s="225" t="e">
        <f t="shared" si="5"/>
        <v>#DIV/0!</v>
      </c>
      <c r="AX120" s="226" t="e">
        <f t="shared" si="5"/>
        <v>#DIV/0!</v>
      </c>
    </row>
    <row r="121" spans="2:50">
      <c r="B121" s="224">
        <v>11</v>
      </c>
      <c r="C121" s="61"/>
      <c r="D121" s="61"/>
      <c r="E121" s="61"/>
      <c r="F121" s="61"/>
      <c r="G121" s="61"/>
      <c r="H121" s="61"/>
      <c r="I121" s="61"/>
      <c r="J121" s="61"/>
      <c r="K121" s="61"/>
      <c r="L121" s="61"/>
      <c r="M121" s="61"/>
      <c r="N121" s="61"/>
      <c r="O121" s="61"/>
      <c r="P121" s="61"/>
      <c r="R121" s="224">
        <v>11</v>
      </c>
      <c r="S121" s="61"/>
      <c r="T121" s="61"/>
      <c r="U121" s="61"/>
      <c r="V121" s="61"/>
      <c r="W121" s="61"/>
      <c r="X121" s="61"/>
      <c r="Y121" s="61"/>
      <c r="Z121" s="61"/>
      <c r="AA121" s="61"/>
      <c r="AB121" s="61"/>
      <c r="AC121" s="61"/>
      <c r="AD121" s="61"/>
      <c r="AE121" s="61"/>
      <c r="AF121" s="61"/>
      <c r="AJ121" s="224">
        <v>11</v>
      </c>
      <c r="AK121" s="225" t="e">
        <f t="shared" si="5"/>
        <v>#DIV/0!</v>
      </c>
      <c r="AL121" s="225" t="e">
        <f t="shared" si="5"/>
        <v>#DIV/0!</v>
      </c>
      <c r="AM121" s="225" t="e">
        <f t="shared" si="5"/>
        <v>#DIV/0!</v>
      </c>
      <c r="AN121" s="225" t="e">
        <f t="shared" si="5"/>
        <v>#DIV/0!</v>
      </c>
      <c r="AO121" s="225" t="e">
        <f t="shared" si="5"/>
        <v>#DIV/0!</v>
      </c>
      <c r="AP121" s="225" t="e">
        <f t="shared" si="5"/>
        <v>#DIV/0!</v>
      </c>
      <c r="AQ121" s="225" t="e">
        <f t="shared" si="5"/>
        <v>#DIV/0!</v>
      </c>
      <c r="AR121" s="225" t="e">
        <f t="shared" si="5"/>
        <v>#DIV/0!</v>
      </c>
      <c r="AS121" s="225" t="e">
        <f t="shared" si="5"/>
        <v>#DIV/0!</v>
      </c>
      <c r="AT121" s="225" t="e">
        <f t="shared" si="5"/>
        <v>#DIV/0!</v>
      </c>
      <c r="AU121" s="225" t="e">
        <f t="shared" si="5"/>
        <v>#DIV/0!</v>
      </c>
      <c r="AV121" s="225" t="e">
        <f t="shared" si="5"/>
        <v>#DIV/0!</v>
      </c>
      <c r="AW121" s="225" t="e">
        <f t="shared" si="5"/>
        <v>#DIV/0!</v>
      </c>
      <c r="AX121" s="226" t="e">
        <f t="shared" si="5"/>
        <v>#DIV/0!</v>
      </c>
    </row>
    <row r="122" spans="2:50">
      <c r="B122" s="224">
        <v>12</v>
      </c>
      <c r="C122" s="68"/>
      <c r="D122" s="68"/>
      <c r="E122" s="68"/>
      <c r="F122" s="68"/>
      <c r="G122" s="68"/>
      <c r="H122" s="68"/>
      <c r="I122" s="68"/>
      <c r="J122" s="68"/>
      <c r="K122" s="68"/>
      <c r="L122" s="68"/>
      <c r="M122" s="68"/>
      <c r="N122" s="68"/>
      <c r="O122" s="68"/>
      <c r="P122" s="68"/>
      <c r="Q122" s="229"/>
      <c r="R122" s="224">
        <v>12</v>
      </c>
      <c r="S122" s="68"/>
      <c r="T122" s="68"/>
      <c r="U122" s="68"/>
      <c r="V122" s="68"/>
      <c r="W122" s="68"/>
      <c r="X122" s="68"/>
      <c r="Y122" s="68"/>
      <c r="Z122" s="68"/>
      <c r="AA122" s="68"/>
      <c r="AB122" s="68"/>
      <c r="AC122" s="68"/>
      <c r="AD122" s="68"/>
      <c r="AE122" s="68"/>
      <c r="AF122" s="68"/>
      <c r="AG122" s="229"/>
      <c r="AH122" s="229"/>
      <c r="AI122" s="229"/>
      <c r="AJ122" s="224">
        <v>12</v>
      </c>
      <c r="AK122" s="225" t="e">
        <f t="shared" si="5"/>
        <v>#DIV/0!</v>
      </c>
      <c r="AL122" s="225" t="e">
        <f t="shared" si="5"/>
        <v>#DIV/0!</v>
      </c>
      <c r="AM122" s="225" t="e">
        <f t="shared" si="5"/>
        <v>#DIV/0!</v>
      </c>
      <c r="AN122" s="225" t="e">
        <f t="shared" si="5"/>
        <v>#DIV/0!</v>
      </c>
      <c r="AO122" s="225" t="e">
        <f t="shared" si="5"/>
        <v>#DIV/0!</v>
      </c>
      <c r="AP122" s="225" t="e">
        <f t="shared" ref="AP122:AX150" si="6">EXP(-AP$109*$AJ122)</f>
        <v>#DIV/0!</v>
      </c>
      <c r="AQ122" s="225" t="e">
        <f t="shared" si="6"/>
        <v>#DIV/0!</v>
      </c>
      <c r="AR122" s="225" t="e">
        <f t="shared" si="6"/>
        <v>#DIV/0!</v>
      </c>
      <c r="AS122" s="225" t="e">
        <f t="shared" si="6"/>
        <v>#DIV/0!</v>
      </c>
      <c r="AT122" s="225" t="e">
        <f t="shared" si="6"/>
        <v>#DIV/0!</v>
      </c>
      <c r="AU122" s="225" t="e">
        <f t="shared" si="6"/>
        <v>#DIV/0!</v>
      </c>
      <c r="AV122" s="225" t="e">
        <f t="shared" si="6"/>
        <v>#DIV/0!</v>
      </c>
      <c r="AW122" s="225" t="e">
        <f t="shared" si="6"/>
        <v>#DIV/0!</v>
      </c>
      <c r="AX122" s="226" t="e">
        <f t="shared" si="6"/>
        <v>#DIV/0!</v>
      </c>
    </row>
    <row r="123" spans="2:50">
      <c r="B123" s="220">
        <v>13</v>
      </c>
      <c r="C123" s="61"/>
      <c r="D123" s="61"/>
      <c r="E123" s="61"/>
      <c r="F123" s="61"/>
      <c r="G123" s="61"/>
      <c r="H123" s="61"/>
      <c r="I123" s="61"/>
      <c r="J123" s="61"/>
      <c r="K123" s="61"/>
      <c r="L123" s="61"/>
      <c r="M123" s="61"/>
      <c r="N123" s="61"/>
      <c r="O123" s="61"/>
      <c r="P123" s="61"/>
      <c r="R123" s="220">
        <v>13</v>
      </c>
      <c r="S123" s="61"/>
      <c r="T123" s="61"/>
      <c r="U123" s="61"/>
      <c r="V123" s="61"/>
      <c r="W123" s="61"/>
      <c r="X123" s="61"/>
      <c r="Y123" s="61"/>
      <c r="Z123" s="61"/>
      <c r="AA123" s="61"/>
      <c r="AB123" s="61"/>
      <c r="AC123" s="61"/>
      <c r="AD123" s="61"/>
      <c r="AE123" s="61"/>
      <c r="AF123" s="61"/>
      <c r="AJ123" s="220">
        <v>13</v>
      </c>
      <c r="AK123" s="225" t="e">
        <f t="shared" si="5"/>
        <v>#DIV/0!</v>
      </c>
      <c r="AL123" s="225" t="e">
        <f t="shared" si="5"/>
        <v>#DIV/0!</v>
      </c>
      <c r="AM123" s="225" t="e">
        <f t="shared" ref="AM123:AR158" si="7">EXP(-AM$109*$AJ123)</f>
        <v>#DIV/0!</v>
      </c>
      <c r="AN123" s="225" t="e">
        <f t="shared" si="7"/>
        <v>#DIV/0!</v>
      </c>
      <c r="AO123" s="225" t="e">
        <f t="shared" si="7"/>
        <v>#DIV/0!</v>
      </c>
      <c r="AP123" s="225" t="e">
        <f t="shared" si="6"/>
        <v>#DIV/0!</v>
      </c>
      <c r="AQ123" s="225" t="e">
        <f t="shared" si="6"/>
        <v>#DIV/0!</v>
      </c>
      <c r="AR123" s="225" t="e">
        <f t="shared" si="6"/>
        <v>#DIV/0!</v>
      </c>
      <c r="AS123" s="225" t="e">
        <f t="shared" si="6"/>
        <v>#DIV/0!</v>
      </c>
      <c r="AT123" s="225" t="e">
        <f t="shared" si="6"/>
        <v>#DIV/0!</v>
      </c>
      <c r="AU123" s="225" t="e">
        <f t="shared" si="6"/>
        <v>#DIV/0!</v>
      </c>
      <c r="AV123" s="225" t="e">
        <f t="shared" si="6"/>
        <v>#DIV/0!</v>
      </c>
      <c r="AW123" s="225" t="e">
        <f t="shared" si="6"/>
        <v>#DIV/0!</v>
      </c>
      <c r="AX123" s="226" t="e">
        <f t="shared" si="6"/>
        <v>#DIV/0!</v>
      </c>
    </row>
    <row r="124" spans="2:50">
      <c r="B124" s="220">
        <v>14</v>
      </c>
      <c r="C124" s="61"/>
      <c r="D124" s="61"/>
      <c r="E124" s="61"/>
      <c r="F124" s="61"/>
      <c r="G124" s="61"/>
      <c r="H124" s="61"/>
      <c r="I124" s="61"/>
      <c r="J124" s="61"/>
      <c r="K124" s="61"/>
      <c r="L124" s="61"/>
      <c r="M124" s="61"/>
      <c r="N124" s="61"/>
      <c r="O124" s="61"/>
      <c r="P124" s="61"/>
      <c r="R124" s="220">
        <v>14</v>
      </c>
      <c r="S124" s="68"/>
      <c r="T124" s="68"/>
      <c r="U124" s="68"/>
      <c r="V124" s="68"/>
      <c r="W124" s="68"/>
      <c r="X124" s="68"/>
      <c r="Y124" s="68"/>
      <c r="Z124" s="68"/>
      <c r="AA124" s="68"/>
      <c r="AB124" s="68"/>
      <c r="AC124" s="68"/>
      <c r="AD124" s="68"/>
      <c r="AE124" s="68"/>
      <c r="AF124" s="68"/>
      <c r="AJ124" s="220">
        <v>14</v>
      </c>
      <c r="AK124" s="225" t="e">
        <f t="shared" si="5"/>
        <v>#DIV/0!</v>
      </c>
      <c r="AL124" s="225" t="e">
        <f t="shared" si="5"/>
        <v>#DIV/0!</v>
      </c>
      <c r="AM124" s="225" t="e">
        <f t="shared" si="7"/>
        <v>#DIV/0!</v>
      </c>
      <c r="AN124" s="225" t="e">
        <f t="shared" si="7"/>
        <v>#DIV/0!</v>
      </c>
      <c r="AO124" s="225" t="e">
        <f t="shared" si="7"/>
        <v>#DIV/0!</v>
      </c>
      <c r="AP124" s="225" t="e">
        <f t="shared" si="6"/>
        <v>#DIV/0!</v>
      </c>
      <c r="AQ124" s="225" t="e">
        <f t="shared" si="6"/>
        <v>#DIV/0!</v>
      </c>
      <c r="AR124" s="225" t="e">
        <f t="shared" si="6"/>
        <v>#DIV/0!</v>
      </c>
      <c r="AS124" s="225" t="e">
        <f t="shared" si="6"/>
        <v>#DIV/0!</v>
      </c>
      <c r="AT124" s="225" t="e">
        <f t="shared" si="6"/>
        <v>#DIV/0!</v>
      </c>
      <c r="AU124" s="225" t="e">
        <f t="shared" si="6"/>
        <v>#DIV/0!</v>
      </c>
      <c r="AV124" s="225" t="e">
        <f t="shared" si="6"/>
        <v>#DIV/0!</v>
      </c>
      <c r="AW124" s="225" t="e">
        <f t="shared" si="6"/>
        <v>#DIV/0!</v>
      </c>
      <c r="AX124" s="226" t="e">
        <f t="shared" si="6"/>
        <v>#DIV/0!</v>
      </c>
    </row>
    <row r="125" spans="2:50">
      <c r="B125" s="220">
        <v>15</v>
      </c>
      <c r="C125" s="61"/>
      <c r="D125" s="61"/>
      <c r="E125" s="61"/>
      <c r="F125" s="61"/>
      <c r="G125" s="61"/>
      <c r="H125" s="61"/>
      <c r="I125" s="61"/>
      <c r="J125" s="61"/>
      <c r="K125" s="61"/>
      <c r="L125" s="61"/>
      <c r="M125" s="61"/>
      <c r="N125" s="61"/>
      <c r="O125" s="61"/>
      <c r="P125" s="61"/>
      <c r="R125" s="220">
        <v>15</v>
      </c>
      <c r="S125" s="61"/>
      <c r="T125" s="61"/>
      <c r="U125" s="61"/>
      <c r="V125" s="61"/>
      <c r="W125" s="61"/>
      <c r="X125" s="61"/>
      <c r="Y125" s="61"/>
      <c r="Z125" s="61"/>
      <c r="AA125" s="61"/>
      <c r="AB125" s="61"/>
      <c r="AC125" s="61"/>
      <c r="AD125" s="61"/>
      <c r="AE125" s="61"/>
      <c r="AF125" s="61"/>
      <c r="AJ125" s="220">
        <v>15</v>
      </c>
      <c r="AK125" s="225" t="e">
        <f t="shared" si="5"/>
        <v>#DIV/0!</v>
      </c>
      <c r="AL125" s="225" t="e">
        <f t="shared" si="5"/>
        <v>#DIV/0!</v>
      </c>
      <c r="AM125" s="225" t="e">
        <f t="shared" si="7"/>
        <v>#DIV/0!</v>
      </c>
      <c r="AN125" s="225" t="e">
        <f t="shared" si="7"/>
        <v>#DIV/0!</v>
      </c>
      <c r="AO125" s="225" t="e">
        <f t="shared" si="7"/>
        <v>#DIV/0!</v>
      </c>
      <c r="AP125" s="225" t="e">
        <f t="shared" si="6"/>
        <v>#DIV/0!</v>
      </c>
      <c r="AQ125" s="225" t="e">
        <f t="shared" si="6"/>
        <v>#DIV/0!</v>
      </c>
      <c r="AR125" s="225" t="e">
        <f t="shared" si="6"/>
        <v>#DIV/0!</v>
      </c>
      <c r="AS125" s="225" t="e">
        <f t="shared" si="6"/>
        <v>#DIV/0!</v>
      </c>
      <c r="AT125" s="225" t="e">
        <f t="shared" si="6"/>
        <v>#DIV/0!</v>
      </c>
      <c r="AU125" s="225" t="e">
        <f t="shared" si="6"/>
        <v>#DIV/0!</v>
      </c>
      <c r="AV125" s="225" t="e">
        <f t="shared" si="6"/>
        <v>#DIV/0!</v>
      </c>
      <c r="AW125" s="225" t="e">
        <f t="shared" si="6"/>
        <v>#DIV/0!</v>
      </c>
      <c r="AX125" s="226" t="e">
        <f t="shared" si="6"/>
        <v>#DIV/0!</v>
      </c>
    </row>
    <row r="126" spans="2:50">
      <c r="B126" s="220">
        <v>16</v>
      </c>
      <c r="C126" s="68"/>
      <c r="D126" s="68"/>
      <c r="E126" s="68"/>
      <c r="F126" s="68"/>
      <c r="G126" s="68"/>
      <c r="H126" s="68"/>
      <c r="I126" s="68"/>
      <c r="J126" s="68"/>
      <c r="K126" s="68"/>
      <c r="L126" s="68"/>
      <c r="M126" s="68"/>
      <c r="N126" s="68"/>
      <c r="O126" s="68"/>
      <c r="P126" s="68"/>
      <c r="R126" s="220">
        <v>16</v>
      </c>
      <c r="S126" s="68"/>
      <c r="T126" s="68"/>
      <c r="U126" s="68"/>
      <c r="V126" s="68"/>
      <c r="W126" s="68"/>
      <c r="X126" s="68"/>
      <c r="Y126" s="68"/>
      <c r="Z126" s="68"/>
      <c r="AA126" s="68"/>
      <c r="AB126" s="68"/>
      <c r="AC126" s="68"/>
      <c r="AD126" s="68"/>
      <c r="AE126" s="68"/>
      <c r="AF126" s="68"/>
      <c r="AJ126" s="220">
        <v>16</v>
      </c>
      <c r="AK126" s="225" t="e">
        <f t="shared" si="5"/>
        <v>#DIV/0!</v>
      </c>
      <c r="AL126" s="225" t="e">
        <f t="shared" si="5"/>
        <v>#DIV/0!</v>
      </c>
      <c r="AM126" s="225" t="e">
        <f t="shared" si="7"/>
        <v>#DIV/0!</v>
      </c>
      <c r="AN126" s="225" t="e">
        <f t="shared" si="7"/>
        <v>#DIV/0!</v>
      </c>
      <c r="AO126" s="225" t="e">
        <f t="shared" si="7"/>
        <v>#DIV/0!</v>
      </c>
      <c r="AP126" s="225" t="e">
        <f t="shared" si="6"/>
        <v>#DIV/0!</v>
      </c>
      <c r="AQ126" s="225" t="e">
        <f t="shared" si="6"/>
        <v>#DIV/0!</v>
      </c>
      <c r="AR126" s="225" t="e">
        <f t="shared" si="6"/>
        <v>#DIV/0!</v>
      </c>
      <c r="AS126" s="225" t="e">
        <f t="shared" si="6"/>
        <v>#DIV/0!</v>
      </c>
      <c r="AT126" s="225" t="e">
        <f t="shared" si="6"/>
        <v>#DIV/0!</v>
      </c>
      <c r="AU126" s="225" t="e">
        <f t="shared" si="6"/>
        <v>#DIV/0!</v>
      </c>
      <c r="AV126" s="225" t="e">
        <f t="shared" si="6"/>
        <v>#DIV/0!</v>
      </c>
      <c r="AW126" s="225" t="e">
        <f t="shared" si="6"/>
        <v>#DIV/0!</v>
      </c>
      <c r="AX126" s="226" t="e">
        <f t="shared" si="6"/>
        <v>#DIV/0!</v>
      </c>
    </row>
    <row r="127" spans="2:50">
      <c r="B127" s="220">
        <v>17</v>
      </c>
      <c r="C127" s="61"/>
      <c r="D127" s="61"/>
      <c r="E127" s="61"/>
      <c r="F127" s="61"/>
      <c r="G127" s="61"/>
      <c r="H127" s="61"/>
      <c r="I127" s="61"/>
      <c r="J127" s="61"/>
      <c r="K127" s="61"/>
      <c r="L127" s="61"/>
      <c r="M127" s="61"/>
      <c r="N127" s="61"/>
      <c r="O127" s="61"/>
      <c r="P127" s="61"/>
      <c r="R127" s="220">
        <v>17</v>
      </c>
      <c r="S127" s="61"/>
      <c r="T127" s="61"/>
      <c r="U127" s="61"/>
      <c r="V127" s="61"/>
      <c r="W127" s="61"/>
      <c r="X127" s="61"/>
      <c r="Y127" s="61"/>
      <c r="Z127" s="61"/>
      <c r="AA127" s="61"/>
      <c r="AB127" s="61"/>
      <c r="AC127" s="61"/>
      <c r="AD127" s="61"/>
      <c r="AE127" s="61"/>
      <c r="AF127" s="61"/>
      <c r="AJ127" s="220">
        <v>17</v>
      </c>
      <c r="AK127" s="225" t="e">
        <f t="shared" si="5"/>
        <v>#DIV/0!</v>
      </c>
      <c r="AL127" s="225" t="e">
        <f t="shared" si="5"/>
        <v>#DIV/0!</v>
      </c>
      <c r="AM127" s="225" t="e">
        <f t="shared" si="7"/>
        <v>#DIV/0!</v>
      </c>
      <c r="AN127" s="225" t="e">
        <f t="shared" si="7"/>
        <v>#DIV/0!</v>
      </c>
      <c r="AO127" s="225" t="e">
        <f t="shared" si="7"/>
        <v>#DIV/0!</v>
      </c>
      <c r="AP127" s="225" t="e">
        <f t="shared" si="6"/>
        <v>#DIV/0!</v>
      </c>
      <c r="AQ127" s="225" t="e">
        <f t="shared" si="6"/>
        <v>#DIV/0!</v>
      </c>
      <c r="AR127" s="225" t="e">
        <f t="shared" si="6"/>
        <v>#DIV/0!</v>
      </c>
      <c r="AS127" s="225" t="e">
        <f t="shared" si="6"/>
        <v>#DIV/0!</v>
      </c>
      <c r="AT127" s="225" t="e">
        <f t="shared" si="6"/>
        <v>#DIV/0!</v>
      </c>
      <c r="AU127" s="225" t="e">
        <f t="shared" si="6"/>
        <v>#DIV/0!</v>
      </c>
      <c r="AV127" s="225" t="e">
        <f t="shared" si="6"/>
        <v>#DIV/0!</v>
      </c>
      <c r="AW127" s="225" t="e">
        <f t="shared" si="6"/>
        <v>#DIV/0!</v>
      </c>
      <c r="AX127" s="226" t="e">
        <f t="shared" si="6"/>
        <v>#DIV/0!</v>
      </c>
    </row>
    <row r="128" spans="2:50">
      <c r="B128" s="220">
        <v>18</v>
      </c>
      <c r="C128" s="61"/>
      <c r="D128" s="61"/>
      <c r="E128" s="61"/>
      <c r="F128" s="61"/>
      <c r="G128" s="61"/>
      <c r="H128" s="61"/>
      <c r="I128" s="61"/>
      <c r="J128" s="61"/>
      <c r="K128" s="61"/>
      <c r="L128" s="61"/>
      <c r="M128" s="61"/>
      <c r="N128" s="61"/>
      <c r="O128" s="61"/>
      <c r="P128" s="61"/>
      <c r="R128" s="220">
        <v>18</v>
      </c>
      <c r="S128" s="68"/>
      <c r="T128" s="68"/>
      <c r="U128" s="68"/>
      <c r="V128" s="68"/>
      <c r="W128" s="68"/>
      <c r="X128" s="68"/>
      <c r="Y128" s="68"/>
      <c r="Z128" s="68"/>
      <c r="AA128" s="68"/>
      <c r="AB128" s="68"/>
      <c r="AC128" s="68"/>
      <c r="AD128" s="68"/>
      <c r="AE128" s="68"/>
      <c r="AF128" s="68"/>
      <c r="AJ128" s="220">
        <v>18</v>
      </c>
      <c r="AK128" s="225" t="e">
        <f t="shared" si="5"/>
        <v>#DIV/0!</v>
      </c>
      <c r="AL128" s="225" t="e">
        <f t="shared" si="5"/>
        <v>#DIV/0!</v>
      </c>
      <c r="AM128" s="225" t="e">
        <f t="shared" si="7"/>
        <v>#DIV/0!</v>
      </c>
      <c r="AN128" s="225" t="e">
        <f t="shared" si="7"/>
        <v>#DIV/0!</v>
      </c>
      <c r="AO128" s="225" t="e">
        <f t="shared" si="7"/>
        <v>#DIV/0!</v>
      </c>
      <c r="AP128" s="225" t="e">
        <f t="shared" si="6"/>
        <v>#DIV/0!</v>
      </c>
      <c r="AQ128" s="225" t="e">
        <f t="shared" si="6"/>
        <v>#DIV/0!</v>
      </c>
      <c r="AR128" s="225" t="e">
        <f t="shared" si="6"/>
        <v>#DIV/0!</v>
      </c>
      <c r="AS128" s="225" t="e">
        <f t="shared" si="6"/>
        <v>#DIV/0!</v>
      </c>
      <c r="AT128" s="225" t="e">
        <f t="shared" si="6"/>
        <v>#DIV/0!</v>
      </c>
      <c r="AU128" s="225" t="e">
        <f t="shared" si="6"/>
        <v>#DIV/0!</v>
      </c>
      <c r="AV128" s="225" t="e">
        <f t="shared" si="6"/>
        <v>#DIV/0!</v>
      </c>
      <c r="AW128" s="225" t="e">
        <f t="shared" si="6"/>
        <v>#DIV/0!</v>
      </c>
      <c r="AX128" s="226" t="e">
        <f t="shared" si="6"/>
        <v>#DIV/0!</v>
      </c>
    </row>
    <row r="129" spans="2:50">
      <c r="B129" s="220">
        <v>19</v>
      </c>
      <c r="C129" s="61"/>
      <c r="D129" s="61"/>
      <c r="E129" s="61"/>
      <c r="F129" s="61"/>
      <c r="G129" s="61"/>
      <c r="H129" s="61"/>
      <c r="I129" s="61"/>
      <c r="J129" s="61"/>
      <c r="K129" s="61"/>
      <c r="L129" s="61"/>
      <c r="M129" s="61"/>
      <c r="N129" s="61"/>
      <c r="O129" s="61"/>
      <c r="P129" s="61"/>
      <c r="R129" s="220">
        <v>19</v>
      </c>
      <c r="S129" s="61"/>
      <c r="T129" s="61"/>
      <c r="U129" s="61"/>
      <c r="V129" s="61"/>
      <c r="W129" s="61"/>
      <c r="X129" s="61"/>
      <c r="Y129" s="61"/>
      <c r="Z129" s="61"/>
      <c r="AA129" s="61"/>
      <c r="AB129" s="61"/>
      <c r="AC129" s="61"/>
      <c r="AD129" s="61"/>
      <c r="AE129" s="61"/>
      <c r="AF129" s="61"/>
      <c r="AJ129" s="220">
        <v>19</v>
      </c>
      <c r="AK129" s="225" t="e">
        <f t="shared" si="5"/>
        <v>#DIV/0!</v>
      </c>
      <c r="AL129" s="225" t="e">
        <f t="shared" si="5"/>
        <v>#DIV/0!</v>
      </c>
      <c r="AM129" s="225" t="e">
        <f t="shared" si="7"/>
        <v>#DIV/0!</v>
      </c>
      <c r="AN129" s="225" t="e">
        <f t="shared" si="7"/>
        <v>#DIV/0!</v>
      </c>
      <c r="AO129" s="225" t="e">
        <f t="shared" si="7"/>
        <v>#DIV/0!</v>
      </c>
      <c r="AP129" s="225" t="e">
        <f t="shared" si="6"/>
        <v>#DIV/0!</v>
      </c>
      <c r="AQ129" s="225" t="e">
        <f t="shared" si="6"/>
        <v>#DIV/0!</v>
      </c>
      <c r="AR129" s="225" t="e">
        <f t="shared" si="6"/>
        <v>#DIV/0!</v>
      </c>
      <c r="AS129" s="225" t="e">
        <f t="shared" si="6"/>
        <v>#DIV/0!</v>
      </c>
      <c r="AT129" s="225" t="e">
        <f t="shared" si="6"/>
        <v>#DIV/0!</v>
      </c>
      <c r="AU129" s="225" t="e">
        <f t="shared" si="6"/>
        <v>#DIV/0!</v>
      </c>
      <c r="AV129" s="225" t="e">
        <f t="shared" si="6"/>
        <v>#DIV/0!</v>
      </c>
      <c r="AW129" s="225" t="e">
        <f t="shared" si="6"/>
        <v>#DIV/0!</v>
      </c>
      <c r="AX129" s="226" t="e">
        <f t="shared" si="6"/>
        <v>#DIV/0!</v>
      </c>
    </row>
    <row r="130" spans="2:50">
      <c r="B130" s="220">
        <v>20</v>
      </c>
      <c r="C130" s="68"/>
      <c r="D130" s="68"/>
      <c r="E130" s="68"/>
      <c r="F130" s="68"/>
      <c r="G130" s="68"/>
      <c r="H130" s="68"/>
      <c r="I130" s="68"/>
      <c r="J130" s="68"/>
      <c r="K130" s="68"/>
      <c r="L130" s="68"/>
      <c r="M130" s="68"/>
      <c r="N130" s="68"/>
      <c r="O130" s="68"/>
      <c r="P130" s="68"/>
      <c r="R130" s="220">
        <v>20</v>
      </c>
      <c r="S130" s="68"/>
      <c r="T130" s="68"/>
      <c r="U130" s="68"/>
      <c r="V130" s="68"/>
      <c r="W130" s="68"/>
      <c r="X130" s="68"/>
      <c r="Y130" s="68"/>
      <c r="Z130" s="68"/>
      <c r="AA130" s="68"/>
      <c r="AB130" s="68"/>
      <c r="AC130" s="68"/>
      <c r="AD130" s="68"/>
      <c r="AE130" s="68"/>
      <c r="AF130" s="68"/>
      <c r="AJ130" s="220">
        <v>20</v>
      </c>
      <c r="AK130" s="225" t="e">
        <f t="shared" si="5"/>
        <v>#DIV/0!</v>
      </c>
      <c r="AL130" s="225" t="e">
        <f t="shared" si="5"/>
        <v>#DIV/0!</v>
      </c>
      <c r="AM130" s="225" t="e">
        <f t="shared" si="7"/>
        <v>#DIV/0!</v>
      </c>
      <c r="AN130" s="225" t="e">
        <f t="shared" si="7"/>
        <v>#DIV/0!</v>
      </c>
      <c r="AO130" s="225" t="e">
        <f t="shared" si="7"/>
        <v>#DIV/0!</v>
      </c>
      <c r="AP130" s="225" t="e">
        <f t="shared" si="6"/>
        <v>#DIV/0!</v>
      </c>
      <c r="AQ130" s="225" t="e">
        <f t="shared" si="6"/>
        <v>#DIV/0!</v>
      </c>
      <c r="AR130" s="225" t="e">
        <f t="shared" si="6"/>
        <v>#DIV/0!</v>
      </c>
      <c r="AS130" s="225" t="e">
        <f t="shared" si="6"/>
        <v>#DIV/0!</v>
      </c>
      <c r="AT130" s="225" t="e">
        <f t="shared" si="6"/>
        <v>#DIV/0!</v>
      </c>
      <c r="AU130" s="225" t="e">
        <f t="shared" si="6"/>
        <v>#DIV/0!</v>
      </c>
      <c r="AV130" s="225" t="e">
        <f t="shared" si="6"/>
        <v>#DIV/0!</v>
      </c>
      <c r="AW130" s="225" t="e">
        <f t="shared" si="6"/>
        <v>#DIV/0!</v>
      </c>
      <c r="AX130" s="226" t="e">
        <f t="shared" si="6"/>
        <v>#DIV/0!</v>
      </c>
    </row>
    <row r="131" spans="2:50">
      <c r="B131" s="220">
        <v>21</v>
      </c>
      <c r="C131" s="61"/>
      <c r="D131" s="61"/>
      <c r="E131" s="61"/>
      <c r="F131" s="61"/>
      <c r="G131" s="61"/>
      <c r="H131" s="61"/>
      <c r="I131" s="61"/>
      <c r="J131" s="61"/>
      <c r="K131" s="61"/>
      <c r="L131" s="61"/>
      <c r="M131" s="61"/>
      <c r="N131" s="61"/>
      <c r="O131" s="61"/>
      <c r="P131" s="61"/>
      <c r="R131" s="220">
        <v>21</v>
      </c>
      <c r="S131" s="61"/>
      <c r="T131" s="61"/>
      <c r="U131" s="61"/>
      <c r="V131" s="61"/>
      <c r="W131" s="61"/>
      <c r="X131" s="61"/>
      <c r="Y131" s="61"/>
      <c r="Z131" s="61"/>
      <c r="AA131" s="61"/>
      <c r="AB131" s="61"/>
      <c r="AC131" s="61"/>
      <c r="AD131" s="61"/>
      <c r="AE131" s="61"/>
      <c r="AF131" s="61"/>
      <c r="AJ131" s="220">
        <v>21</v>
      </c>
      <c r="AK131" s="225" t="e">
        <f t="shared" si="5"/>
        <v>#DIV/0!</v>
      </c>
      <c r="AL131" s="225" t="e">
        <f t="shared" si="5"/>
        <v>#DIV/0!</v>
      </c>
      <c r="AM131" s="225" t="e">
        <f t="shared" si="7"/>
        <v>#DIV/0!</v>
      </c>
      <c r="AN131" s="225" t="e">
        <f t="shared" si="7"/>
        <v>#DIV/0!</v>
      </c>
      <c r="AO131" s="225" t="e">
        <f t="shared" si="7"/>
        <v>#DIV/0!</v>
      </c>
      <c r="AP131" s="225" t="e">
        <f t="shared" si="6"/>
        <v>#DIV/0!</v>
      </c>
      <c r="AQ131" s="225" t="e">
        <f t="shared" si="6"/>
        <v>#DIV/0!</v>
      </c>
      <c r="AR131" s="225" t="e">
        <f t="shared" si="6"/>
        <v>#DIV/0!</v>
      </c>
      <c r="AS131" s="225" t="e">
        <f t="shared" si="6"/>
        <v>#DIV/0!</v>
      </c>
      <c r="AT131" s="225" t="e">
        <f t="shared" si="6"/>
        <v>#DIV/0!</v>
      </c>
      <c r="AU131" s="225" t="e">
        <f t="shared" si="6"/>
        <v>#DIV/0!</v>
      </c>
      <c r="AV131" s="225" t="e">
        <f t="shared" si="6"/>
        <v>#DIV/0!</v>
      </c>
      <c r="AW131" s="225" t="e">
        <f t="shared" si="6"/>
        <v>#DIV/0!</v>
      </c>
      <c r="AX131" s="226" t="e">
        <f t="shared" si="6"/>
        <v>#DIV/0!</v>
      </c>
    </row>
    <row r="132" spans="2:50">
      <c r="B132" s="220">
        <v>22</v>
      </c>
      <c r="C132" s="61"/>
      <c r="D132" s="61"/>
      <c r="E132" s="61"/>
      <c r="F132" s="61"/>
      <c r="G132" s="61"/>
      <c r="H132" s="61"/>
      <c r="I132" s="61"/>
      <c r="J132" s="61"/>
      <c r="K132" s="61"/>
      <c r="L132" s="61"/>
      <c r="M132" s="61"/>
      <c r="N132" s="61"/>
      <c r="O132" s="61"/>
      <c r="P132" s="61"/>
      <c r="R132" s="220">
        <v>22</v>
      </c>
      <c r="S132" s="68"/>
      <c r="T132" s="68"/>
      <c r="U132" s="68"/>
      <c r="V132" s="68"/>
      <c r="W132" s="68"/>
      <c r="X132" s="68"/>
      <c r="Y132" s="68"/>
      <c r="Z132" s="68"/>
      <c r="AA132" s="68"/>
      <c r="AB132" s="68"/>
      <c r="AC132" s="68"/>
      <c r="AD132" s="68"/>
      <c r="AE132" s="68"/>
      <c r="AF132" s="68"/>
      <c r="AJ132" s="220">
        <v>22</v>
      </c>
      <c r="AK132" s="225" t="e">
        <f t="shared" si="5"/>
        <v>#DIV/0!</v>
      </c>
      <c r="AL132" s="225" t="e">
        <f t="shared" si="5"/>
        <v>#DIV/0!</v>
      </c>
      <c r="AM132" s="225" t="e">
        <f t="shared" si="7"/>
        <v>#DIV/0!</v>
      </c>
      <c r="AN132" s="225" t="e">
        <f t="shared" si="7"/>
        <v>#DIV/0!</v>
      </c>
      <c r="AO132" s="225" t="e">
        <f t="shared" si="7"/>
        <v>#DIV/0!</v>
      </c>
      <c r="AP132" s="225" t="e">
        <f t="shared" si="6"/>
        <v>#DIV/0!</v>
      </c>
      <c r="AQ132" s="225" t="e">
        <f t="shared" si="6"/>
        <v>#DIV/0!</v>
      </c>
      <c r="AR132" s="225" t="e">
        <f t="shared" si="6"/>
        <v>#DIV/0!</v>
      </c>
      <c r="AS132" s="225" t="e">
        <f t="shared" si="6"/>
        <v>#DIV/0!</v>
      </c>
      <c r="AT132" s="225" t="e">
        <f t="shared" si="6"/>
        <v>#DIV/0!</v>
      </c>
      <c r="AU132" s="225" t="e">
        <f t="shared" si="6"/>
        <v>#DIV/0!</v>
      </c>
      <c r="AV132" s="225" t="e">
        <f t="shared" si="6"/>
        <v>#DIV/0!</v>
      </c>
      <c r="AW132" s="225" t="e">
        <f t="shared" si="6"/>
        <v>#DIV/0!</v>
      </c>
      <c r="AX132" s="226" t="e">
        <f t="shared" si="6"/>
        <v>#DIV/0!</v>
      </c>
    </row>
    <row r="133" spans="2:50">
      <c r="B133" s="220">
        <v>23</v>
      </c>
      <c r="C133" s="61"/>
      <c r="D133" s="61"/>
      <c r="E133" s="61"/>
      <c r="F133" s="61"/>
      <c r="G133" s="61"/>
      <c r="H133" s="61"/>
      <c r="I133" s="61"/>
      <c r="J133" s="61"/>
      <c r="K133" s="61"/>
      <c r="L133" s="61"/>
      <c r="M133" s="61"/>
      <c r="N133" s="61"/>
      <c r="O133" s="61"/>
      <c r="P133" s="61"/>
      <c r="R133" s="220">
        <v>23</v>
      </c>
      <c r="S133" s="61"/>
      <c r="T133" s="61"/>
      <c r="U133" s="61"/>
      <c r="V133" s="61"/>
      <c r="W133" s="61"/>
      <c r="X133" s="61"/>
      <c r="Y133" s="61"/>
      <c r="Z133" s="61"/>
      <c r="AA133" s="61"/>
      <c r="AB133" s="61"/>
      <c r="AC133" s="61"/>
      <c r="AD133" s="61"/>
      <c r="AE133" s="61"/>
      <c r="AF133" s="61"/>
      <c r="AJ133" s="220">
        <v>23</v>
      </c>
      <c r="AK133" s="225" t="e">
        <f t="shared" si="5"/>
        <v>#DIV/0!</v>
      </c>
      <c r="AL133" s="225" t="e">
        <f t="shared" si="5"/>
        <v>#DIV/0!</v>
      </c>
      <c r="AM133" s="225" t="e">
        <f t="shared" si="7"/>
        <v>#DIV/0!</v>
      </c>
      <c r="AN133" s="225" t="e">
        <f t="shared" si="7"/>
        <v>#DIV/0!</v>
      </c>
      <c r="AO133" s="225" t="e">
        <f t="shared" si="7"/>
        <v>#DIV/0!</v>
      </c>
      <c r="AP133" s="225" t="e">
        <f t="shared" si="6"/>
        <v>#DIV/0!</v>
      </c>
      <c r="AQ133" s="225" t="e">
        <f t="shared" si="6"/>
        <v>#DIV/0!</v>
      </c>
      <c r="AR133" s="225" t="e">
        <f t="shared" si="6"/>
        <v>#DIV/0!</v>
      </c>
      <c r="AS133" s="225" t="e">
        <f t="shared" si="6"/>
        <v>#DIV/0!</v>
      </c>
      <c r="AT133" s="225" t="e">
        <f t="shared" si="6"/>
        <v>#DIV/0!</v>
      </c>
      <c r="AU133" s="225" t="e">
        <f t="shared" si="6"/>
        <v>#DIV/0!</v>
      </c>
      <c r="AV133" s="225" t="e">
        <f t="shared" si="6"/>
        <v>#DIV/0!</v>
      </c>
      <c r="AW133" s="225" t="e">
        <f t="shared" si="6"/>
        <v>#DIV/0!</v>
      </c>
      <c r="AX133" s="226" t="e">
        <f t="shared" si="6"/>
        <v>#DIV/0!</v>
      </c>
    </row>
    <row r="134" spans="2:50">
      <c r="B134" s="224">
        <v>24</v>
      </c>
      <c r="C134" s="68"/>
      <c r="D134" s="68"/>
      <c r="E134" s="68"/>
      <c r="F134" s="68"/>
      <c r="G134" s="68"/>
      <c r="H134" s="68"/>
      <c r="I134" s="68"/>
      <c r="J134" s="68"/>
      <c r="K134" s="68"/>
      <c r="L134" s="68"/>
      <c r="M134" s="68"/>
      <c r="N134" s="68"/>
      <c r="O134" s="68"/>
      <c r="P134" s="68"/>
      <c r="R134" s="224">
        <v>24</v>
      </c>
      <c r="S134" s="68"/>
      <c r="T134" s="68"/>
      <c r="U134" s="68"/>
      <c r="V134" s="68"/>
      <c r="W134" s="68"/>
      <c r="X134" s="68"/>
      <c r="Y134" s="68"/>
      <c r="Z134" s="68"/>
      <c r="AA134" s="68"/>
      <c r="AB134" s="68"/>
      <c r="AC134" s="68"/>
      <c r="AD134" s="68"/>
      <c r="AE134" s="68"/>
      <c r="AF134" s="68"/>
      <c r="AJ134" s="224">
        <v>24</v>
      </c>
      <c r="AK134" s="225" t="e">
        <f t="shared" si="5"/>
        <v>#DIV/0!</v>
      </c>
      <c r="AL134" s="225" t="e">
        <f t="shared" si="5"/>
        <v>#DIV/0!</v>
      </c>
      <c r="AM134" s="225" t="e">
        <f t="shared" si="7"/>
        <v>#DIV/0!</v>
      </c>
      <c r="AN134" s="225" t="e">
        <f t="shared" si="7"/>
        <v>#DIV/0!</v>
      </c>
      <c r="AO134" s="225" t="e">
        <f t="shared" si="7"/>
        <v>#DIV/0!</v>
      </c>
      <c r="AP134" s="225" t="e">
        <f t="shared" si="6"/>
        <v>#DIV/0!</v>
      </c>
      <c r="AQ134" s="225" t="e">
        <f t="shared" si="6"/>
        <v>#DIV/0!</v>
      </c>
      <c r="AR134" s="225" t="e">
        <f t="shared" si="6"/>
        <v>#DIV/0!</v>
      </c>
      <c r="AS134" s="225" t="e">
        <f t="shared" si="6"/>
        <v>#DIV/0!</v>
      </c>
      <c r="AT134" s="225" t="e">
        <f t="shared" si="6"/>
        <v>#DIV/0!</v>
      </c>
      <c r="AU134" s="225" t="e">
        <f t="shared" si="6"/>
        <v>#DIV/0!</v>
      </c>
      <c r="AV134" s="225" t="e">
        <f t="shared" si="6"/>
        <v>#DIV/0!</v>
      </c>
      <c r="AW134" s="225" t="e">
        <f t="shared" si="6"/>
        <v>#DIV/0!</v>
      </c>
      <c r="AX134" s="226" t="e">
        <f t="shared" si="6"/>
        <v>#DIV/0!</v>
      </c>
    </row>
    <row r="135" spans="2:50">
      <c r="B135" s="220">
        <v>25</v>
      </c>
      <c r="C135" s="61"/>
      <c r="D135" s="61"/>
      <c r="E135" s="61"/>
      <c r="F135" s="61"/>
      <c r="G135" s="61"/>
      <c r="H135" s="61"/>
      <c r="I135" s="61"/>
      <c r="J135" s="61"/>
      <c r="K135" s="61"/>
      <c r="L135" s="61"/>
      <c r="M135" s="61"/>
      <c r="N135" s="61"/>
      <c r="O135" s="61"/>
      <c r="P135" s="61"/>
      <c r="Q135" s="229"/>
      <c r="R135" s="220">
        <v>25</v>
      </c>
      <c r="S135" s="61"/>
      <c r="T135" s="61"/>
      <c r="U135" s="61"/>
      <c r="V135" s="61"/>
      <c r="W135" s="61"/>
      <c r="X135" s="61"/>
      <c r="Y135" s="61"/>
      <c r="Z135" s="61"/>
      <c r="AA135" s="61"/>
      <c r="AB135" s="61"/>
      <c r="AC135" s="61"/>
      <c r="AD135" s="61"/>
      <c r="AE135" s="61"/>
      <c r="AF135" s="61"/>
      <c r="AG135" s="229"/>
      <c r="AH135" s="229"/>
      <c r="AI135" s="229"/>
      <c r="AJ135" s="220">
        <v>25</v>
      </c>
      <c r="AK135" s="225" t="e">
        <f t="shared" si="5"/>
        <v>#DIV/0!</v>
      </c>
      <c r="AL135" s="225" t="e">
        <f t="shared" si="5"/>
        <v>#DIV/0!</v>
      </c>
      <c r="AM135" s="225" t="e">
        <f t="shared" si="7"/>
        <v>#DIV/0!</v>
      </c>
      <c r="AN135" s="225" t="e">
        <f t="shared" si="7"/>
        <v>#DIV/0!</v>
      </c>
      <c r="AO135" s="225" t="e">
        <f t="shared" si="7"/>
        <v>#DIV/0!</v>
      </c>
      <c r="AP135" s="225" t="e">
        <f t="shared" si="6"/>
        <v>#DIV/0!</v>
      </c>
      <c r="AQ135" s="225" t="e">
        <f t="shared" si="6"/>
        <v>#DIV/0!</v>
      </c>
      <c r="AR135" s="225" t="e">
        <f t="shared" si="6"/>
        <v>#DIV/0!</v>
      </c>
      <c r="AS135" s="225" t="e">
        <f t="shared" si="6"/>
        <v>#DIV/0!</v>
      </c>
      <c r="AT135" s="225" t="e">
        <f t="shared" si="6"/>
        <v>#DIV/0!</v>
      </c>
      <c r="AU135" s="225" t="e">
        <f t="shared" si="6"/>
        <v>#DIV/0!</v>
      </c>
      <c r="AV135" s="225" t="e">
        <f t="shared" si="6"/>
        <v>#DIV/0!</v>
      </c>
      <c r="AW135" s="225" t="e">
        <f t="shared" si="6"/>
        <v>#DIV/0!</v>
      </c>
      <c r="AX135" s="226" t="e">
        <f t="shared" si="6"/>
        <v>#DIV/0!</v>
      </c>
    </row>
    <row r="136" spans="2:50">
      <c r="B136" s="220">
        <v>26</v>
      </c>
      <c r="C136" s="61"/>
      <c r="D136" s="61"/>
      <c r="E136" s="61"/>
      <c r="F136" s="61"/>
      <c r="G136" s="61"/>
      <c r="H136" s="61"/>
      <c r="I136" s="61"/>
      <c r="J136" s="61"/>
      <c r="K136" s="61"/>
      <c r="L136" s="61"/>
      <c r="M136" s="61"/>
      <c r="N136" s="61"/>
      <c r="O136" s="61"/>
      <c r="P136" s="61"/>
      <c r="R136" s="220">
        <v>26</v>
      </c>
      <c r="S136" s="68"/>
      <c r="T136" s="68"/>
      <c r="U136" s="68"/>
      <c r="V136" s="68"/>
      <c r="W136" s="68"/>
      <c r="X136" s="68"/>
      <c r="Y136" s="68"/>
      <c r="Z136" s="68"/>
      <c r="AA136" s="68"/>
      <c r="AB136" s="68"/>
      <c r="AC136" s="68"/>
      <c r="AD136" s="68"/>
      <c r="AE136" s="68"/>
      <c r="AF136" s="68"/>
      <c r="AJ136" s="220">
        <v>26</v>
      </c>
      <c r="AK136" s="225" t="e">
        <f t="shared" si="5"/>
        <v>#DIV/0!</v>
      </c>
      <c r="AL136" s="225" t="e">
        <f t="shared" si="5"/>
        <v>#DIV/0!</v>
      </c>
      <c r="AM136" s="225" t="e">
        <f t="shared" si="7"/>
        <v>#DIV/0!</v>
      </c>
      <c r="AN136" s="225" t="e">
        <f t="shared" si="7"/>
        <v>#DIV/0!</v>
      </c>
      <c r="AO136" s="225" t="e">
        <f t="shared" si="7"/>
        <v>#DIV/0!</v>
      </c>
      <c r="AP136" s="225" t="e">
        <f t="shared" si="6"/>
        <v>#DIV/0!</v>
      </c>
      <c r="AQ136" s="225" t="e">
        <f t="shared" si="6"/>
        <v>#DIV/0!</v>
      </c>
      <c r="AR136" s="225" t="e">
        <f t="shared" si="6"/>
        <v>#DIV/0!</v>
      </c>
      <c r="AS136" s="225" t="e">
        <f t="shared" si="6"/>
        <v>#DIV/0!</v>
      </c>
      <c r="AT136" s="225" t="e">
        <f t="shared" si="6"/>
        <v>#DIV/0!</v>
      </c>
      <c r="AU136" s="225" t="e">
        <f t="shared" si="6"/>
        <v>#DIV/0!</v>
      </c>
      <c r="AV136" s="225" t="e">
        <f t="shared" si="6"/>
        <v>#DIV/0!</v>
      </c>
      <c r="AW136" s="225" t="e">
        <f t="shared" si="6"/>
        <v>#DIV/0!</v>
      </c>
      <c r="AX136" s="226" t="e">
        <f t="shared" si="6"/>
        <v>#DIV/0!</v>
      </c>
    </row>
    <row r="137" spans="2:50">
      <c r="B137" s="220">
        <v>27</v>
      </c>
      <c r="C137" s="61"/>
      <c r="D137" s="61"/>
      <c r="E137" s="61"/>
      <c r="F137" s="61"/>
      <c r="G137" s="61"/>
      <c r="H137" s="61"/>
      <c r="I137" s="61"/>
      <c r="J137" s="61"/>
      <c r="K137" s="61"/>
      <c r="L137" s="61"/>
      <c r="M137" s="61"/>
      <c r="N137" s="61"/>
      <c r="O137" s="61"/>
      <c r="P137" s="61"/>
      <c r="R137" s="220">
        <v>27</v>
      </c>
      <c r="S137" s="61"/>
      <c r="T137" s="61"/>
      <c r="U137" s="61"/>
      <c r="V137" s="61"/>
      <c r="W137" s="61"/>
      <c r="X137" s="61"/>
      <c r="Y137" s="61"/>
      <c r="Z137" s="61"/>
      <c r="AA137" s="61"/>
      <c r="AB137" s="61"/>
      <c r="AC137" s="61"/>
      <c r="AD137" s="61"/>
      <c r="AE137" s="61"/>
      <c r="AF137" s="61"/>
      <c r="AJ137" s="220">
        <v>27</v>
      </c>
      <c r="AK137" s="225" t="e">
        <f t="shared" si="5"/>
        <v>#DIV/0!</v>
      </c>
      <c r="AL137" s="225" t="e">
        <f t="shared" si="5"/>
        <v>#DIV/0!</v>
      </c>
      <c r="AM137" s="225" t="e">
        <f t="shared" si="7"/>
        <v>#DIV/0!</v>
      </c>
      <c r="AN137" s="225" t="e">
        <f t="shared" si="7"/>
        <v>#DIV/0!</v>
      </c>
      <c r="AO137" s="225" t="e">
        <f t="shared" si="7"/>
        <v>#DIV/0!</v>
      </c>
      <c r="AP137" s="225" t="e">
        <f t="shared" si="6"/>
        <v>#DIV/0!</v>
      </c>
      <c r="AQ137" s="225" t="e">
        <f t="shared" si="6"/>
        <v>#DIV/0!</v>
      </c>
      <c r="AR137" s="225" t="e">
        <f t="shared" si="6"/>
        <v>#DIV/0!</v>
      </c>
      <c r="AS137" s="225" t="e">
        <f t="shared" si="6"/>
        <v>#DIV/0!</v>
      </c>
      <c r="AT137" s="225" t="e">
        <f t="shared" si="6"/>
        <v>#DIV/0!</v>
      </c>
      <c r="AU137" s="225" t="e">
        <f t="shared" si="6"/>
        <v>#DIV/0!</v>
      </c>
      <c r="AV137" s="225" t="e">
        <f t="shared" si="6"/>
        <v>#DIV/0!</v>
      </c>
      <c r="AW137" s="225" t="e">
        <f t="shared" si="6"/>
        <v>#DIV/0!</v>
      </c>
      <c r="AX137" s="226" t="e">
        <f t="shared" si="6"/>
        <v>#DIV/0!</v>
      </c>
    </row>
    <row r="138" spans="2:50">
      <c r="B138" s="220">
        <v>28</v>
      </c>
      <c r="C138" s="68"/>
      <c r="D138" s="68"/>
      <c r="E138" s="68"/>
      <c r="F138" s="68"/>
      <c r="G138" s="68"/>
      <c r="H138" s="68"/>
      <c r="I138" s="68"/>
      <c r="J138" s="68"/>
      <c r="K138" s="68"/>
      <c r="L138" s="68"/>
      <c r="M138" s="68"/>
      <c r="N138" s="68"/>
      <c r="O138" s="68"/>
      <c r="P138" s="68"/>
      <c r="R138" s="220">
        <v>28</v>
      </c>
      <c r="S138" s="68"/>
      <c r="T138" s="68"/>
      <c r="U138" s="68"/>
      <c r="V138" s="68"/>
      <c r="W138" s="68"/>
      <c r="X138" s="68"/>
      <c r="Y138" s="68"/>
      <c r="Z138" s="68"/>
      <c r="AA138" s="68"/>
      <c r="AB138" s="68"/>
      <c r="AC138" s="68"/>
      <c r="AD138" s="68"/>
      <c r="AE138" s="68"/>
      <c r="AF138" s="68"/>
      <c r="AJ138" s="220">
        <v>28</v>
      </c>
      <c r="AK138" s="225" t="e">
        <f t="shared" si="5"/>
        <v>#DIV/0!</v>
      </c>
      <c r="AL138" s="225" t="e">
        <f t="shared" si="5"/>
        <v>#DIV/0!</v>
      </c>
      <c r="AM138" s="225" t="e">
        <f t="shared" si="7"/>
        <v>#DIV/0!</v>
      </c>
      <c r="AN138" s="225" t="e">
        <f t="shared" si="7"/>
        <v>#DIV/0!</v>
      </c>
      <c r="AO138" s="225" t="e">
        <f t="shared" si="7"/>
        <v>#DIV/0!</v>
      </c>
      <c r="AP138" s="225" t="e">
        <f t="shared" si="6"/>
        <v>#DIV/0!</v>
      </c>
      <c r="AQ138" s="225" t="e">
        <f t="shared" si="6"/>
        <v>#DIV/0!</v>
      </c>
      <c r="AR138" s="225" t="e">
        <f t="shared" si="6"/>
        <v>#DIV/0!</v>
      </c>
      <c r="AS138" s="225" t="e">
        <f t="shared" si="6"/>
        <v>#DIV/0!</v>
      </c>
      <c r="AT138" s="225" t="e">
        <f t="shared" si="6"/>
        <v>#DIV/0!</v>
      </c>
      <c r="AU138" s="225" t="e">
        <f t="shared" si="6"/>
        <v>#DIV/0!</v>
      </c>
      <c r="AV138" s="225" t="e">
        <f t="shared" si="6"/>
        <v>#DIV/0!</v>
      </c>
      <c r="AW138" s="225" t="e">
        <f t="shared" si="6"/>
        <v>#DIV/0!</v>
      </c>
      <c r="AX138" s="226" t="e">
        <f t="shared" si="6"/>
        <v>#DIV/0!</v>
      </c>
    </row>
    <row r="139" spans="2:50">
      <c r="B139" s="220">
        <v>29</v>
      </c>
      <c r="C139" s="61"/>
      <c r="D139" s="61"/>
      <c r="E139" s="61"/>
      <c r="F139" s="61"/>
      <c r="G139" s="61"/>
      <c r="H139" s="61"/>
      <c r="I139" s="61"/>
      <c r="J139" s="61"/>
      <c r="K139" s="61"/>
      <c r="L139" s="61"/>
      <c r="M139" s="61"/>
      <c r="N139" s="61"/>
      <c r="O139" s="61"/>
      <c r="P139" s="61"/>
      <c r="R139" s="220">
        <v>29</v>
      </c>
      <c r="S139" s="61"/>
      <c r="T139" s="61"/>
      <c r="U139" s="61"/>
      <c r="V139" s="61"/>
      <c r="W139" s="61"/>
      <c r="X139" s="61"/>
      <c r="Y139" s="61"/>
      <c r="Z139" s="61"/>
      <c r="AA139" s="61"/>
      <c r="AB139" s="61"/>
      <c r="AC139" s="61"/>
      <c r="AD139" s="61"/>
      <c r="AE139" s="61"/>
      <c r="AF139" s="61"/>
      <c r="AJ139" s="220">
        <v>29</v>
      </c>
      <c r="AK139" s="225" t="e">
        <f t="shared" si="5"/>
        <v>#DIV/0!</v>
      </c>
      <c r="AL139" s="225" t="e">
        <f t="shared" si="5"/>
        <v>#DIV/0!</v>
      </c>
      <c r="AM139" s="225" t="e">
        <f t="shared" si="7"/>
        <v>#DIV/0!</v>
      </c>
      <c r="AN139" s="225" t="e">
        <f t="shared" si="7"/>
        <v>#DIV/0!</v>
      </c>
      <c r="AO139" s="225" t="e">
        <f t="shared" si="7"/>
        <v>#DIV/0!</v>
      </c>
      <c r="AP139" s="225" t="e">
        <f t="shared" si="6"/>
        <v>#DIV/0!</v>
      </c>
      <c r="AQ139" s="225" t="e">
        <f t="shared" si="6"/>
        <v>#DIV/0!</v>
      </c>
      <c r="AR139" s="225" t="e">
        <f t="shared" si="6"/>
        <v>#DIV/0!</v>
      </c>
      <c r="AS139" s="225" t="e">
        <f t="shared" si="6"/>
        <v>#DIV/0!</v>
      </c>
      <c r="AT139" s="225" t="e">
        <f t="shared" si="6"/>
        <v>#DIV/0!</v>
      </c>
      <c r="AU139" s="225" t="e">
        <f t="shared" si="6"/>
        <v>#DIV/0!</v>
      </c>
      <c r="AV139" s="225" t="e">
        <f t="shared" si="6"/>
        <v>#DIV/0!</v>
      </c>
      <c r="AW139" s="225" t="e">
        <f t="shared" si="6"/>
        <v>#DIV/0!</v>
      </c>
      <c r="AX139" s="226" t="e">
        <f t="shared" si="6"/>
        <v>#DIV/0!</v>
      </c>
    </row>
    <row r="140" spans="2:50">
      <c r="B140" s="220">
        <v>30</v>
      </c>
      <c r="C140" s="61"/>
      <c r="D140" s="61"/>
      <c r="E140" s="61"/>
      <c r="F140" s="61"/>
      <c r="G140" s="61"/>
      <c r="H140" s="61"/>
      <c r="I140" s="61"/>
      <c r="J140" s="61"/>
      <c r="K140" s="61"/>
      <c r="L140" s="61"/>
      <c r="M140" s="61"/>
      <c r="N140" s="61"/>
      <c r="O140" s="61"/>
      <c r="P140" s="61"/>
      <c r="R140" s="220">
        <v>30</v>
      </c>
      <c r="S140" s="68"/>
      <c r="T140" s="68"/>
      <c r="U140" s="68"/>
      <c r="V140" s="68"/>
      <c r="W140" s="68"/>
      <c r="X140" s="68"/>
      <c r="Y140" s="68"/>
      <c r="Z140" s="68"/>
      <c r="AA140" s="68"/>
      <c r="AB140" s="68"/>
      <c r="AC140" s="68"/>
      <c r="AD140" s="68"/>
      <c r="AE140" s="68"/>
      <c r="AF140" s="68"/>
      <c r="AJ140" s="220">
        <v>30</v>
      </c>
      <c r="AK140" s="225" t="e">
        <f t="shared" si="5"/>
        <v>#DIV/0!</v>
      </c>
      <c r="AL140" s="225" t="e">
        <f t="shared" si="5"/>
        <v>#DIV/0!</v>
      </c>
      <c r="AM140" s="225" t="e">
        <f t="shared" si="7"/>
        <v>#DIV/0!</v>
      </c>
      <c r="AN140" s="225" t="e">
        <f t="shared" si="7"/>
        <v>#DIV/0!</v>
      </c>
      <c r="AO140" s="225" t="e">
        <f t="shared" si="7"/>
        <v>#DIV/0!</v>
      </c>
      <c r="AP140" s="225" t="e">
        <f t="shared" si="6"/>
        <v>#DIV/0!</v>
      </c>
      <c r="AQ140" s="225" t="e">
        <f t="shared" si="6"/>
        <v>#DIV/0!</v>
      </c>
      <c r="AR140" s="225" t="e">
        <f t="shared" si="6"/>
        <v>#DIV/0!</v>
      </c>
      <c r="AS140" s="225" t="e">
        <f t="shared" si="6"/>
        <v>#DIV/0!</v>
      </c>
      <c r="AT140" s="225" t="e">
        <f t="shared" si="6"/>
        <v>#DIV/0!</v>
      </c>
      <c r="AU140" s="225" t="e">
        <f t="shared" si="6"/>
        <v>#DIV/0!</v>
      </c>
      <c r="AV140" s="225" t="e">
        <f t="shared" si="6"/>
        <v>#DIV/0!</v>
      </c>
      <c r="AW140" s="225" t="e">
        <f t="shared" si="6"/>
        <v>#DIV/0!</v>
      </c>
      <c r="AX140" s="226" t="e">
        <f t="shared" si="6"/>
        <v>#DIV/0!</v>
      </c>
    </row>
    <row r="141" spans="2:50">
      <c r="B141" s="220">
        <v>31</v>
      </c>
      <c r="C141" s="61"/>
      <c r="D141" s="61"/>
      <c r="E141" s="61"/>
      <c r="F141" s="61"/>
      <c r="G141" s="61"/>
      <c r="H141" s="61"/>
      <c r="I141" s="61"/>
      <c r="J141" s="61"/>
      <c r="K141" s="61"/>
      <c r="L141" s="61"/>
      <c r="M141" s="61"/>
      <c r="N141" s="61"/>
      <c r="O141" s="61"/>
      <c r="P141" s="61"/>
      <c r="R141" s="220">
        <v>31</v>
      </c>
      <c r="S141" s="61"/>
      <c r="T141" s="61"/>
      <c r="U141" s="61"/>
      <c r="V141" s="61"/>
      <c r="W141" s="61"/>
      <c r="X141" s="61"/>
      <c r="Y141" s="61"/>
      <c r="Z141" s="61"/>
      <c r="AA141" s="61"/>
      <c r="AB141" s="61"/>
      <c r="AC141" s="61"/>
      <c r="AD141" s="61"/>
      <c r="AE141" s="61"/>
      <c r="AF141" s="61"/>
      <c r="AJ141" s="220">
        <v>31</v>
      </c>
      <c r="AK141" s="225" t="e">
        <f t="shared" si="5"/>
        <v>#DIV/0!</v>
      </c>
      <c r="AL141" s="225" t="e">
        <f t="shared" si="5"/>
        <v>#DIV/0!</v>
      </c>
      <c r="AM141" s="225" t="e">
        <f t="shared" si="7"/>
        <v>#DIV/0!</v>
      </c>
      <c r="AN141" s="225" t="e">
        <f t="shared" si="7"/>
        <v>#DIV/0!</v>
      </c>
      <c r="AO141" s="225" t="e">
        <f t="shared" si="7"/>
        <v>#DIV/0!</v>
      </c>
      <c r="AP141" s="225" t="e">
        <f t="shared" si="6"/>
        <v>#DIV/0!</v>
      </c>
      <c r="AQ141" s="225" t="e">
        <f t="shared" si="6"/>
        <v>#DIV/0!</v>
      </c>
      <c r="AR141" s="225" t="e">
        <f t="shared" si="6"/>
        <v>#DIV/0!</v>
      </c>
      <c r="AS141" s="225" t="e">
        <f t="shared" si="6"/>
        <v>#DIV/0!</v>
      </c>
      <c r="AT141" s="225" t="e">
        <f t="shared" si="6"/>
        <v>#DIV/0!</v>
      </c>
      <c r="AU141" s="225" t="e">
        <f t="shared" si="6"/>
        <v>#DIV/0!</v>
      </c>
      <c r="AV141" s="225" t="e">
        <f t="shared" si="6"/>
        <v>#DIV/0!</v>
      </c>
      <c r="AW141" s="225" t="e">
        <f t="shared" si="6"/>
        <v>#DIV/0!</v>
      </c>
      <c r="AX141" s="226" t="e">
        <f t="shared" si="6"/>
        <v>#DIV/0!</v>
      </c>
    </row>
    <row r="142" spans="2:50">
      <c r="B142" s="220">
        <v>32</v>
      </c>
      <c r="C142" s="68"/>
      <c r="D142" s="68"/>
      <c r="E142" s="68"/>
      <c r="F142" s="68"/>
      <c r="G142" s="68"/>
      <c r="H142" s="68"/>
      <c r="I142" s="68"/>
      <c r="J142" s="68"/>
      <c r="K142" s="68"/>
      <c r="L142" s="68"/>
      <c r="M142" s="68"/>
      <c r="N142" s="68"/>
      <c r="O142" s="68"/>
      <c r="P142" s="68"/>
      <c r="R142" s="220">
        <v>32</v>
      </c>
      <c r="S142" s="68"/>
      <c r="T142" s="68"/>
      <c r="U142" s="68"/>
      <c r="V142" s="68"/>
      <c r="W142" s="68"/>
      <c r="X142" s="68"/>
      <c r="Y142" s="68"/>
      <c r="Z142" s="68"/>
      <c r="AA142" s="68"/>
      <c r="AB142" s="68"/>
      <c r="AC142" s="68"/>
      <c r="AD142" s="68"/>
      <c r="AE142" s="68"/>
      <c r="AF142" s="68"/>
      <c r="AJ142" s="220">
        <v>32</v>
      </c>
      <c r="AK142" s="225" t="e">
        <f t="shared" si="5"/>
        <v>#DIV/0!</v>
      </c>
      <c r="AL142" s="225" t="e">
        <f t="shared" si="5"/>
        <v>#DIV/0!</v>
      </c>
      <c r="AM142" s="225" t="e">
        <f t="shared" si="7"/>
        <v>#DIV/0!</v>
      </c>
      <c r="AN142" s="225" t="e">
        <f t="shared" si="7"/>
        <v>#DIV/0!</v>
      </c>
      <c r="AO142" s="225" t="e">
        <f t="shared" si="7"/>
        <v>#DIV/0!</v>
      </c>
      <c r="AP142" s="225" t="e">
        <f t="shared" si="6"/>
        <v>#DIV/0!</v>
      </c>
      <c r="AQ142" s="225" t="e">
        <f t="shared" si="6"/>
        <v>#DIV/0!</v>
      </c>
      <c r="AR142" s="225" t="e">
        <f t="shared" si="6"/>
        <v>#DIV/0!</v>
      </c>
      <c r="AS142" s="225" t="e">
        <f t="shared" si="6"/>
        <v>#DIV/0!</v>
      </c>
      <c r="AT142" s="225" t="e">
        <f t="shared" si="6"/>
        <v>#DIV/0!</v>
      </c>
      <c r="AU142" s="225" t="e">
        <f t="shared" si="6"/>
        <v>#DIV/0!</v>
      </c>
      <c r="AV142" s="225" t="e">
        <f t="shared" si="6"/>
        <v>#DIV/0!</v>
      </c>
      <c r="AW142" s="225" t="e">
        <f t="shared" si="6"/>
        <v>#DIV/0!</v>
      </c>
      <c r="AX142" s="226" t="e">
        <f t="shared" si="6"/>
        <v>#DIV/0!</v>
      </c>
    </row>
    <row r="143" spans="2:50">
      <c r="B143" s="220">
        <v>33</v>
      </c>
      <c r="C143" s="61"/>
      <c r="D143" s="61"/>
      <c r="E143" s="61"/>
      <c r="F143" s="61"/>
      <c r="G143" s="61"/>
      <c r="H143" s="61"/>
      <c r="I143" s="61"/>
      <c r="J143" s="61"/>
      <c r="K143" s="61"/>
      <c r="L143" s="61"/>
      <c r="M143" s="61"/>
      <c r="N143" s="61"/>
      <c r="O143" s="61"/>
      <c r="P143" s="61"/>
      <c r="R143" s="220">
        <v>33</v>
      </c>
      <c r="S143" s="61"/>
      <c r="T143" s="61"/>
      <c r="U143" s="61"/>
      <c r="V143" s="61"/>
      <c r="W143" s="61"/>
      <c r="X143" s="61"/>
      <c r="Y143" s="61"/>
      <c r="Z143" s="61"/>
      <c r="AA143" s="61"/>
      <c r="AB143" s="61"/>
      <c r="AC143" s="61"/>
      <c r="AD143" s="61"/>
      <c r="AE143" s="61"/>
      <c r="AF143" s="61"/>
      <c r="AJ143" s="220">
        <v>33</v>
      </c>
      <c r="AK143" s="225" t="e">
        <f t="shared" si="5"/>
        <v>#DIV/0!</v>
      </c>
      <c r="AL143" s="225" t="e">
        <f t="shared" si="5"/>
        <v>#DIV/0!</v>
      </c>
      <c r="AM143" s="225" t="e">
        <f t="shared" si="7"/>
        <v>#DIV/0!</v>
      </c>
      <c r="AN143" s="225" t="e">
        <f t="shared" si="7"/>
        <v>#DIV/0!</v>
      </c>
      <c r="AO143" s="225" t="e">
        <f t="shared" si="7"/>
        <v>#DIV/0!</v>
      </c>
      <c r="AP143" s="225" t="e">
        <f t="shared" si="6"/>
        <v>#DIV/0!</v>
      </c>
      <c r="AQ143" s="225" t="e">
        <f t="shared" si="6"/>
        <v>#DIV/0!</v>
      </c>
      <c r="AR143" s="225" t="e">
        <f t="shared" si="6"/>
        <v>#DIV/0!</v>
      </c>
      <c r="AS143" s="225" t="e">
        <f t="shared" si="6"/>
        <v>#DIV/0!</v>
      </c>
      <c r="AT143" s="225" t="e">
        <f t="shared" si="6"/>
        <v>#DIV/0!</v>
      </c>
      <c r="AU143" s="225" t="e">
        <f t="shared" si="6"/>
        <v>#DIV/0!</v>
      </c>
      <c r="AV143" s="225" t="e">
        <f t="shared" si="6"/>
        <v>#DIV/0!</v>
      </c>
      <c r="AW143" s="225" t="e">
        <f t="shared" si="6"/>
        <v>#DIV/0!</v>
      </c>
      <c r="AX143" s="226" t="e">
        <f t="shared" si="6"/>
        <v>#DIV/0!</v>
      </c>
    </row>
    <row r="144" spans="2:50">
      <c r="B144" s="220">
        <v>34</v>
      </c>
      <c r="C144" s="61"/>
      <c r="D144" s="61"/>
      <c r="E144" s="61"/>
      <c r="F144" s="61"/>
      <c r="G144" s="61"/>
      <c r="H144" s="61"/>
      <c r="I144" s="61"/>
      <c r="J144" s="61"/>
      <c r="K144" s="61"/>
      <c r="L144" s="61"/>
      <c r="M144" s="61"/>
      <c r="N144" s="61"/>
      <c r="O144" s="61"/>
      <c r="P144" s="61"/>
      <c r="R144" s="220">
        <v>34</v>
      </c>
      <c r="S144" s="68"/>
      <c r="T144" s="68"/>
      <c r="U144" s="68"/>
      <c r="V144" s="68"/>
      <c r="W144" s="68"/>
      <c r="X144" s="68"/>
      <c r="Y144" s="68"/>
      <c r="Z144" s="68"/>
      <c r="AA144" s="68"/>
      <c r="AB144" s="68"/>
      <c r="AC144" s="68"/>
      <c r="AD144" s="68"/>
      <c r="AE144" s="68"/>
      <c r="AF144" s="68"/>
      <c r="AJ144" s="220">
        <v>34</v>
      </c>
      <c r="AK144" s="225" t="e">
        <f t="shared" si="5"/>
        <v>#DIV/0!</v>
      </c>
      <c r="AL144" s="225" t="e">
        <f t="shared" si="5"/>
        <v>#DIV/0!</v>
      </c>
      <c r="AM144" s="225" t="e">
        <f t="shared" si="7"/>
        <v>#DIV/0!</v>
      </c>
      <c r="AN144" s="225" t="e">
        <f t="shared" si="7"/>
        <v>#DIV/0!</v>
      </c>
      <c r="AO144" s="225" t="e">
        <f t="shared" si="7"/>
        <v>#DIV/0!</v>
      </c>
      <c r="AP144" s="225" t="e">
        <f t="shared" si="6"/>
        <v>#DIV/0!</v>
      </c>
      <c r="AQ144" s="225" t="e">
        <f t="shared" si="6"/>
        <v>#DIV/0!</v>
      </c>
      <c r="AR144" s="225" t="e">
        <f t="shared" si="6"/>
        <v>#DIV/0!</v>
      </c>
      <c r="AS144" s="225" t="e">
        <f t="shared" si="6"/>
        <v>#DIV/0!</v>
      </c>
      <c r="AT144" s="225" t="e">
        <f t="shared" si="6"/>
        <v>#DIV/0!</v>
      </c>
      <c r="AU144" s="225" t="e">
        <f t="shared" si="6"/>
        <v>#DIV/0!</v>
      </c>
      <c r="AV144" s="225" t="e">
        <f t="shared" si="6"/>
        <v>#DIV/0!</v>
      </c>
      <c r="AW144" s="225" t="e">
        <f t="shared" si="6"/>
        <v>#DIV/0!</v>
      </c>
      <c r="AX144" s="226" t="e">
        <f t="shared" si="6"/>
        <v>#DIV/0!</v>
      </c>
    </row>
    <row r="145" spans="2:50">
      <c r="B145" s="220">
        <v>35</v>
      </c>
      <c r="C145" s="61"/>
      <c r="D145" s="61"/>
      <c r="E145" s="61"/>
      <c r="F145" s="61"/>
      <c r="G145" s="61"/>
      <c r="H145" s="61"/>
      <c r="I145" s="61"/>
      <c r="J145" s="61"/>
      <c r="K145" s="61"/>
      <c r="L145" s="61"/>
      <c r="M145" s="61"/>
      <c r="N145" s="61"/>
      <c r="O145" s="61"/>
      <c r="P145" s="61"/>
      <c r="R145" s="220">
        <v>35</v>
      </c>
      <c r="S145" s="61"/>
      <c r="T145" s="61"/>
      <c r="U145" s="61"/>
      <c r="V145" s="61"/>
      <c r="W145" s="61"/>
      <c r="X145" s="61"/>
      <c r="Y145" s="61"/>
      <c r="Z145" s="61"/>
      <c r="AA145" s="61"/>
      <c r="AB145" s="61"/>
      <c r="AC145" s="61"/>
      <c r="AD145" s="61"/>
      <c r="AE145" s="61"/>
      <c r="AF145" s="61"/>
      <c r="AJ145" s="220">
        <v>35</v>
      </c>
      <c r="AK145" s="225" t="e">
        <f t="shared" si="5"/>
        <v>#DIV/0!</v>
      </c>
      <c r="AL145" s="225" t="e">
        <f t="shared" si="5"/>
        <v>#DIV/0!</v>
      </c>
      <c r="AM145" s="225" t="e">
        <f t="shared" si="7"/>
        <v>#DIV/0!</v>
      </c>
      <c r="AN145" s="225" t="e">
        <f t="shared" si="7"/>
        <v>#DIV/0!</v>
      </c>
      <c r="AO145" s="225" t="e">
        <f t="shared" si="7"/>
        <v>#DIV/0!</v>
      </c>
      <c r="AP145" s="225" t="e">
        <f t="shared" si="6"/>
        <v>#DIV/0!</v>
      </c>
      <c r="AQ145" s="225" t="e">
        <f t="shared" si="6"/>
        <v>#DIV/0!</v>
      </c>
      <c r="AR145" s="225" t="e">
        <f t="shared" si="6"/>
        <v>#DIV/0!</v>
      </c>
      <c r="AS145" s="225" t="e">
        <f t="shared" si="6"/>
        <v>#DIV/0!</v>
      </c>
      <c r="AT145" s="225" t="e">
        <f t="shared" si="6"/>
        <v>#DIV/0!</v>
      </c>
      <c r="AU145" s="225" t="e">
        <f t="shared" si="6"/>
        <v>#DIV/0!</v>
      </c>
      <c r="AV145" s="225" t="e">
        <f t="shared" si="6"/>
        <v>#DIV/0!</v>
      </c>
      <c r="AW145" s="225" t="e">
        <f t="shared" si="6"/>
        <v>#DIV/0!</v>
      </c>
      <c r="AX145" s="226" t="e">
        <f t="shared" si="6"/>
        <v>#DIV/0!</v>
      </c>
    </row>
    <row r="146" spans="2:50">
      <c r="B146" s="224">
        <v>36</v>
      </c>
      <c r="C146" s="68"/>
      <c r="D146" s="68"/>
      <c r="E146" s="68"/>
      <c r="F146" s="68"/>
      <c r="G146" s="68"/>
      <c r="H146" s="68"/>
      <c r="I146" s="68"/>
      <c r="J146" s="68"/>
      <c r="K146" s="68"/>
      <c r="L146" s="68"/>
      <c r="M146" s="68"/>
      <c r="N146" s="68"/>
      <c r="O146" s="68"/>
      <c r="P146" s="68"/>
      <c r="R146" s="224">
        <v>36</v>
      </c>
      <c r="S146" s="68"/>
      <c r="T146" s="68"/>
      <c r="U146" s="68"/>
      <c r="V146" s="68"/>
      <c r="W146" s="68"/>
      <c r="X146" s="68"/>
      <c r="Y146" s="68"/>
      <c r="Z146" s="68"/>
      <c r="AA146" s="68"/>
      <c r="AB146" s="68"/>
      <c r="AC146" s="68"/>
      <c r="AD146" s="68"/>
      <c r="AE146" s="68"/>
      <c r="AF146" s="68"/>
      <c r="AJ146" s="224">
        <v>36</v>
      </c>
      <c r="AK146" s="225" t="e">
        <f t="shared" si="5"/>
        <v>#DIV/0!</v>
      </c>
      <c r="AL146" s="225" t="e">
        <f t="shared" si="5"/>
        <v>#DIV/0!</v>
      </c>
      <c r="AM146" s="225" t="e">
        <f t="shared" si="7"/>
        <v>#DIV/0!</v>
      </c>
      <c r="AN146" s="225" t="e">
        <f t="shared" si="7"/>
        <v>#DIV/0!</v>
      </c>
      <c r="AO146" s="225" t="e">
        <f t="shared" si="7"/>
        <v>#DIV/0!</v>
      </c>
      <c r="AP146" s="225" t="e">
        <f t="shared" si="6"/>
        <v>#DIV/0!</v>
      </c>
      <c r="AQ146" s="225" t="e">
        <f t="shared" si="6"/>
        <v>#DIV/0!</v>
      </c>
      <c r="AR146" s="225" t="e">
        <f t="shared" si="6"/>
        <v>#DIV/0!</v>
      </c>
      <c r="AS146" s="225" t="e">
        <f t="shared" si="6"/>
        <v>#DIV/0!</v>
      </c>
      <c r="AT146" s="225" t="e">
        <f t="shared" si="6"/>
        <v>#DIV/0!</v>
      </c>
      <c r="AU146" s="225" t="e">
        <f t="shared" si="6"/>
        <v>#DIV/0!</v>
      </c>
      <c r="AV146" s="225" t="e">
        <f t="shared" si="6"/>
        <v>#DIV/0!</v>
      </c>
      <c r="AW146" s="225" t="e">
        <f t="shared" si="6"/>
        <v>#DIV/0!</v>
      </c>
      <c r="AX146" s="226" t="e">
        <f t="shared" si="6"/>
        <v>#DIV/0!</v>
      </c>
    </row>
    <row r="147" spans="2:50">
      <c r="B147" s="220">
        <v>37</v>
      </c>
      <c r="C147" s="61"/>
      <c r="D147" s="61"/>
      <c r="E147" s="61"/>
      <c r="F147" s="61"/>
      <c r="G147" s="61"/>
      <c r="H147" s="61"/>
      <c r="I147" s="61"/>
      <c r="J147" s="61"/>
      <c r="K147" s="61"/>
      <c r="L147" s="61"/>
      <c r="M147" s="61"/>
      <c r="N147" s="61"/>
      <c r="O147" s="61"/>
      <c r="P147" s="61"/>
      <c r="Q147" s="229"/>
      <c r="R147" s="220">
        <v>37</v>
      </c>
      <c r="S147" s="61"/>
      <c r="T147" s="61"/>
      <c r="U147" s="61"/>
      <c r="V147" s="61"/>
      <c r="W147" s="61"/>
      <c r="X147" s="61"/>
      <c r="Y147" s="61"/>
      <c r="Z147" s="61"/>
      <c r="AA147" s="61"/>
      <c r="AB147" s="61"/>
      <c r="AC147" s="61"/>
      <c r="AD147" s="61"/>
      <c r="AE147" s="61"/>
      <c r="AF147" s="61"/>
      <c r="AG147" s="229"/>
      <c r="AH147" s="229"/>
      <c r="AI147" s="229"/>
      <c r="AJ147" s="220">
        <v>37</v>
      </c>
      <c r="AK147" s="225" t="e">
        <f t="shared" si="5"/>
        <v>#DIV/0!</v>
      </c>
      <c r="AL147" s="225" t="e">
        <f t="shared" si="5"/>
        <v>#DIV/0!</v>
      </c>
      <c r="AM147" s="225" t="e">
        <f t="shared" si="7"/>
        <v>#DIV/0!</v>
      </c>
      <c r="AN147" s="225" t="e">
        <f t="shared" si="7"/>
        <v>#DIV/0!</v>
      </c>
      <c r="AO147" s="225" t="e">
        <f t="shared" si="7"/>
        <v>#DIV/0!</v>
      </c>
      <c r="AP147" s="225" t="e">
        <f t="shared" si="6"/>
        <v>#DIV/0!</v>
      </c>
      <c r="AQ147" s="225" t="e">
        <f t="shared" si="6"/>
        <v>#DIV/0!</v>
      </c>
      <c r="AR147" s="225" t="e">
        <f t="shared" si="6"/>
        <v>#DIV/0!</v>
      </c>
      <c r="AS147" s="225" t="e">
        <f t="shared" si="6"/>
        <v>#DIV/0!</v>
      </c>
      <c r="AT147" s="225" t="e">
        <f t="shared" si="6"/>
        <v>#DIV/0!</v>
      </c>
      <c r="AU147" s="225" t="e">
        <f t="shared" si="6"/>
        <v>#DIV/0!</v>
      </c>
      <c r="AV147" s="225" t="e">
        <f t="shared" si="6"/>
        <v>#DIV/0!</v>
      </c>
      <c r="AW147" s="225" t="e">
        <f t="shared" si="6"/>
        <v>#DIV/0!</v>
      </c>
      <c r="AX147" s="226" t="e">
        <f t="shared" si="6"/>
        <v>#DIV/0!</v>
      </c>
    </row>
    <row r="148" spans="2:50">
      <c r="B148" s="220">
        <v>38</v>
      </c>
      <c r="C148" s="61"/>
      <c r="D148" s="61"/>
      <c r="E148" s="61"/>
      <c r="F148" s="61"/>
      <c r="G148" s="61"/>
      <c r="H148" s="61"/>
      <c r="I148" s="61"/>
      <c r="J148" s="61"/>
      <c r="K148" s="61"/>
      <c r="L148" s="61"/>
      <c r="M148" s="61"/>
      <c r="N148" s="61"/>
      <c r="O148" s="61"/>
      <c r="P148" s="61"/>
      <c r="R148" s="220">
        <v>38</v>
      </c>
      <c r="S148" s="68"/>
      <c r="T148" s="68"/>
      <c r="U148" s="68"/>
      <c r="V148" s="68"/>
      <c r="W148" s="68"/>
      <c r="X148" s="68"/>
      <c r="Y148" s="68"/>
      <c r="Z148" s="68"/>
      <c r="AA148" s="68"/>
      <c r="AB148" s="68"/>
      <c r="AC148" s="68"/>
      <c r="AD148" s="68"/>
      <c r="AE148" s="68"/>
      <c r="AF148" s="68"/>
      <c r="AJ148" s="220">
        <v>38</v>
      </c>
      <c r="AK148" s="225" t="e">
        <f t="shared" si="5"/>
        <v>#DIV/0!</v>
      </c>
      <c r="AL148" s="225" t="e">
        <f t="shared" si="5"/>
        <v>#DIV/0!</v>
      </c>
      <c r="AM148" s="225" t="e">
        <f t="shared" si="7"/>
        <v>#DIV/0!</v>
      </c>
      <c r="AN148" s="225" t="e">
        <f t="shared" si="7"/>
        <v>#DIV/0!</v>
      </c>
      <c r="AO148" s="225" t="e">
        <f t="shared" si="7"/>
        <v>#DIV/0!</v>
      </c>
      <c r="AP148" s="225" t="e">
        <f t="shared" si="6"/>
        <v>#DIV/0!</v>
      </c>
      <c r="AQ148" s="225" t="e">
        <f t="shared" si="6"/>
        <v>#DIV/0!</v>
      </c>
      <c r="AR148" s="225" t="e">
        <f t="shared" si="6"/>
        <v>#DIV/0!</v>
      </c>
      <c r="AS148" s="225" t="e">
        <f t="shared" si="6"/>
        <v>#DIV/0!</v>
      </c>
      <c r="AT148" s="225" t="e">
        <f t="shared" si="6"/>
        <v>#DIV/0!</v>
      </c>
      <c r="AU148" s="225" t="e">
        <f t="shared" si="6"/>
        <v>#DIV/0!</v>
      </c>
      <c r="AV148" s="225" t="e">
        <f t="shared" si="6"/>
        <v>#DIV/0!</v>
      </c>
      <c r="AW148" s="225" t="e">
        <f t="shared" si="6"/>
        <v>#DIV/0!</v>
      </c>
      <c r="AX148" s="226" t="e">
        <f t="shared" si="6"/>
        <v>#DIV/0!</v>
      </c>
    </row>
    <row r="149" spans="2:50">
      <c r="B149" s="220">
        <v>39</v>
      </c>
      <c r="C149" s="61"/>
      <c r="D149" s="61"/>
      <c r="E149" s="61"/>
      <c r="F149" s="61"/>
      <c r="G149" s="61"/>
      <c r="H149" s="61"/>
      <c r="I149" s="61"/>
      <c r="J149" s="61"/>
      <c r="K149" s="61"/>
      <c r="L149" s="61"/>
      <c r="M149" s="61"/>
      <c r="N149" s="61"/>
      <c r="O149" s="61"/>
      <c r="P149" s="61"/>
      <c r="R149" s="220">
        <v>39</v>
      </c>
      <c r="S149" s="61"/>
      <c r="T149" s="61"/>
      <c r="U149" s="61"/>
      <c r="V149" s="61"/>
      <c r="W149" s="61"/>
      <c r="X149" s="61"/>
      <c r="Y149" s="61"/>
      <c r="Z149" s="61"/>
      <c r="AA149" s="61"/>
      <c r="AB149" s="61"/>
      <c r="AC149" s="61"/>
      <c r="AD149" s="61"/>
      <c r="AE149" s="61"/>
      <c r="AF149" s="61"/>
      <c r="AJ149" s="220">
        <v>39</v>
      </c>
      <c r="AK149" s="225" t="e">
        <f t="shared" si="5"/>
        <v>#DIV/0!</v>
      </c>
      <c r="AL149" s="225" t="e">
        <f t="shared" si="5"/>
        <v>#DIV/0!</v>
      </c>
      <c r="AM149" s="225" t="e">
        <f t="shared" si="7"/>
        <v>#DIV/0!</v>
      </c>
      <c r="AN149" s="225" t="e">
        <f t="shared" si="7"/>
        <v>#DIV/0!</v>
      </c>
      <c r="AO149" s="225" t="e">
        <f t="shared" si="7"/>
        <v>#DIV/0!</v>
      </c>
      <c r="AP149" s="225" t="e">
        <f t="shared" si="6"/>
        <v>#DIV/0!</v>
      </c>
      <c r="AQ149" s="225" t="e">
        <f t="shared" si="6"/>
        <v>#DIV/0!</v>
      </c>
      <c r="AR149" s="225" t="e">
        <f t="shared" si="6"/>
        <v>#DIV/0!</v>
      </c>
      <c r="AS149" s="225" t="e">
        <f t="shared" si="6"/>
        <v>#DIV/0!</v>
      </c>
      <c r="AT149" s="225" t="e">
        <f t="shared" si="6"/>
        <v>#DIV/0!</v>
      </c>
      <c r="AU149" s="225" t="e">
        <f t="shared" si="6"/>
        <v>#DIV/0!</v>
      </c>
      <c r="AV149" s="225" t="e">
        <f t="shared" si="6"/>
        <v>#DIV/0!</v>
      </c>
      <c r="AW149" s="225" t="e">
        <f t="shared" si="6"/>
        <v>#DIV/0!</v>
      </c>
      <c r="AX149" s="226" t="e">
        <f t="shared" si="6"/>
        <v>#DIV/0!</v>
      </c>
    </row>
    <row r="150" spans="2:50">
      <c r="B150" s="220">
        <v>40</v>
      </c>
      <c r="C150" s="68"/>
      <c r="D150" s="68"/>
      <c r="E150" s="68"/>
      <c r="F150" s="68"/>
      <c r="G150" s="68"/>
      <c r="H150" s="68"/>
      <c r="I150" s="68"/>
      <c r="J150" s="68"/>
      <c r="K150" s="68"/>
      <c r="L150" s="68"/>
      <c r="M150" s="68"/>
      <c r="N150" s="68"/>
      <c r="O150" s="68"/>
      <c r="P150" s="68"/>
      <c r="R150" s="220">
        <v>40</v>
      </c>
      <c r="S150" s="68"/>
      <c r="T150" s="68"/>
      <c r="U150" s="68"/>
      <c r="V150" s="68"/>
      <c r="W150" s="68"/>
      <c r="X150" s="68"/>
      <c r="Y150" s="68"/>
      <c r="Z150" s="68"/>
      <c r="AA150" s="68"/>
      <c r="AB150" s="68"/>
      <c r="AC150" s="68"/>
      <c r="AD150" s="68"/>
      <c r="AE150" s="68"/>
      <c r="AF150" s="68"/>
      <c r="AJ150" s="220">
        <v>40</v>
      </c>
      <c r="AK150" s="225" t="e">
        <f t="shared" si="5"/>
        <v>#DIV/0!</v>
      </c>
      <c r="AL150" s="225" t="e">
        <f t="shared" si="5"/>
        <v>#DIV/0!</v>
      </c>
      <c r="AM150" s="225" t="e">
        <f t="shared" si="7"/>
        <v>#DIV/0!</v>
      </c>
      <c r="AN150" s="225" t="e">
        <f t="shared" si="7"/>
        <v>#DIV/0!</v>
      </c>
      <c r="AO150" s="225" t="e">
        <f t="shared" si="7"/>
        <v>#DIV/0!</v>
      </c>
      <c r="AP150" s="225" t="e">
        <f t="shared" si="6"/>
        <v>#DIV/0!</v>
      </c>
      <c r="AQ150" s="225" t="e">
        <f t="shared" si="6"/>
        <v>#DIV/0!</v>
      </c>
      <c r="AR150" s="225" t="e">
        <f t="shared" si="6"/>
        <v>#DIV/0!</v>
      </c>
      <c r="AS150" s="225" t="e">
        <f t="shared" ref="AS150:AX158" si="8">EXP(-AS$109*$AJ150)</f>
        <v>#DIV/0!</v>
      </c>
      <c r="AT150" s="225" t="e">
        <f t="shared" si="8"/>
        <v>#DIV/0!</v>
      </c>
      <c r="AU150" s="225" t="e">
        <f t="shared" si="8"/>
        <v>#DIV/0!</v>
      </c>
      <c r="AV150" s="225" t="e">
        <f t="shared" si="8"/>
        <v>#DIV/0!</v>
      </c>
      <c r="AW150" s="225" t="e">
        <f t="shared" si="8"/>
        <v>#DIV/0!</v>
      </c>
      <c r="AX150" s="226" t="e">
        <f t="shared" si="8"/>
        <v>#DIV/0!</v>
      </c>
    </row>
    <row r="151" spans="2:50">
      <c r="B151" s="220">
        <v>41</v>
      </c>
      <c r="C151" s="61"/>
      <c r="D151" s="61"/>
      <c r="E151" s="61"/>
      <c r="F151" s="61"/>
      <c r="G151" s="61"/>
      <c r="H151" s="61"/>
      <c r="I151" s="61"/>
      <c r="J151" s="61"/>
      <c r="K151" s="61"/>
      <c r="L151" s="61"/>
      <c r="M151" s="61"/>
      <c r="N151" s="61"/>
      <c r="O151" s="61"/>
      <c r="P151" s="61"/>
      <c r="R151" s="220">
        <v>41</v>
      </c>
      <c r="S151" s="61"/>
      <c r="T151" s="61"/>
      <c r="U151" s="61"/>
      <c r="V151" s="61"/>
      <c r="W151" s="61"/>
      <c r="X151" s="61"/>
      <c r="Y151" s="61"/>
      <c r="Z151" s="61"/>
      <c r="AA151" s="61"/>
      <c r="AB151" s="61"/>
      <c r="AC151" s="61"/>
      <c r="AD151" s="61"/>
      <c r="AE151" s="61"/>
      <c r="AF151" s="61"/>
      <c r="AJ151" s="220">
        <v>41</v>
      </c>
      <c r="AK151" s="225" t="e">
        <f t="shared" si="5"/>
        <v>#DIV/0!</v>
      </c>
      <c r="AL151" s="225" t="e">
        <f t="shared" si="5"/>
        <v>#DIV/0!</v>
      </c>
      <c r="AM151" s="225" t="e">
        <f t="shared" si="7"/>
        <v>#DIV/0!</v>
      </c>
      <c r="AN151" s="225" t="e">
        <f t="shared" si="7"/>
        <v>#DIV/0!</v>
      </c>
      <c r="AO151" s="225" t="e">
        <f t="shared" si="7"/>
        <v>#DIV/0!</v>
      </c>
      <c r="AP151" s="225" t="e">
        <f t="shared" si="7"/>
        <v>#DIV/0!</v>
      </c>
      <c r="AQ151" s="225" t="e">
        <f t="shared" si="7"/>
        <v>#DIV/0!</v>
      </c>
      <c r="AR151" s="225" t="e">
        <f t="shared" si="7"/>
        <v>#DIV/0!</v>
      </c>
      <c r="AS151" s="225" t="e">
        <f t="shared" si="8"/>
        <v>#DIV/0!</v>
      </c>
      <c r="AT151" s="225" t="e">
        <f t="shared" si="8"/>
        <v>#DIV/0!</v>
      </c>
      <c r="AU151" s="225" t="e">
        <f t="shared" si="8"/>
        <v>#DIV/0!</v>
      </c>
      <c r="AV151" s="225" t="e">
        <f t="shared" si="8"/>
        <v>#DIV/0!</v>
      </c>
      <c r="AW151" s="225" t="e">
        <f t="shared" si="8"/>
        <v>#DIV/0!</v>
      </c>
      <c r="AX151" s="226" t="e">
        <f t="shared" si="8"/>
        <v>#DIV/0!</v>
      </c>
    </row>
    <row r="152" spans="2:50">
      <c r="B152" s="220">
        <v>42</v>
      </c>
      <c r="C152" s="61"/>
      <c r="D152" s="61"/>
      <c r="E152" s="61"/>
      <c r="F152" s="61"/>
      <c r="G152" s="61"/>
      <c r="H152" s="61"/>
      <c r="I152" s="61"/>
      <c r="J152" s="61"/>
      <c r="K152" s="61"/>
      <c r="L152" s="61"/>
      <c r="M152" s="61"/>
      <c r="N152" s="61"/>
      <c r="O152" s="61"/>
      <c r="P152" s="61"/>
      <c r="R152" s="220">
        <v>42</v>
      </c>
      <c r="S152" s="68"/>
      <c r="T152" s="68"/>
      <c r="U152" s="68"/>
      <c r="V152" s="68"/>
      <c r="W152" s="68"/>
      <c r="X152" s="68"/>
      <c r="Y152" s="68"/>
      <c r="Z152" s="68"/>
      <c r="AA152" s="68"/>
      <c r="AB152" s="68"/>
      <c r="AC152" s="68"/>
      <c r="AD152" s="68"/>
      <c r="AE152" s="68"/>
      <c r="AF152" s="68"/>
      <c r="AJ152" s="220">
        <v>42</v>
      </c>
      <c r="AK152" s="225" t="e">
        <f t="shared" si="5"/>
        <v>#DIV/0!</v>
      </c>
      <c r="AL152" s="225" t="e">
        <f t="shared" si="5"/>
        <v>#DIV/0!</v>
      </c>
      <c r="AM152" s="225" t="e">
        <f t="shared" si="7"/>
        <v>#DIV/0!</v>
      </c>
      <c r="AN152" s="225" t="e">
        <f t="shared" si="7"/>
        <v>#DIV/0!</v>
      </c>
      <c r="AO152" s="225" t="e">
        <f t="shared" si="7"/>
        <v>#DIV/0!</v>
      </c>
      <c r="AP152" s="225" t="e">
        <f t="shared" si="7"/>
        <v>#DIV/0!</v>
      </c>
      <c r="AQ152" s="225" t="e">
        <f t="shared" si="7"/>
        <v>#DIV/0!</v>
      </c>
      <c r="AR152" s="225" t="e">
        <f t="shared" si="7"/>
        <v>#DIV/0!</v>
      </c>
      <c r="AS152" s="225" t="e">
        <f t="shared" si="8"/>
        <v>#DIV/0!</v>
      </c>
      <c r="AT152" s="225" t="e">
        <f t="shared" si="8"/>
        <v>#DIV/0!</v>
      </c>
      <c r="AU152" s="225" t="e">
        <f t="shared" si="8"/>
        <v>#DIV/0!</v>
      </c>
      <c r="AV152" s="225" t="e">
        <f t="shared" si="8"/>
        <v>#DIV/0!</v>
      </c>
      <c r="AW152" s="225" t="e">
        <f t="shared" si="8"/>
        <v>#DIV/0!</v>
      </c>
      <c r="AX152" s="226" t="e">
        <f t="shared" si="8"/>
        <v>#DIV/0!</v>
      </c>
    </row>
    <row r="153" spans="2:50">
      <c r="B153" s="220">
        <v>43</v>
      </c>
      <c r="C153" s="61"/>
      <c r="D153" s="61"/>
      <c r="E153" s="61"/>
      <c r="F153" s="61"/>
      <c r="G153" s="61"/>
      <c r="H153" s="61"/>
      <c r="I153" s="61"/>
      <c r="J153" s="61"/>
      <c r="K153" s="61"/>
      <c r="L153" s="61"/>
      <c r="M153" s="61"/>
      <c r="N153" s="61"/>
      <c r="O153" s="61"/>
      <c r="P153" s="61"/>
      <c r="R153" s="220">
        <v>43</v>
      </c>
      <c r="S153" s="61"/>
      <c r="T153" s="61"/>
      <c r="U153" s="61"/>
      <c r="V153" s="61"/>
      <c r="W153" s="61"/>
      <c r="X153" s="61"/>
      <c r="Y153" s="61"/>
      <c r="Z153" s="61"/>
      <c r="AA153" s="61"/>
      <c r="AB153" s="61"/>
      <c r="AC153" s="61"/>
      <c r="AD153" s="61"/>
      <c r="AE153" s="61"/>
      <c r="AF153" s="61"/>
      <c r="AJ153" s="220">
        <v>43</v>
      </c>
      <c r="AK153" s="225" t="e">
        <f t="shared" si="5"/>
        <v>#DIV/0!</v>
      </c>
      <c r="AL153" s="225" t="e">
        <f t="shared" si="5"/>
        <v>#DIV/0!</v>
      </c>
      <c r="AM153" s="225" t="e">
        <f t="shared" si="7"/>
        <v>#DIV/0!</v>
      </c>
      <c r="AN153" s="225" t="e">
        <f t="shared" si="7"/>
        <v>#DIV/0!</v>
      </c>
      <c r="AO153" s="225" t="e">
        <f t="shared" si="7"/>
        <v>#DIV/0!</v>
      </c>
      <c r="AP153" s="225" t="e">
        <f t="shared" si="7"/>
        <v>#DIV/0!</v>
      </c>
      <c r="AQ153" s="225" t="e">
        <f t="shared" si="7"/>
        <v>#DIV/0!</v>
      </c>
      <c r="AR153" s="225" t="e">
        <f t="shared" si="7"/>
        <v>#DIV/0!</v>
      </c>
      <c r="AS153" s="225" t="e">
        <f t="shared" si="8"/>
        <v>#DIV/0!</v>
      </c>
      <c r="AT153" s="225" t="e">
        <f t="shared" si="8"/>
        <v>#DIV/0!</v>
      </c>
      <c r="AU153" s="225" t="e">
        <f t="shared" si="8"/>
        <v>#DIV/0!</v>
      </c>
      <c r="AV153" s="225" t="e">
        <f t="shared" si="8"/>
        <v>#DIV/0!</v>
      </c>
      <c r="AW153" s="225" t="e">
        <f t="shared" si="8"/>
        <v>#DIV/0!</v>
      </c>
      <c r="AX153" s="226" t="e">
        <f t="shared" si="8"/>
        <v>#DIV/0!</v>
      </c>
    </row>
    <row r="154" spans="2:50">
      <c r="B154" s="220">
        <v>44</v>
      </c>
      <c r="C154" s="68"/>
      <c r="D154" s="68"/>
      <c r="E154" s="68"/>
      <c r="F154" s="68"/>
      <c r="G154" s="68"/>
      <c r="H154" s="68"/>
      <c r="I154" s="68"/>
      <c r="J154" s="68"/>
      <c r="K154" s="68"/>
      <c r="L154" s="68"/>
      <c r="M154" s="68"/>
      <c r="N154" s="68"/>
      <c r="O154" s="68"/>
      <c r="P154" s="68"/>
      <c r="R154" s="220">
        <v>44</v>
      </c>
      <c r="S154" s="68"/>
      <c r="T154" s="68"/>
      <c r="U154" s="68"/>
      <c r="V154" s="68"/>
      <c r="W154" s="68"/>
      <c r="X154" s="68"/>
      <c r="Y154" s="68"/>
      <c r="Z154" s="68"/>
      <c r="AA154" s="68"/>
      <c r="AB154" s="68"/>
      <c r="AC154" s="68"/>
      <c r="AD154" s="68"/>
      <c r="AE154" s="68"/>
      <c r="AF154" s="68"/>
      <c r="AJ154" s="220">
        <v>44</v>
      </c>
      <c r="AK154" s="225" t="e">
        <f t="shared" si="5"/>
        <v>#DIV/0!</v>
      </c>
      <c r="AL154" s="225" t="e">
        <f t="shared" si="5"/>
        <v>#DIV/0!</v>
      </c>
      <c r="AM154" s="225" t="e">
        <f t="shared" si="7"/>
        <v>#DIV/0!</v>
      </c>
      <c r="AN154" s="225" t="e">
        <f t="shared" si="7"/>
        <v>#DIV/0!</v>
      </c>
      <c r="AO154" s="225" t="e">
        <f t="shared" si="7"/>
        <v>#DIV/0!</v>
      </c>
      <c r="AP154" s="225" t="e">
        <f t="shared" si="7"/>
        <v>#DIV/0!</v>
      </c>
      <c r="AQ154" s="225" t="e">
        <f t="shared" si="7"/>
        <v>#DIV/0!</v>
      </c>
      <c r="AR154" s="225" t="e">
        <f t="shared" si="7"/>
        <v>#DIV/0!</v>
      </c>
      <c r="AS154" s="225" t="e">
        <f t="shared" si="8"/>
        <v>#DIV/0!</v>
      </c>
      <c r="AT154" s="225" t="e">
        <f t="shared" si="8"/>
        <v>#DIV/0!</v>
      </c>
      <c r="AU154" s="225" t="e">
        <f t="shared" si="8"/>
        <v>#DIV/0!</v>
      </c>
      <c r="AV154" s="225" t="e">
        <f t="shared" si="8"/>
        <v>#DIV/0!</v>
      </c>
      <c r="AW154" s="225" t="e">
        <f t="shared" si="8"/>
        <v>#DIV/0!</v>
      </c>
      <c r="AX154" s="226" t="e">
        <f t="shared" si="8"/>
        <v>#DIV/0!</v>
      </c>
    </row>
    <row r="155" spans="2:50">
      <c r="B155" s="220">
        <v>45</v>
      </c>
      <c r="C155" s="61"/>
      <c r="D155" s="61"/>
      <c r="E155" s="61"/>
      <c r="F155" s="61"/>
      <c r="G155" s="61"/>
      <c r="H155" s="61"/>
      <c r="I155" s="61"/>
      <c r="J155" s="61"/>
      <c r="K155" s="61"/>
      <c r="L155" s="61"/>
      <c r="M155" s="61"/>
      <c r="N155" s="61"/>
      <c r="O155" s="61"/>
      <c r="P155" s="61"/>
      <c r="R155" s="220">
        <v>45</v>
      </c>
      <c r="S155" s="61"/>
      <c r="T155" s="61"/>
      <c r="U155" s="61"/>
      <c r="V155" s="61"/>
      <c r="W155" s="61"/>
      <c r="X155" s="61"/>
      <c r="Y155" s="61"/>
      <c r="Z155" s="61"/>
      <c r="AA155" s="61"/>
      <c r="AB155" s="61"/>
      <c r="AC155" s="61"/>
      <c r="AD155" s="61"/>
      <c r="AE155" s="61"/>
      <c r="AF155" s="61"/>
      <c r="AJ155" s="220">
        <v>45</v>
      </c>
      <c r="AK155" s="225" t="e">
        <f t="shared" si="5"/>
        <v>#DIV/0!</v>
      </c>
      <c r="AL155" s="225" t="e">
        <f t="shared" si="5"/>
        <v>#DIV/0!</v>
      </c>
      <c r="AM155" s="225" t="e">
        <f t="shared" si="7"/>
        <v>#DIV/0!</v>
      </c>
      <c r="AN155" s="225" t="e">
        <f t="shared" si="7"/>
        <v>#DIV/0!</v>
      </c>
      <c r="AO155" s="225" t="e">
        <f t="shared" si="7"/>
        <v>#DIV/0!</v>
      </c>
      <c r="AP155" s="225" t="e">
        <f t="shared" si="7"/>
        <v>#DIV/0!</v>
      </c>
      <c r="AQ155" s="225" t="e">
        <f t="shared" si="7"/>
        <v>#DIV/0!</v>
      </c>
      <c r="AR155" s="225" t="e">
        <f t="shared" si="7"/>
        <v>#DIV/0!</v>
      </c>
      <c r="AS155" s="225" t="e">
        <f t="shared" si="8"/>
        <v>#DIV/0!</v>
      </c>
      <c r="AT155" s="225" t="e">
        <f t="shared" si="8"/>
        <v>#DIV/0!</v>
      </c>
      <c r="AU155" s="225" t="e">
        <f t="shared" si="8"/>
        <v>#DIV/0!</v>
      </c>
      <c r="AV155" s="225" t="e">
        <f t="shared" si="8"/>
        <v>#DIV/0!</v>
      </c>
      <c r="AW155" s="225" t="e">
        <f t="shared" si="8"/>
        <v>#DIV/0!</v>
      </c>
      <c r="AX155" s="226" t="e">
        <f t="shared" si="8"/>
        <v>#DIV/0!</v>
      </c>
    </row>
    <row r="156" spans="2:50">
      <c r="B156" s="220">
        <v>46</v>
      </c>
      <c r="C156" s="61"/>
      <c r="D156" s="61"/>
      <c r="E156" s="61"/>
      <c r="F156" s="61"/>
      <c r="G156" s="61"/>
      <c r="H156" s="61"/>
      <c r="I156" s="61"/>
      <c r="J156" s="61"/>
      <c r="K156" s="61"/>
      <c r="L156" s="61"/>
      <c r="M156" s="61"/>
      <c r="N156" s="61"/>
      <c r="O156" s="61"/>
      <c r="P156" s="61"/>
      <c r="R156" s="220">
        <v>46</v>
      </c>
      <c r="S156" s="68"/>
      <c r="T156" s="68"/>
      <c r="U156" s="68"/>
      <c r="V156" s="68"/>
      <c r="W156" s="68"/>
      <c r="X156" s="68"/>
      <c r="Y156" s="68"/>
      <c r="Z156" s="68"/>
      <c r="AA156" s="68"/>
      <c r="AB156" s="68"/>
      <c r="AC156" s="68"/>
      <c r="AD156" s="68"/>
      <c r="AE156" s="68"/>
      <c r="AF156" s="68"/>
      <c r="AJ156" s="220">
        <v>46</v>
      </c>
      <c r="AK156" s="225" t="e">
        <f t="shared" si="5"/>
        <v>#DIV/0!</v>
      </c>
      <c r="AL156" s="225" t="e">
        <f t="shared" si="5"/>
        <v>#DIV/0!</v>
      </c>
      <c r="AM156" s="225" t="e">
        <f t="shared" si="7"/>
        <v>#DIV/0!</v>
      </c>
      <c r="AN156" s="225" t="e">
        <f t="shared" si="7"/>
        <v>#DIV/0!</v>
      </c>
      <c r="AO156" s="225" t="e">
        <f t="shared" si="7"/>
        <v>#DIV/0!</v>
      </c>
      <c r="AP156" s="225" t="e">
        <f t="shared" si="7"/>
        <v>#DIV/0!</v>
      </c>
      <c r="AQ156" s="225" t="e">
        <f t="shared" si="7"/>
        <v>#DIV/0!</v>
      </c>
      <c r="AR156" s="225" t="e">
        <f t="shared" si="7"/>
        <v>#DIV/0!</v>
      </c>
      <c r="AS156" s="225" t="e">
        <f t="shared" si="8"/>
        <v>#DIV/0!</v>
      </c>
      <c r="AT156" s="225" t="e">
        <f t="shared" si="8"/>
        <v>#DIV/0!</v>
      </c>
      <c r="AU156" s="225" t="e">
        <f t="shared" si="8"/>
        <v>#DIV/0!</v>
      </c>
      <c r="AV156" s="225" t="e">
        <f t="shared" si="8"/>
        <v>#DIV/0!</v>
      </c>
      <c r="AW156" s="225" t="e">
        <f t="shared" si="8"/>
        <v>#DIV/0!</v>
      </c>
      <c r="AX156" s="226" t="e">
        <f t="shared" si="8"/>
        <v>#DIV/0!</v>
      </c>
    </row>
    <row r="157" spans="2:50">
      <c r="B157" s="220">
        <v>47</v>
      </c>
      <c r="C157" s="61"/>
      <c r="D157" s="61"/>
      <c r="E157" s="61"/>
      <c r="F157" s="61"/>
      <c r="G157" s="61"/>
      <c r="H157" s="61"/>
      <c r="I157" s="61"/>
      <c r="J157" s="61"/>
      <c r="K157" s="61"/>
      <c r="L157" s="61"/>
      <c r="M157" s="61"/>
      <c r="N157" s="61"/>
      <c r="O157" s="61"/>
      <c r="P157" s="61"/>
      <c r="R157" s="220">
        <v>47</v>
      </c>
      <c r="S157" s="61"/>
      <c r="T157" s="61"/>
      <c r="U157" s="61"/>
      <c r="V157" s="61"/>
      <c r="W157" s="61"/>
      <c r="X157" s="61"/>
      <c r="Y157" s="61"/>
      <c r="Z157" s="61"/>
      <c r="AA157" s="61"/>
      <c r="AB157" s="61"/>
      <c r="AC157" s="61"/>
      <c r="AD157" s="61"/>
      <c r="AE157" s="61"/>
      <c r="AF157" s="61"/>
      <c r="AJ157" s="220">
        <v>47</v>
      </c>
      <c r="AK157" s="225" t="e">
        <f t="shared" si="5"/>
        <v>#DIV/0!</v>
      </c>
      <c r="AL157" s="225" t="e">
        <f t="shared" si="5"/>
        <v>#DIV/0!</v>
      </c>
      <c r="AM157" s="225" t="e">
        <f t="shared" si="7"/>
        <v>#DIV/0!</v>
      </c>
      <c r="AN157" s="225" t="e">
        <f t="shared" si="7"/>
        <v>#DIV/0!</v>
      </c>
      <c r="AO157" s="225" t="e">
        <f t="shared" si="7"/>
        <v>#DIV/0!</v>
      </c>
      <c r="AP157" s="225" t="e">
        <f t="shared" si="7"/>
        <v>#DIV/0!</v>
      </c>
      <c r="AQ157" s="225" t="e">
        <f t="shared" si="7"/>
        <v>#DIV/0!</v>
      </c>
      <c r="AR157" s="225" t="e">
        <f t="shared" si="7"/>
        <v>#DIV/0!</v>
      </c>
      <c r="AS157" s="225" t="e">
        <f t="shared" si="8"/>
        <v>#DIV/0!</v>
      </c>
      <c r="AT157" s="225" t="e">
        <f t="shared" si="8"/>
        <v>#DIV/0!</v>
      </c>
      <c r="AU157" s="225" t="e">
        <f t="shared" si="8"/>
        <v>#DIV/0!</v>
      </c>
      <c r="AV157" s="225" t="e">
        <f t="shared" si="8"/>
        <v>#DIV/0!</v>
      </c>
      <c r="AW157" s="225" t="e">
        <f t="shared" si="8"/>
        <v>#DIV/0!</v>
      </c>
      <c r="AX157" s="226" t="e">
        <f t="shared" si="8"/>
        <v>#DIV/0!</v>
      </c>
    </row>
    <row r="158" spans="2:50">
      <c r="B158" s="224">
        <v>48</v>
      </c>
      <c r="C158" s="68"/>
      <c r="D158" s="68"/>
      <c r="E158" s="68"/>
      <c r="F158" s="68"/>
      <c r="G158" s="68"/>
      <c r="H158" s="68"/>
      <c r="I158" s="68"/>
      <c r="J158" s="68"/>
      <c r="K158" s="68"/>
      <c r="L158" s="68"/>
      <c r="M158" s="68"/>
      <c r="N158" s="68"/>
      <c r="O158" s="68"/>
      <c r="P158" s="68"/>
      <c r="R158" s="224">
        <v>48</v>
      </c>
      <c r="S158" s="68"/>
      <c r="T158" s="68"/>
      <c r="U158" s="68"/>
      <c r="V158" s="68"/>
      <c r="W158" s="68"/>
      <c r="X158" s="68"/>
      <c r="Y158" s="68"/>
      <c r="Z158" s="68"/>
      <c r="AA158" s="68"/>
      <c r="AB158" s="68"/>
      <c r="AC158" s="68"/>
      <c r="AD158" s="68"/>
      <c r="AE158" s="68"/>
      <c r="AF158" s="68"/>
      <c r="AJ158" s="224">
        <v>48</v>
      </c>
      <c r="AK158" s="225" t="e">
        <f t="shared" si="5"/>
        <v>#DIV/0!</v>
      </c>
      <c r="AL158" s="225" t="e">
        <f t="shared" si="5"/>
        <v>#DIV/0!</v>
      </c>
      <c r="AM158" s="225" t="e">
        <f t="shared" si="7"/>
        <v>#DIV/0!</v>
      </c>
      <c r="AN158" s="225" t="e">
        <f t="shared" si="7"/>
        <v>#DIV/0!</v>
      </c>
      <c r="AO158" s="225" t="e">
        <f t="shared" si="7"/>
        <v>#DIV/0!</v>
      </c>
      <c r="AP158" s="225" t="e">
        <f t="shared" si="7"/>
        <v>#DIV/0!</v>
      </c>
      <c r="AQ158" s="225" t="e">
        <f t="shared" si="7"/>
        <v>#DIV/0!</v>
      </c>
      <c r="AR158" s="225" t="e">
        <f t="shared" si="7"/>
        <v>#DIV/0!</v>
      </c>
      <c r="AS158" s="225" t="e">
        <f t="shared" si="8"/>
        <v>#DIV/0!</v>
      </c>
      <c r="AT158" s="225" t="e">
        <f t="shared" si="8"/>
        <v>#DIV/0!</v>
      </c>
      <c r="AU158" s="225" t="e">
        <f t="shared" si="8"/>
        <v>#DIV/0!</v>
      </c>
      <c r="AV158" s="225" t="e">
        <f t="shared" si="8"/>
        <v>#DIV/0!</v>
      </c>
      <c r="AW158" s="225" t="e">
        <f t="shared" si="8"/>
        <v>#DIV/0!</v>
      </c>
      <c r="AX158" s="226" t="e">
        <f t="shared" si="8"/>
        <v>#DIV/0!</v>
      </c>
    </row>
    <row r="166" spans="2:24" s="3" customFormat="1" ht="13.95" customHeight="1">
      <c r="B166" s="7"/>
      <c r="C166" s="7"/>
      <c r="D166" s="7"/>
      <c r="E166" s="7"/>
      <c r="F166" s="7"/>
      <c r="G166" s="7"/>
      <c r="H166" s="7"/>
      <c r="I166" s="7"/>
      <c r="J166" s="7"/>
      <c r="K166" s="7"/>
      <c r="L166" s="142"/>
      <c r="M166" s="142"/>
      <c r="N166" s="9"/>
      <c r="O166" s="9"/>
      <c r="P166" s="9"/>
      <c r="Q166" s="9"/>
      <c r="R166" s="9"/>
      <c r="S166" s="9"/>
      <c r="T166" s="9"/>
      <c r="U166" s="9"/>
      <c r="V166" s="9"/>
      <c r="W166" s="9"/>
      <c r="X166" s="9"/>
    </row>
    <row r="167" spans="2:24" s="3" customFormat="1">
      <c r="B167" s="65"/>
      <c r="C167" s="65"/>
      <c r="D167" s="65"/>
      <c r="E167" s="65"/>
      <c r="F167" s="65"/>
      <c r="G167" s="65"/>
      <c r="H167" s="65"/>
      <c r="I167" s="65"/>
      <c r="J167" s="65"/>
      <c r="K167" s="65"/>
      <c r="L167" s="65"/>
      <c r="M167" s="65"/>
    </row>
    <row r="168" spans="2:24" s="3" customFormat="1">
      <c r="B168" s="406" t="s">
        <v>77</v>
      </c>
      <c r="C168" s="406"/>
      <c r="D168" s="406"/>
      <c r="E168" s="406"/>
      <c r="F168" s="406"/>
      <c r="G168" s="406"/>
      <c r="H168" s="406"/>
      <c r="I168" s="406"/>
      <c r="J168" s="406"/>
      <c r="K168" s="406"/>
      <c r="L168" s="406"/>
      <c r="M168" s="406"/>
    </row>
    <row r="169" spans="2:24" s="3" customFormat="1">
      <c r="B169" s="406"/>
      <c r="C169" s="406"/>
      <c r="D169" s="406"/>
      <c r="E169" s="406"/>
      <c r="F169" s="406"/>
      <c r="G169" s="406"/>
      <c r="H169" s="406"/>
      <c r="I169" s="406"/>
      <c r="J169" s="406"/>
      <c r="K169" s="406"/>
      <c r="L169" s="406"/>
      <c r="M169" s="406"/>
    </row>
    <row r="170" spans="2:24" s="1" customFormat="1" ht="85.95" customHeight="1">
      <c r="B170" s="405" t="e" vm="1">
        <v>#VALUE!</v>
      </c>
      <c r="C170" s="405"/>
      <c r="D170" s="405"/>
      <c r="E170" s="405"/>
      <c r="F170" s="405"/>
      <c r="G170" s="405"/>
      <c r="H170" s="405"/>
      <c r="I170" s="405"/>
      <c r="J170" s="405"/>
      <c r="K170" s="405"/>
      <c r="L170" s="405"/>
      <c r="M170" s="405"/>
    </row>
  </sheetData>
  <sheetProtection sheet="1" scenarios="1" formatCells="0" formatColumns="0" formatRows="0"/>
  <mergeCells count="68">
    <mergeCell ref="R7:AF7"/>
    <mergeCell ref="R8:R9"/>
    <mergeCell ref="S8:S9"/>
    <mergeCell ref="T8:T9"/>
    <mergeCell ref="U8:U9"/>
    <mergeCell ref="V8:V9"/>
    <mergeCell ref="AC8:AC9"/>
    <mergeCell ref="AD8:AD9"/>
    <mergeCell ref="AE8:AE9"/>
    <mergeCell ref="AF8:AF9"/>
    <mergeCell ref="W8:W9"/>
    <mergeCell ref="X8:X9"/>
    <mergeCell ref="AA8:AA9"/>
    <mergeCell ref="L8:L9"/>
    <mergeCell ref="AJ7:AX7"/>
    <mergeCell ref="B7:P7"/>
    <mergeCell ref="B8:B9"/>
    <mergeCell ref="C8:C9"/>
    <mergeCell ref="D8:D9"/>
    <mergeCell ref="E8:E9"/>
    <mergeCell ref="F8:F9"/>
    <mergeCell ref="G8:G9"/>
    <mergeCell ref="H8:H9"/>
    <mergeCell ref="I8:I9"/>
    <mergeCell ref="J8:J9"/>
    <mergeCell ref="K8:K9"/>
    <mergeCell ref="Z8:Z9"/>
    <mergeCell ref="N8:N9"/>
    <mergeCell ref="AB8:AB9"/>
    <mergeCell ref="M8:M9"/>
    <mergeCell ref="Y8:Y9"/>
    <mergeCell ref="O8:O9"/>
    <mergeCell ref="Y108:Y109"/>
    <mergeCell ref="O108:O109"/>
    <mergeCell ref="P108:P109"/>
    <mergeCell ref="P8:P9"/>
    <mergeCell ref="AJ107:AX107"/>
    <mergeCell ref="B108:B109"/>
    <mergeCell ref="C108:C109"/>
    <mergeCell ref="D108:D109"/>
    <mergeCell ref="E108:E109"/>
    <mergeCell ref="F108:F109"/>
    <mergeCell ref="G108:G109"/>
    <mergeCell ref="H108:H109"/>
    <mergeCell ref="I108:I109"/>
    <mergeCell ref="J108:J109"/>
    <mergeCell ref="K108:K109"/>
    <mergeCell ref="L108:L109"/>
    <mergeCell ref="M108:M109"/>
    <mergeCell ref="T108:T109"/>
    <mergeCell ref="B107:P107"/>
    <mergeCell ref="R107:AF107"/>
    <mergeCell ref="B168:M169"/>
    <mergeCell ref="B170:M170"/>
    <mergeCell ref="AE108:AE109"/>
    <mergeCell ref="AF108:AF109"/>
    <mergeCell ref="Z108:Z109"/>
    <mergeCell ref="AA108:AA109"/>
    <mergeCell ref="AB108:AB109"/>
    <mergeCell ref="AC108:AC109"/>
    <mergeCell ref="AD108:AD109"/>
    <mergeCell ref="U108:U109"/>
    <mergeCell ref="V108:V109"/>
    <mergeCell ref="W108:W109"/>
    <mergeCell ref="X108:X109"/>
    <mergeCell ref="N108:N109"/>
    <mergeCell ref="R108:R109"/>
    <mergeCell ref="S108:S109"/>
  </mergeCells>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C8094-C5CD-4F54-B324-6DD59F2B497F}">
  <sheetPr codeName="Planilha14">
    <tabColor rgb="FF0EB1BA"/>
  </sheetPr>
  <dimension ref="B1:DI213"/>
  <sheetViews>
    <sheetView showGridLines="0" topLeftCell="U38" zoomScaleNormal="100" workbookViewId="0">
      <selection activeCell="AI93" sqref="AI93"/>
    </sheetView>
  </sheetViews>
  <sheetFormatPr defaultColWidth="8.77734375" defaultRowHeight="14.4"/>
  <cols>
    <col min="1" max="1" width="5" style="79" customWidth="1"/>
    <col min="2" max="7" width="14.33203125" style="79" customWidth="1"/>
    <col min="8" max="9" width="3.44140625" style="77" customWidth="1"/>
    <col min="10" max="10" width="14.6640625" style="79" customWidth="1"/>
    <col min="11" max="15" width="9" style="79" customWidth="1"/>
    <col min="16" max="17" width="3.44140625" style="77" customWidth="1"/>
    <col min="18" max="18" width="13.33203125" style="79" customWidth="1"/>
    <col min="19" max="23" width="7.6640625" style="79" customWidth="1"/>
    <col min="24" max="25" width="3.44140625" style="77" customWidth="1"/>
    <col min="26" max="26" width="11.77734375" style="79" customWidth="1"/>
    <col min="27" max="31" width="8.33203125" style="79" customWidth="1"/>
    <col min="32" max="33" width="3.44140625" style="77" customWidth="1"/>
    <col min="34" max="34" width="17.44140625" style="79" customWidth="1"/>
    <col min="35" max="35" width="11.77734375" style="79" customWidth="1"/>
    <col min="36" max="36" width="12.21875" style="79" customWidth="1"/>
    <col min="37" max="37" width="13.33203125" style="79" customWidth="1"/>
    <col min="38" max="38" width="14.77734375" style="79" customWidth="1"/>
    <col min="39" max="39" width="12.77734375" style="79" customWidth="1"/>
    <col min="40" max="41" width="3.44140625" style="77" customWidth="1"/>
    <col min="42" max="42" width="13.77734375" style="79" customWidth="1"/>
    <col min="43" max="47" width="8" style="79" customWidth="1"/>
    <col min="48" max="49" width="3.44140625" style="77" customWidth="1"/>
    <col min="50" max="50" width="15.6640625" style="79" customWidth="1"/>
    <col min="51" max="55" width="9" style="79" customWidth="1"/>
    <col min="56" max="57" width="3.44140625" style="77" customWidth="1"/>
    <col min="58" max="58" width="15.109375" style="79" customWidth="1"/>
    <col min="59" max="63" width="8.44140625" style="79" customWidth="1"/>
    <col min="64" max="65" width="3.44140625" style="77" customWidth="1"/>
    <col min="66" max="66" width="15.33203125" style="79" customWidth="1"/>
    <col min="67" max="71" width="8.6640625" style="79" customWidth="1"/>
    <col min="72" max="73" width="3.44140625" style="77" customWidth="1"/>
    <col min="74" max="74" width="14.33203125" style="79" customWidth="1"/>
    <col min="75" max="79" width="9" style="79" customWidth="1"/>
    <col min="80" max="81" width="3.44140625" style="77" customWidth="1"/>
    <col min="82" max="82" width="15.33203125" style="79" customWidth="1"/>
    <col min="83" max="87" width="8.77734375" style="79" customWidth="1"/>
    <col min="88" max="89" width="3.44140625" style="77" customWidth="1"/>
    <col min="90" max="90" width="14.6640625" style="79" customWidth="1"/>
    <col min="91" max="95" width="8.33203125" style="79" customWidth="1"/>
    <col min="96" max="97" width="3.44140625" style="77" customWidth="1"/>
    <col min="98" max="98" width="13.33203125" style="79" customWidth="1"/>
    <col min="99" max="103" width="9.33203125" style="79" customWidth="1"/>
    <col min="104" max="105" width="3.44140625" style="77" customWidth="1"/>
    <col min="106" max="106" width="14.109375" style="79" customWidth="1"/>
    <col min="107" max="111" width="8.6640625" style="79" customWidth="1"/>
    <col min="112" max="113" width="3.44140625" style="77" customWidth="1"/>
    <col min="114" max="16384" width="8.77734375" style="79"/>
  </cols>
  <sheetData>
    <row r="1" spans="2:113" s="67" customFormat="1" ht="33.6">
      <c r="B1" s="104" t="s">
        <v>164</v>
      </c>
      <c r="C1" s="72"/>
      <c r="D1" s="35"/>
      <c r="E1" s="35"/>
      <c r="F1" s="35"/>
      <c r="G1" s="35"/>
      <c r="H1" s="73"/>
      <c r="I1" s="73"/>
      <c r="J1" s="35"/>
      <c r="K1" s="35"/>
      <c r="L1" s="35"/>
      <c r="M1" s="35"/>
      <c r="N1" s="35"/>
      <c r="O1" s="35"/>
      <c r="P1" s="73"/>
      <c r="Q1" s="73"/>
      <c r="R1" s="35"/>
      <c r="S1" s="35"/>
      <c r="T1" s="35"/>
      <c r="U1" s="35"/>
      <c r="V1" s="35"/>
      <c r="W1" s="35"/>
      <c r="X1" s="73"/>
      <c r="Y1" s="73"/>
      <c r="Z1" s="35"/>
      <c r="AA1" s="35"/>
      <c r="AB1" s="35"/>
      <c r="AC1" s="35"/>
      <c r="AD1" s="35"/>
      <c r="AE1" s="35"/>
      <c r="AF1" s="73"/>
      <c r="AG1" s="73"/>
      <c r="AH1" s="35"/>
      <c r="AI1" s="35"/>
      <c r="AJ1" s="35"/>
      <c r="AK1" s="35"/>
      <c r="AL1" s="35"/>
      <c r="AM1" s="35"/>
      <c r="AN1" s="73"/>
      <c r="AO1" s="73"/>
      <c r="AP1" s="35"/>
      <c r="AQ1" s="35"/>
      <c r="AR1" s="35"/>
      <c r="AS1" s="35"/>
      <c r="AT1" s="35"/>
      <c r="AU1" s="35"/>
      <c r="AV1" s="73"/>
      <c r="AW1" s="73"/>
      <c r="AX1" s="35"/>
      <c r="AY1" s="35"/>
      <c r="AZ1" s="35"/>
      <c r="BA1" s="35"/>
      <c r="BB1" s="35"/>
      <c r="BC1" s="35"/>
      <c r="BD1" s="73"/>
      <c r="BE1" s="73"/>
      <c r="BF1" s="35"/>
      <c r="BG1" s="35"/>
      <c r="BH1" s="35"/>
      <c r="BI1" s="35"/>
      <c r="BJ1" s="35"/>
      <c r="BK1" s="35"/>
      <c r="BL1" s="73"/>
      <c r="BM1" s="73"/>
      <c r="BN1" s="35"/>
      <c r="BO1" s="35"/>
      <c r="BP1" s="35"/>
      <c r="BQ1" s="35"/>
      <c r="BR1" s="35"/>
      <c r="BS1" s="35"/>
      <c r="BT1" s="73"/>
      <c r="BU1" s="73"/>
      <c r="BV1" s="35"/>
      <c r="BW1" s="35"/>
      <c r="BX1" s="35"/>
      <c r="BY1" s="35"/>
      <c r="BZ1" s="35"/>
      <c r="CA1" s="35"/>
      <c r="CB1" s="73"/>
      <c r="CC1" s="73"/>
      <c r="CD1" s="35"/>
      <c r="CE1" s="35"/>
      <c r="CF1" s="35"/>
      <c r="CG1" s="35"/>
      <c r="CH1" s="35"/>
      <c r="CI1" s="35"/>
      <c r="CJ1" s="73"/>
      <c r="CK1" s="73"/>
      <c r="CL1" s="35"/>
      <c r="CM1" s="35"/>
      <c r="CN1" s="35"/>
      <c r="CO1" s="35"/>
      <c r="CP1" s="35"/>
      <c r="CQ1" s="35"/>
      <c r="CR1" s="73"/>
      <c r="CS1" s="73"/>
      <c r="CT1" s="35"/>
      <c r="CU1" s="35"/>
      <c r="CV1" s="35"/>
      <c r="CW1" s="35"/>
      <c r="CX1" s="35"/>
      <c r="CY1" s="35"/>
      <c r="CZ1" s="73"/>
      <c r="DA1" s="73"/>
      <c r="DB1" s="35"/>
      <c r="DC1" s="35"/>
      <c r="DD1" s="35"/>
      <c r="DE1" s="35"/>
      <c r="DF1" s="35"/>
      <c r="DG1" s="35"/>
      <c r="DH1" s="73"/>
      <c r="DI1" s="73"/>
    </row>
    <row r="2" spans="2:113" s="67" customFormat="1" ht="17.25" customHeight="1">
      <c r="B2" s="72"/>
      <c r="C2" s="72"/>
      <c r="D2" s="35"/>
      <c r="E2" s="35"/>
      <c r="F2" s="35"/>
      <c r="G2" s="35"/>
      <c r="H2" s="73"/>
      <c r="I2" s="73"/>
      <c r="J2" s="35"/>
      <c r="K2" s="35"/>
      <c r="L2" s="35"/>
      <c r="M2" s="35"/>
      <c r="N2" s="35"/>
      <c r="O2" s="35"/>
      <c r="P2" s="73"/>
      <c r="Q2" s="73"/>
      <c r="R2" s="35"/>
      <c r="S2" s="35"/>
      <c r="T2" s="35"/>
      <c r="U2" s="35"/>
      <c r="V2" s="35"/>
      <c r="W2" s="35"/>
      <c r="X2" s="73"/>
      <c r="Y2" s="73"/>
      <c r="Z2" s="35"/>
      <c r="AA2" s="35"/>
      <c r="AB2" s="35"/>
      <c r="AC2" s="35"/>
      <c r="AD2" s="35"/>
      <c r="AE2" s="35"/>
      <c r="AF2" s="73"/>
      <c r="AG2" s="73"/>
      <c r="AH2" s="35"/>
      <c r="AI2" s="35"/>
      <c r="AJ2" s="35"/>
      <c r="AK2" s="35"/>
      <c r="AL2" s="35"/>
      <c r="AM2" s="35"/>
      <c r="AN2" s="73"/>
      <c r="AO2" s="73"/>
      <c r="AP2" s="35"/>
      <c r="AQ2" s="35"/>
      <c r="AR2" s="35"/>
      <c r="AS2" s="35"/>
      <c r="AT2" s="35"/>
      <c r="AU2" s="35"/>
      <c r="AV2" s="73"/>
      <c r="AW2" s="73"/>
      <c r="AX2" s="35"/>
      <c r="AY2" s="35"/>
      <c r="AZ2" s="35"/>
      <c r="BA2" s="35"/>
      <c r="BB2" s="35"/>
      <c r="BC2" s="35"/>
      <c r="BD2" s="73"/>
      <c r="BE2" s="73"/>
      <c r="BF2" s="35"/>
      <c r="BG2" s="35"/>
      <c r="BH2" s="35"/>
      <c r="BI2" s="35"/>
      <c r="BJ2" s="35"/>
      <c r="BK2" s="35"/>
      <c r="BL2" s="73"/>
      <c r="BM2" s="73"/>
      <c r="BN2" s="35"/>
      <c r="BO2" s="35"/>
      <c r="BP2" s="35"/>
      <c r="BQ2" s="35"/>
      <c r="BR2" s="35"/>
      <c r="BS2" s="35"/>
      <c r="BT2" s="73"/>
      <c r="BU2" s="73"/>
      <c r="BV2" s="35"/>
      <c r="BW2" s="35"/>
      <c r="BX2" s="35"/>
      <c r="BY2" s="35"/>
      <c r="BZ2" s="35"/>
      <c r="CA2" s="35"/>
      <c r="CB2" s="73"/>
      <c r="CC2" s="73"/>
      <c r="CD2" s="35"/>
      <c r="CE2" s="35"/>
      <c r="CF2" s="35"/>
      <c r="CG2" s="35"/>
      <c r="CH2" s="35"/>
      <c r="CI2" s="35"/>
      <c r="CJ2" s="73"/>
      <c r="CK2" s="73"/>
      <c r="CL2" s="35"/>
      <c r="CM2" s="35"/>
      <c r="CN2" s="35"/>
      <c r="CO2" s="35"/>
      <c r="CP2" s="35"/>
      <c r="CQ2" s="35"/>
      <c r="CR2" s="73"/>
      <c r="CS2" s="73"/>
      <c r="CT2" s="35"/>
      <c r="CU2" s="35"/>
      <c r="CV2" s="35"/>
      <c r="CW2" s="35"/>
      <c r="CX2" s="35"/>
      <c r="CY2" s="35"/>
      <c r="CZ2" s="73"/>
      <c r="DA2" s="73"/>
      <c r="DB2" s="35"/>
      <c r="DC2" s="35"/>
      <c r="DD2" s="35"/>
      <c r="DE2" s="35"/>
      <c r="DF2" s="35"/>
      <c r="DG2" s="35"/>
      <c r="DH2" s="73"/>
      <c r="DI2" s="73"/>
    </row>
    <row r="3" spans="2:113" s="74" customFormat="1" ht="2.25" customHeight="1">
      <c r="H3" s="75"/>
      <c r="I3" s="75"/>
      <c r="P3" s="75"/>
      <c r="Q3" s="75"/>
      <c r="X3" s="75"/>
      <c r="Y3" s="75"/>
      <c r="AF3" s="75"/>
      <c r="AG3" s="75"/>
      <c r="AN3" s="75"/>
      <c r="AO3" s="75"/>
      <c r="AV3" s="75"/>
      <c r="AW3" s="75"/>
      <c r="BD3" s="75"/>
      <c r="BE3" s="75"/>
      <c r="BL3" s="75"/>
      <c r="BM3" s="75"/>
      <c r="BT3" s="75"/>
      <c r="BU3" s="75"/>
      <c r="CB3" s="75"/>
      <c r="CC3" s="75"/>
      <c r="CJ3" s="75"/>
      <c r="CK3" s="75"/>
      <c r="CR3" s="75"/>
      <c r="CS3" s="75"/>
      <c r="CZ3" s="75"/>
      <c r="DA3" s="75"/>
      <c r="DH3" s="75"/>
      <c r="DI3" s="75"/>
    </row>
    <row r="4" spans="2:113" s="76" customFormat="1" ht="21">
      <c r="B4" s="107"/>
      <c r="C4" s="107"/>
      <c r="D4" s="107"/>
      <c r="E4" s="107"/>
      <c r="F4" s="107"/>
      <c r="G4" s="107"/>
      <c r="H4" s="107"/>
      <c r="I4" s="77"/>
      <c r="J4" s="108"/>
      <c r="K4" s="108"/>
      <c r="L4" s="108"/>
      <c r="M4" s="108"/>
      <c r="N4" s="108"/>
      <c r="O4" s="108"/>
      <c r="P4" s="108"/>
      <c r="Q4" s="77"/>
      <c r="R4" s="108"/>
      <c r="S4" s="108"/>
      <c r="T4" s="108"/>
      <c r="U4" s="108"/>
      <c r="V4" s="108"/>
      <c r="W4" s="108"/>
      <c r="X4" s="108"/>
      <c r="Y4" s="77"/>
      <c r="Z4" s="108"/>
      <c r="AA4" s="108"/>
      <c r="AB4" s="108"/>
      <c r="AC4" s="108"/>
      <c r="AD4" s="108"/>
      <c r="AE4" s="108"/>
      <c r="AF4" s="108"/>
      <c r="AG4" s="77"/>
      <c r="AH4" s="108"/>
      <c r="AI4" s="108"/>
      <c r="AJ4" s="108"/>
      <c r="AK4" s="108"/>
      <c r="AL4" s="108"/>
      <c r="AM4" s="108"/>
      <c r="AN4" s="108"/>
      <c r="AO4" s="77"/>
      <c r="AP4" s="108"/>
      <c r="AQ4" s="108"/>
      <c r="AR4" s="108"/>
      <c r="AS4" s="108"/>
      <c r="AT4" s="108"/>
      <c r="AU4" s="108"/>
      <c r="AV4" s="108"/>
      <c r="AW4" s="77"/>
      <c r="AX4" s="502"/>
      <c r="AY4" s="502"/>
      <c r="AZ4" s="502"/>
      <c r="BA4" s="502"/>
      <c r="BB4" s="502"/>
      <c r="BC4" s="502"/>
      <c r="BD4" s="502"/>
      <c r="BE4" s="77"/>
      <c r="BF4" s="502"/>
      <c r="BG4" s="502"/>
      <c r="BH4" s="502"/>
      <c r="BI4" s="502"/>
      <c r="BJ4" s="502"/>
      <c r="BK4" s="502"/>
      <c r="BL4" s="502"/>
      <c r="BM4" s="77"/>
      <c r="BN4" s="502"/>
      <c r="BO4" s="502"/>
      <c r="BP4" s="502"/>
      <c r="BQ4" s="502"/>
      <c r="BR4" s="502"/>
      <c r="BS4" s="502"/>
      <c r="BT4" s="502"/>
      <c r="BU4" s="77"/>
      <c r="BV4" s="502"/>
      <c r="BW4" s="502"/>
      <c r="BX4" s="502"/>
      <c r="BY4" s="502"/>
      <c r="BZ4" s="502"/>
      <c r="CA4" s="502"/>
      <c r="CB4" s="502"/>
      <c r="CC4" s="77"/>
      <c r="CD4" s="502"/>
      <c r="CE4" s="502"/>
      <c r="CF4" s="502"/>
      <c r="CG4" s="502"/>
      <c r="CH4" s="502"/>
      <c r="CI4" s="502"/>
      <c r="CJ4" s="502"/>
      <c r="CK4" s="77"/>
      <c r="CL4" s="502"/>
      <c r="CM4" s="502"/>
      <c r="CN4" s="502"/>
      <c r="CO4" s="502"/>
      <c r="CP4" s="502"/>
      <c r="CQ4" s="502"/>
      <c r="CR4" s="502"/>
      <c r="CS4" s="77"/>
      <c r="CT4" s="502"/>
      <c r="CU4" s="502"/>
      <c r="CV4" s="502"/>
      <c r="CW4" s="502"/>
      <c r="CX4" s="502"/>
      <c r="CY4" s="502"/>
      <c r="CZ4" s="502"/>
      <c r="DA4" s="77"/>
      <c r="DB4" s="502"/>
      <c r="DC4" s="502"/>
      <c r="DD4" s="502"/>
      <c r="DE4" s="502"/>
      <c r="DF4" s="502"/>
      <c r="DG4" s="502"/>
      <c r="DH4" s="502"/>
      <c r="DI4" s="77"/>
    </row>
    <row r="5" spans="2:113" s="76" customFormat="1" ht="21">
      <c r="B5" s="502" t="str">
        <f>intervencao1</f>
        <v>Intrauterine device levonorgestrel</v>
      </c>
      <c r="C5" s="502"/>
      <c r="D5" s="502"/>
      <c r="E5" s="502"/>
      <c r="F5" s="502"/>
      <c r="G5" s="502"/>
      <c r="H5" s="502"/>
      <c r="I5" s="77"/>
      <c r="J5" s="502">
        <f>intervencao2</f>
        <v>0</v>
      </c>
      <c r="K5" s="502"/>
      <c r="L5" s="502"/>
      <c r="M5" s="502"/>
      <c r="N5" s="502"/>
      <c r="O5" s="502"/>
      <c r="P5" s="502"/>
      <c r="Q5" s="77"/>
      <c r="R5" s="502">
        <f>intervencao3</f>
        <v>0</v>
      </c>
      <c r="S5" s="502"/>
      <c r="T5" s="502"/>
      <c r="U5" s="502"/>
      <c r="V5" s="502"/>
      <c r="W5" s="502"/>
      <c r="X5" s="502"/>
      <c r="Y5" s="77"/>
      <c r="Z5" s="502">
        <f>intervencao4</f>
        <v>0</v>
      </c>
      <c r="AA5" s="502"/>
      <c r="AB5" s="502"/>
      <c r="AC5" s="502"/>
      <c r="AD5" s="502"/>
      <c r="AE5" s="502"/>
      <c r="AF5" s="502"/>
      <c r="AG5" s="77"/>
      <c r="AH5" s="502" t="str">
        <f>comparador1</f>
        <v>Oral contraceptive</v>
      </c>
      <c r="AI5" s="502"/>
      <c r="AJ5" s="502"/>
      <c r="AK5" s="502"/>
      <c r="AL5" s="502"/>
      <c r="AM5" s="502"/>
      <c r="AN5" s="502"/>
      <c r="AO5" s="77"/>
      <c r="AP5" s="502">
        <f>comparador2</f>
        <v>0</v>
      </c>
      <c r="AQ5" s="502"/>
      <c r="AR5" s="502"/>
      <c r="AS5" s="502"/>
      <c r="AT5" s="502"/>
      <c r="AU5" s="502"/>
      <c r="AV5" s="502"/>
      <c r="AW5" s="77"/>
      <c r="AX5" s="502">
        <f>comparador3</f>
        <v>0</v>
      </c>
      <c r="AY5" s="502"/>
      <c r="AZ5" s="502"/>
      <c r="BA5" s="502"/>
      <c r="BB5" s="502"/>
      <c r="BC5" s="502"/>
      <c r="BD5" s="502"/>
      <c r="BE5" s="77"/>
      <c r="BF5" s="502">
        <f>comparador4</f>
        <v>0</v>
      </c>
      <c r="BG5" s="502"/>
      <c r="BH5" s="502"/>
      <c r="BI5" s="502"/>
      <c r="BJ5" s="502"/>
      <c r="BK5" s="502"/>
      <c r="BL5" s="502"/>
      <c r="BM5" s="77"/>
      <c r="BN5" s="502">
        <f>comparador5</f>
        <v>0</v>
      </c>
      <c r="BO5" s="502"/>
      <c r="BP5" s="502"/>
      <c r="BQ5" s="502"/>
      <c r="BR5" s="502"/>
      <c r="BS5" s="502"/>
      <c r="BT5" s="502"/>
      <c r="BU5" s="77"/>
      <c r="BV5" s="502">
        <f>comparador6</f>
        <v>0</v>
      </c>
      <c r="BW5" s="502"/>
      <c r="BX5" s="502"/>
      <c r="BY5" s="502"/>
      <c r="BZ5" s="502"/>
      <c r="CA5" s="502"/>
      <c r="CB5" s="502"/>
      <c r="CC5" s="77"/>
      <c r="CD5" s="502">
        <f>comparador7</f>
        <v>0</v>
      </c>
      <c r="CE5" s="502"/>
      <c r="CF5" s="502"/>
      <c r="CG5" s="502"/>
      <c r="CH5" s="502"/>
      <c r="CI5" s="502"/>
      <c r="CJ5" s="502"/>
      <c r="CK5" s="77"/>
      <c r="CL5" s="502">
        <f>comparador8</f>
        <v>0</v>
      </c>
      <c r="CM5" s="502"/>
      <c r="CN5" s="502"/>
      <c r="CO5" s="502"/>
      <c r="CP5" s="502"/>
      <c r="CQ5" s="502"/>
      <c r="CR5" s="502"/>
      <c r="CS5" s="77"/>
      <c r="CT5" s="502">
        <f>comparador9</f>
        <v>0</v>
      </c>
      <c r="CU5" s="502"/>
      <c r="CV5" s="502"/>
      <c r="CW5" s="502"/>
      <c r="CX5" s="502"/>
      <c r="CY5" s="502"/>
      <c r="CZ5" s="502"/>
      <c r="DA5" s="77"/>
      <c r="DB5" s="502">
        <f>comparador10</f>
        <v>0</v>
      </c>
      <c r="DC5" s="502"/>
      <c r="DD5" s="502"/>
      <c r="DE5" s="502"/>
      <c r="DF5" s="502"/>
      <c r="DG5" s="502"/>
      <c r="DH5" s="502"/>
      <c r="DI5" s="77"/>
    </row>
    <row r="6" spans="2:113" ht="16.2" thickBot="1">
      <c r="B6" s="78"/>
      <c r="C6" s="78" t="s">
        <v>165</v>
      </c>
      <c r="D6" s="78" t="s">
        <v>166</v>
      </c>
      <c r="E6" s="78" t="s">
        <v>167</v>
      </c>
      <c r="F6" s="78" t="s">
        <v>168</v>
      </c>
      <c r="G6" s="78" t="s">
        <v>169</v>
      </c>
      <c r="J6" s="78"/>
      <c r="K6" s="78" t="s">
        <v>165</v>
      </c>
      <c r="L6" s="78" t="s">
        <v>166</v>
      </c>
      <c r="M6" s="78" t="s">
        <v>167</v>
      </c>
      <c r="N6" s="78" t="s">
        <v>168</v>
      </c>
      <c r="O6" s="78" t="s">
        <v>169</v>
      </c>
      <c r="R6" s="78"/>
      <c r="S6" s="78" t="s">
        <v>165</v>
      </c>
      <c r="T6" s="78" t="s">
        <v>166</v>
      </c>
      <c r="U6" s="78" t="s">
        <v>167</v>
      </c>
      <c r="V6" s="78" t="s">
        <v>168</v>
      </c>
      <c r="W6" s="78" t="s">
        <v>169</v>
      </c>
      <c r="Z6" s="78"/>
      <c r="AA6" s="78" t="s">
        <v>165</v>
      </c>
      <c r="AB6" s="78" t="s">
        <v>166</v>
      </c>
      <c r="AC6" s="78" t="s">
        <v>167</v>
      </c>
      <c r="AD6" s="78" t="s">
        <v>168</v>
      </c>
      <c r="AE6" s="78" t="s">
        <v>169</v>
      </c>
      <c r="AH6" s="78"/>
      <c r="AI6" s="78" t="s">
        <v>165</v>
      </c>
      <c r="AJ6" s="78" t="s">
        <v>166</v>
      </c>
      <c r="AK6" s="78" t="s">
        <v>167</v>
      </c>
      <c r="AL6" s="78" t="s">
        <v>168</v>
      </c>
      <c r="AM6" s="78" t="s">
        <v>169</v>
      </c>
      <c r="AP6" s="78"/>
      <c r="AQ6" s="78" t="s">
        <v>165</v>
      </c>
      <c r="AR6" s="78" t="s">
        <v>166</v>
      </c>
      <c r="AS6" s="78" t="s">
        <v>167</v>
      </c>
      <c r="AT6" s="78" t="s">
        <v>168</v>
      </c>
      <c r="AU6" s="78" t="s">
        <v>169</v>
      </c>
      <c r="AX6" s="78"/>
      <c r="AY6" s="78" t="s">
        <v>165</v>
      </c>
      <c r="AZ6" s="78" t="s">
        <v>166</v>
      </c>
      <c r="BA6" s="78" t="s">
        <v>167</v>
      </c>
      <c r="BB6" s="78" t="s">
        <v>168</v>
      </c>
      <c r="BC6" s="78" t="s">
        <v>169</v>
      </c>
      <c r="BF6" s="78"/>
      <c r="BG6" s="78" t="s">
        <v>165</v>
      </c>
      <c r="BH6" s="78" t="s">
        <v>166</v>
      </c>
      <c r="BI6" s="78" t="s">
        <v>167</v>
      </c>
      <c r="BJ6" s="78" t="s">
        <v>168</v>
      </c>
      <c r="BK6" s="78" t="s">
        <v>169</v>
      </c>
      <c r="BN6" s="78"/>
      <c r="BO6" s="78" t="s">
        <v>165</v>
      </c>
      <c r="BP6" s="78" t="s">
        <v>166</v>
      </c>
      <c r="BQ6" s="78" t="s">
        <v>167</v>
      </c>
      <c r="BR6" s="78" t="s">
        <v>168</v>
      </c>
      <c r="BS6" s="78" t="s">
        <v>169</v>
      </c>
      <c r="BV6" s="78"/>
      <c r="BW6" s="78" t="s">
        <v>165</v>
      </c>
      <c r="BX6" s="78" t="s">
        <v>166</v>
      </c>
      <c r="BY6" s="78" t="s">
        <v>167</v>
      </c>
      <c r="BZ6" s="78" t="s">
        <v>168</v>
      </c>
      <c r="CA6" s="78" t="s">
        <v>169</v>
      </c>
      <c r="CD6" s="78"/>
      <c r="CE6" s="78" t="s">
        <v>165</v>
      </c>
      <c r="CF6" s="78" t="s">
        <v>166</v>
      </c>
      <c r="CG6" s="78" t="s">
        <v>167</v>
      </c>
      <c r="CH6" s="78" t="s">
        <v>168</v>
      </c>
      <c r="CI6" s="78" t="s">
        <v>169</v>
      </c>
      <c r="CL6" s="78"/>
      <c r="CM6" s="78" t="s">
        <v>165</v>
      </c>
      <c r="CN6" s="78" t="s">
        <v>166</v>
      </c>
      <c r="CO6" s="78" t="s">
        <v>167</v>
      </c>
      <c r="CP6" s="78" t="s">
        <v>168</v>
      </c>
      <c r="CQ6" s="78" t="s">
        <v>169</v>
      </c>
      <c r="CT6" s="78"/>
      <c r="CU6" s="78" t="s">
        <v>165</v>
      </c>
      <c r="CV6" s="78" t="s">
        <v>166</v>
      </c>
      <c r="CW6" s="78" t="s">
        <v>167</v>
      </c>
      <c r="CX6" s="78" t="s">
        <v>168</v>
      </c>
      <c r="CY6" s="78" t="s">
        <v>169</v>
      </c>
      <c r="DB6" s="78"/>
      <c r="DC6" s="78" t="s">
        <v>165</v>
      </c>
      <c r="DD6" s="78" t="s">
        <v>166</v>
      </c>
      <c r="DE6" s="78" t="s">
        <v>167</v>
      </c>
      <c r="DF6" s="78" t="s">
        <v>168</v>
      </c>
      <c r="DG6" s="78" t="s">
        <v>169</v>
      </c>
    </row>
    <row r="7" spans="2:113" s="97" customFormat="1" ht="33.6" thickBot="1">
      <c r="B7" s="94" t="s">
        <v>205</v>
      </c>
      <c r="C7" s="313">
        <f>Results!$D$9</f>
        <v>311080.53998220514</v>
      </c>
      <c r="D7" s="313">
        <f>MAX(IF(calculo="incidencia",Results!$E$9,IF(line="yes",(Results!$E$9-C8),Results!$E$9-C8-C10)),0)</f>
        <v>309959.50471967034</v>
      </c>
      <c r="E7" s="313">
        <f>MAX(IF(calculo="incidencia",Results!$F$9,IF(line="yes",(Results!$F$9-D8-C11),Results!$F$9-D8-D10-C11-C13)),0)</f>
        <v>308747.1600436939</v>
      </c>
      <c r="F7" s="313">
        <f>MAX(IF(calculo="incidencia",Results!$G$9,IF(line="yes",(Results!$G$9-E8-D11-C14),Results!$G$9-E8-E10-D11-D13-C14-C16)),0)</f>
        <v>307292.69308336981</v>
      </c>
      <c r="G7" s="313">
        <f>MAX(IF(calculo="incidencia",Results!$H$9,IF(line="yes",(Results!$H$9-F8-E11-D14-C17),Results!$H$9-F8-F10-E11-E13-D14-D16-C17-C19)),0)</f>
        <v>305462.50005901721</v>
      </c>
      <c r="H7" s="95" t="s">
        <v>304</v>
      </c>
      <c r="I7" s="96"/>
      <c r="J7" s="94" t="s">
        <v>205</v>
      </c>
      <c r="K7" s="313">
        <f>Results!$D$9</f>
        <v>311080.53998220514</v>
      </c>
      <c r="L7" s="313">
        <f>MAX(IF(calculo="incidencia",Results!$E$9,IF(line="yes",(Results!$E$9-K8),Results!$E$9-K8-K10)),0)</f>
        <v>309959.50471967034</v>
      </c>
      <c r="M7" s="313">
        <f>MAX(IF(calculo="incidencia",Results!$F$9,IF(line="yes",(Results!$F$9-L8-K11),Results!$F$9-L8-L10-K11-K13)),0)</f>
        <v>308747.1600436939</v>
      </c>
      <c r="N7" s="313">
        <f>MAX(IF(calculo="incidencia",Results!$G$9,IF(line="yes",(Results!$G$9-M8-L11-K14),Results!$G$9-M8-M10-L11-L13-K14-K16)),0)</f>
        <v>307292.69308336981</v>
      </c>
      <c r="O7" s="313">
        <f>MAX(IF(calculo="incidencia",Results!$H$9,IF(line="yes",(Results!$H$9-N8-M11-L14-K17),Results!$H$9-N8-N10-M11-M13-L14-L16-K17-K19)),0)</f>
        <v>305462.50005901721</v>
      </c>
      <c r="P7" s="95" t="s">
        <v>304</v>
      </c>
      <c r="Q7" s="96"/>
      <c r="R7" s="94" t="s">
        <v>205</v>
      </c>
      <c r="S7" s="313">
        <f>Results!$D$9</f>
        <v>311080.53998220514</v>
      </c>
      <c r="T7" s="313">
        <f>MAX(IF(calculo="incidencia",Results!$E$9,IF(line="yes",(Results!$E$9-S8),Results!$E$9-S8-S10)),0)</f>
        <v>309959.50471967034</v>
      </c>
      <c r="U7" s="313">
        <f>MAX(IF(calculo="incidencia",Results!$F$9,IF(line="yes",(Results!$F$9-T8-S11),Results!$F$9-T8-T10-S11-S13)),0)</f>
        <v>308747.1600436939</v>
      </c>
      <c r="V7" s="313">
        <f>MAX(IF(calculo="incidencia",Results!$G$9,IF(line="yes",(Results!$G$9-U8-T11-S14),Results!$G$9-U8-U10-T11-T13-S14-S16)),0)</f>
        <v>307292.69308336981</v>
      </c>
      <c r="W7" s="313">
        <f>MAX(IF(calculo="incidencia",Results!$H$9,IF(line="yes",(Results!$H$9-V8-U11-T14-S17),Results!$H$9-V8-V10-U11-U13-T14-T16-S17-S19)),0)</f>
        <v>305462.50005901721</v>
      </c>
      <c r="X7" s="95" t="s">
        <v>304</v>
      </c>
      <c r="Y7" s="96"/>
      <c r="Z7" s="94" t="s">
        <v>205</v>
      </c>
      <c r="AA7" s="313">
        <f>Results!$D$9</f>
        <v>311080.53998220514</v>
      </c>
      <c r="AB7" s="313">
        <f>MAX(IF(calculo="incidencia",Results!$E$9,IF(line="yes",(Results!$E$9-AA8),Results!$E$9-AA8-AA10)),0)</f>
        <v>309959.50471967034</v>
      </c>
      <c r="AC7" s="313">
        <f>MAX(IF(calculo="incidencia",Results!$F$9,IF(line="yes",(Results!$F$9-AB8-AA11),Results!$F$9-AB8-AB10-AA11-AA13)),0)</f>
        <v>308747.1600436939</v>
      </c>
      <c r="AD7" s="313">
        <f>MAX(IF(calculo="incidencia",Results!$G$9,IF(line="yes",(Results!$G$9-AC8-AB11-AA14),Results!$G$9-AC8-AC10-AB11-AB13-AA14-AA16)),0)</f>
        <v>307292.69308336981</v>
      </c>
      <c r="AE7" s="313">
        <f>MAX(IF(calculo="incidencia",Results!$H$9,IF(line="yes",(Results!$H$9-AD8-AC11-AB14-AA17),Results!$H$9-AD8-AD10-AC11-AC13-AB14-AB16-AA17-AA19)),0)</f>
        <v>305462.50005901721</v>
      </c>
      <c r="AF7" s="95" t="s">
        <v>304</v>
      </c>
      <c r="AG7" s="96"/>
      <c r="AH7" s="94" t="s">
        <v>205</v>
      </c>
      <c r="AI7" s="313">
        <f>Results!$D$9</f>
        <v>311080.53998220514</v>
      </c>
      <c r="AJ7" s="313">
        <f>MAX(IF(calculo="incidencia",Results!$E$9,IF(line="yes",(Results!$E$9-AI8),Results!$E$9-AI8-AI10)),0)</f>
        <v>309959.50471967034</v>
      </c>
      <c r="AK7" s="313">
        <f>MAX(IF(calculo="incidencia",Results!$F$9,IF(line="yes",(Results!$F$9-AJ8-AI11),Results!$F$9-AJ8-AJ10-AI11-AI13)),0)</f>
        <v>308747.1600436939</v>
      </c>
      <c r="AL7" s="313">
        <f>MAX(IF(calculo="incidencia",Results!$G$9,IF(line="yes",(Results!$G$9-AK8-AJ11-AI14),Results!$G$9-AK8-AK10-AJ11-AJ13-AI14-AI16)),0)</f>
        <v>307292.69308336981</v>
      </c>
      <c r="AM7" s="313">
        <f>MAX(IF(calculo="incidencia",Results!$H$9,IF(line="yes",(Results!$H$9-AL8-AK11-AJ14-AI17),Results!$H$9-AL8-AL10-AK11-AK13-AJ14-AJ16-AI17-AI19)),0)</f>
        <v>305462.50005901721</v>
      </c>
      <c r="AN7" s="95" t="s">
        <v>304</v>
      </c>
      <c r="AO7" s="96"/>
      <c r="AP7" s="94" t="s">
        <v>205</v>
      </c>
      <c r="AQ7" s="313">
        <f>Results!$D$9</f>
        <v>311080.53998220514</v>
      </c>
      <c r="AR7" s="313">
        <f>MAX(IF(calculo="incidencia",Results!$E$9,IF(line="yes",(Results!$E$9-AQ8),Results!$E$9-AQ8-AQ10)),0)</f>
        <v>309959.50471967034</v>
      </c>
      <c r="AS7" s="313">
        <f>MAX(IF(calculo="incidencia",Results!$F$9,IF(line="yes",(Results!$F$9-AR8-AQ11),Results!$F$9-AR8-AR10-AQ11-AQ13)),0)</f>
        <v>308747.1600436939</v>
      </c>
      <c r="AT7" s="313">
        <f>MAX(IF(calculo="incidencia",Results!$G$9,IF(line="yes",(Results!$G$9-AS8-AR11-AQ14),Results!$G$9-AS8-AS10-AR11-AR13-AQ14-AQ16)),0)</f>
        <v>307292.69308336981</v>
      </c>
      <c r="AU7" s="313">
        <f>MAX(IF(calculo="incidencia",Results!$H$9,IF(line="yes",(Results!$H$9-AT8-AS11-AR14-AQ17),Results!$H$9-AT8-AT10-AS11-AS13-AR14-AR16-AQ17-AQ19)),0)</f>
        <v>305462.50005901721</v>
      </c>
      <c r="AV7" s="95" t="s">
        <v>304</v>
      </c>
      <c r="AW7" s="96"/>
      <c r="AX7" s="94" t="s">
        <v>205</v>
      </c>
      <c r="AY7" s="313">
        <f>Results!$D$9</f>
        <v>311080.53998220514</v>
      </c>
      <c r="AZ7" s="313">
        <f>MAX(IF(calculo="incidencia",Results!$E$9,IF(line="yes",(Results!$E$9-AY8),Results!$E$9-AY8-AY10)),0)</f>
        <v>309959.50471967034</v>
      </c>
      <c r="BA7" s="313">
        <f>MAX(IF(calculo="incidencia",Results!$F$9,IF(line="yes",(Results!$F$9-AZ8-AY11),Results!$F$9-AZ8-AZ10-AY11-AY13)),0)</f>
        <v>308747.1600436939</v>
      </c>
      <c r="BB7" s="313">
        <f>MAX(IF(calculo="incidencia",Results!$G$9,IF(line="yes",(Results!$G$9-BA8-AZ11-AY14),Results!$G$9-BA8-BA10-AZ11-AZ13-AY14-AY16)),0)</f>
        <v>307292.69308336981</v>
      </c>
      <c r="BC7" s="313">
        <f>MAX(IF(calculo="incidencia",Results!$H$9,IF(line="yes",(Results!$H$9-BB8-BA11-AZ14-AY17),Results!$H$9-BB8-BB10-BA11-BA13-AZ14-AZ16-AY17-AY19)),0)</f>
        <v>305462.50005901721</v>
      </c>
      <c r="BD7" s="95" t="s">
        <v>304</v>
      </c>
      <c r="BE7" s="96"/>
      <c r="BF7" s="94" t="s">
        <v>205</v>
      </c>
      <c r="BG7" s="313">
        <f>Results!$D$9</f>
        <v>311080.53998220514</v>
      </c>
      <c r="BH7" s="313">
        <f>MAX(IF(calculo="incidencia",Results!$E$9,IF(line="yes",(Results!$E$9-BG8),Results!$E$9-BG8-BG10)),0)</f>
        <v>309959.50471967034</v>
      </c>
      <c r="BI7" s="313">
        <f>MAX(IF(calculo="incidencia",Results!$F$9,IF(line="yes",(Results!$F$9-BH8-BG11),Results!$F$9-BH8-BH10-BG11-BG13)),0)</f>
        <v>308747.1600436939</v>
      </c>
      <c r="BJ7" s="313">
        <f>MAX(IF(calculo="incidencia",Results!$G$9,IF(line="yes",(Results!$G$9-BI8-BH11-BG14),Results!$G$9-BI8-BI10-BH11-BH13-BG14-BG16)),0)</f>
        <v>307292.69308336981</v>
      </c>
      <c r="BK7" s="313">
        <f>MAX(IF(calculo="incidencia",Results!$H$9,IF(line="yes",(Results!$H$9-BJ8-BI11-BH14-BG17),Results!$H$9-BJ8-BJ10-BI11-BI13-BH14-BH16-BG17-BG19)),0)</f>
        <v>305462.50005901721</v>
      </c>
      <c r="BL7" s="95" t="s">
        <v>304</v>
      </c>
      <c r="BM7" s="96"/>
      <c r="BN7" s="94" t="s">
        <v>205</v>
      </c>
      <c r="BO7" s="313">
        <f>Results!$D$9</f>
        <v>311080.53998220514</v>
      </c>
      <c r="BP7" s="313">
        <f>MAX(IF(calculo="incidencia",Results!$E$9,IF(line="yes",(Results!$E$9-BO8),Results!$E$9-BO8-BO10)),0)</f>
        <v>309959.50471967034</v>
      </c>
      <c r="BQ7" s="313">
        <f>MAX(IF(calculo="incidencia",Results!$F$9,IF(line="yes",(Results!$F$9-BP8-BO11),Results!$F$9-BP8-BP10-BO11-BO13)),0)</f>
        <v>308747.1600436939</v>
      </c>
      <c r="BR7" s="313">
        <f>MAX(IF(calculo="incidencia",Results!$G$9,IF(line="yes",(Results!$G$9-BQ8-BP11-BO14),Results!$G$9-BQ8-BQ10-BP11-BP13-BO14-BO16)),0)</f>
        <v>307292.69308336981</v>
      </c>
      <c r="BS7" s="313">
        <f>MAX(IF(calculo="incidencia",Results!$H$9,IF(line="yes",(Results!$H$9-BR8-BQ11-BP14-BO17),Results!$H$9-BR8-BR10-BQ11-BQ13-BP14-BP16-BO17-BO19)),0)</f>
        <v>305462.50005901721</v>
      </c>
      <c r="BT7" s="95" t="s">
        <v>304</v>
      </c>
      <c r="BU7" s="96"/>
      <c r="BV7" s="94" t="s">
        <v>205</v>
      </c>
      <c r="BW7" s="313">
        <f>Results!$D$9</f>
        <v>311080.53998220514</v>
      </c>
      <c r="BX7" s="313">
        <f>MAX(IF(calculo="incidencia",Results!$E$9,IF(line="yes",(Results!$E$9-BW8),Results!$E$9-BW8-BW10)),0)</f>
        <v>309959.50471967034</v>
      </c>
      <c r="BY7" s="313">
        <f>MAX(IF(calculo="incidencia",Results!$F$9,IF(line="yes",(Results!$F$9-BX8-BW11),Results!$F$9-BX8-BX10-BW11-BW13)),0)</f>
        <v>308747.1600436939</v>
      </c>
      <c r="BZ7" s="313">
        <f>MAX(IF(calculo="incidencia",Results!$G$9,IF(line="yes",(Results!$G$9-BY8-BX11-BW14),Results!$G$9-BY8-BY10-BX11-BX13-BW14-BW16)),0)</f>
        <v>307292.69308336981</v>
      </c>
      <c r="CA7" s="313">
        <f>MAX(IF(calculo="incidencia",Results!$H$9,IF(line="yes",(Results!$H$9-BZ8-BY11-BX14-BW17),Results!$H$9-BZ8-BZ10-BY11-BY13-BX14-BX16-BW17-BW19)),0)</f>
        <v>305462.50005901721</v>
      </c>
      <c r="CB7" s="95" t="s">
        <v>304</v>
      </c>
      <c r="CC7" s="96"/>
      <c r="CD7" s="94" t="s">
        <v>205</v>
      </c>
      <c r="CE7" s="313">
        <f>Results!$D$9</f>
        <v>311080.53998220514</v>
      </c>
      <c r="CF7" s="313">
        <f>MAX(IF(calculo="incidencia",Results!$E$9,IF(line="yes",(Results!$E$9-CE8),Results!$E$9-CE8-CE10)),0)</f>
        <v>309959.50471967034</v>
      </c>
      <c r="CG7" s="313">
        <f>MAX(IF(calculo="incidencia",Results!$F$9,IF(line="yes",(Results!$F$9-CF8-CE11),Results!$F$9-CF8-CF10-CE11-CE13)),0)</f>
        <v>308747.1600436939</v>
      </c>
      <c r="CH7" s="313">
        <f>MAX(IF(calculo="incidencia",Results!$G$9,IF(line="yes",(Results!$G$9-CG8-CF11-CE14),Results!$G$9-CG8-CG10-CF11-CF13-CE14-CE16)),0)</f>
        <v>307292.69308336981</v>
      </c>
      <c r="CI7" s="313">
        <f>MAX(IF(calculo="incidencia",Results!$H$9,IF(line="yes",(Results!$H$9-CH8-CG11-CF14-CE17),Results!$H$9-CH8-CH10-CG11-CG13-CF14-CF16-CE17-CE19)),0)</f>
        <v>305462.50005901721</v>
      </c>
      <c r="CJ7" s="95" t="s">
        <v>304</v>
      </c>
      <c r="CK7" s="96"/>
      <c r="CL7" s="94" t="s">
        <v>205</v>
      </c>
      <c r="CM7" s="313">
        <f>Results!$D$9</f>
        <v>311080.53998220514</v>
      </c>
      <c r="CN7" s="313">
        <f>MAX(IF(calculo="incidencia",Results!$E$9,IF(line="yes",(Results!$E$9-CM8),Results!$E$9-CM8-CM10)),0)</f>
        <v>309959.50471967034</v>
      </c>
      <c r="CO7" s="313">
        <f>MAX(IF(calculo="incidencia",Results!$F$9,IF(line="yes",(Results!$F$9-CN8-CM11),Results!$F$9-CN8-CN10-CM11-CM13)),0)</f>
        <v>308747.1600436939</v>
      </c>
      <c r="CP7" s="313">
        <f>MAX(IF(calculo="incidencia",Results!$G$9,IF(line="yes",(Results!$G$9-CO8-CN11-CM14),Results!$G$9-CO8-CO10-CN11-CN13-CM14-CM16)),0)</f>
        <v>307292.69308336981</v>
      </c>
      <c r="CQ7" s="313">
        <f>MAX(IF(calculo="incidencia",Results!$H$9,IF(line="yes",(Results!$H$9-CP8-CO11-CN14-CM17),Results!$H$9-CP8-CP10-CO11-CO13-CN14-CN16-CM17-CM19)),0)</f>
        <v>305462.50005901721</v>
      </c>
      <c r="CR7" s="95" t="s">
        <v>304</v>
      </c>
      <c r="CS7" s="96"/>
      <c r="CT7" s="94" t="s">
        <v>205</v>
      </c>
      <c r="CU7" s="313">
        <f>Results!$D$9</f>
        <v>311080.53998220514</v>
      </c>
      <c r="CV7" s="313">
        <f>MAX(IF(calculo="incidencia",Results!$E$9,IF(line="yes",(Results!$E$9-CU8),Results!$E$9-CU8-CU10)),0)</f>
        <v>309959.50471967034</v>
      </c>
      <c r="CW7" s="313">
        <f>MAX(IF(calculo="incidencia",Results!$F$9,IF(line="yes",(Results!$F$9-CV8-CU11),Results!$F$9-CV8-CV10-CU11-CU13)),0)</f>
        <v>308747.1600436939</v>
      </c>
      <c r="CX7" s="313">
        <f>MAX(IF(calculo="incidencia",Results!$G$9,IF(line="yes",(Results!$G$9-CW8-CV11-CU14),Results!$G$9-CW8-CW10-CV11-CV13-CU14-CU16)),0)</f>
        <v>307292.69308336981</v>
      </c>
      <c r="CY7" s="313">
        <f>MAX(IF(calculo="incidencia",Results!$H$9,IF(line="yes",(Results!$H$9-CX8-CW11-CV14-CU17),Results!$H$9-CX8-CX10-CW11-CW13-CV14-CV16-CU17-CU19)),0)</f>
        <v>305462.50005901721</v>
      </c>
      <c r="CZ7" s="95" t="s">
        <v>304</v>
      </c>
      <c r="DA7" s="96"/>
      <c r="DB7" s="94" t="s">
        <v>205</v>
      </c>
      <c r="DC7" s="313">
        <f>Results!$D$9</f>
        <v>311080.53998220514</v>
      </c>
      <c r="DD7" s="313">
        <f>MAX(IF(calculo="incidencia",Results!$E$9,IF(line="yes",(Results!$E$9-DC8),Results!$E$9-DC8-DC10)),0)</f>
        <v>309959.50471967034</v>
      </c>
      <c r="DE7" s="313">
        <f>MAX(IF(calculo="incidencia",Results!$F$9,IF(line="yes",(Results!$F$9-DD8-DC11),Results!$F$9-DD8-DD10-DC11-DC13)),0)</f>
        <v>308747.1600436939</v>
      </c>
      <c r="DF7" s="313">
        <f>MAX(IF(calculo="incidencia",Results!$G$9,IF(line="yes",(Results!$G$9-DE8-DD11-DC14),Results!$G$9-DE8-DE10-DD11-DD13-DC14-DC16)),0)</f>
        <v>307292.69308336981</v>
      </c>
      <c r="DG7" s="313">
        <f>MAX(IF(calculo="incidencia",Results!$H$9,IF(line="yes",(Results!$H$9-DF8-DE11-DD14-DC17),Results!$H$9-DF8-DF10-DE11-DE13-DD14-DD16-DC17-DC19)),0)</f>
        <v>305462.50005901721</v>
      </c>
      <c r="DH7" s="95" t="s">
        <v>304</v>
      </c>
      <c r="DI7" s="96"/>
    </row>
    <row r="8" spans="2:113" s="97" customFormat="1" ht="15" customHeight="1">
      <c r="B8" s="98" t="str">
        <f>IF(OR(uso=3,uso=4),"Progression-free","On treatment")</f>
        <v>On treatment</v>
      </c>
      <c r="C8" s="314">
        <f>IF(AND(desc1_1=0,ob1_1=0),C7,
IF(AND(desc1_1=0,ob1_1&gt;0),C7*(1-ob1_1),C7*(1-desc1_1)))</f>
        <v>311080.53998220514</v>
      </c>
      <c r="D8" s="314">
        <f>IF(AND(desc1_1=0,ob1_1=0),D7,
IF(AND(desc1_1=0,ob1_1&gt;0),D7*(1-ob1_1),D7*(1-desc1_1)))</f>
        <v>309959.50471967034</v>
      </c>
      <c r="E8" s="314">
        <f>IF(AND(desc1_1=0,ob1_1=0),E7,
IF(AND(desc1_1=0,ob1_1&gt;0),E7*(1-ob1_1),E7*(1-desc1_1)))</f>
        <v>308747.1600436939</v>
      </c>
      <c r="F8" s="314">
        <f>IF(AND(desc1_1=0,ob1_1=0),F7,
IF(AND(desc1_1=0,ob1_1&gt;0),F7*(1-ob1_1),F7*(1-desc1_1)))</f>
        <v>307292.69308336981</v>
      </c>
      <c r="G8" s="314" t="s">
        <v>7</v>
      </c>
      <c r="H8" s="510" t="s">
        <v>305</v>
      </c>
      <c r="I8" s="96"/>
      <c r="J8" s="98" t="str">
        <f>IF(OR(uso=3,uso=4),"Progression-free","On treatment")</f>
        <v>On treatment</v>
      </c>
      <c r="K8" s="314">
        <f>IF(AND(desc2_1=0,ob2_1=0),K7,
IF(AND(desc2_1=0,ob2_1&gt;0),K7*(1-ob2_1),K7*(1-desc2_1)))</f>
        <v>311080.53998220514</v>
      </c>
      <c r="L8" s="314">
        <f>IF(AND(desc2_1=0,ob2_1=0),L7,
IF(AND(desc2_1=0,ob2_1&gt;0),L7*(1-ob2_1),L7*(1-desc2_1)))</f>
        <v>309959.50471967034</v>
      </c>
      <c r="M8" s="314">
        <f>IF(AND(desc2_1=0,ob2_1=0),M7,
IF(AND(desc2_1=0,ob2_1&gt;0),M7*(1-ob2_1),M7*(1-desc2_1)))</f>
        <v>308747.1600436939</v>
      </c>
      <c r="N8" s="314">
        <f>IF(AND(desc2_1=0,ob2_1=0),N7,
IF(AND(desc2_1=0,ob2_1&gt;0),N7*(1-ob2_1),N7*(1-desc2_1)))</f>
        <v>307292.69308336981</v>
      </c>
      <c r="O8" s="314" t="s">
        <v>7</v>
      </c>
      <c r="P8" s="510" t="s">
        <v>305</v>
      </c>
      <c r="Q8" s="96"/>
      <c r="R8" s="98" t="s">
        <v>206</v>
      </c>
      <c r="S8" s="314">
        <f>IF(AND(desc3_1=0,ob3_1=0),S7,
IF(AND(desc3_1=0,ob3_1&gt;0),S7*(1-ob3_1),S7*(1-desc3_1)))</f>
        <v>311080.53998220514</v>
      </c>
      <c r="T8" s="314">
        <f>IF(AND(desc3_1=0,ob3_1=0),T7,
IF(AND(desc3_1=0,ob3_1&gt;0),T7*(1-ob3_1),T7*(1-desc3_1)))</f>
        <v>309959.50471967034</v>
      </c>
      <c r="U8" s="314">
        <f>IF(AND(desc3_1=0,ob3_1=0),U7,
IF(AND(desc3_1=0,ob3_1&gt;0),U7*(1-ob3_1),U7*(1-desc3_1)))</f>
        <v>308747.1600436939</v>
      </c>
      <c r="V8" s="314">
        <f>IF(AND(desc3_1=0,ob3_1=0),V7,
IF(AND(desc3_1=0,ob3_1&gt;0),V7*(1-ob3_1),V7*(1-desc3_1)))</f>
        <v>307292.69308336981</v>
      </c>
      <c r="W8" s="314" t="s">
        <v>7</v>
      </c>
      <c r="X8" s="510" t="s">
        <v>305</v>
      </c>
      <c r="Y8" s="96"/>
      <c r="Z8" s="98" t="s">
        <v>206</v>
      </c>
      <c r="AA8" s="314">
        <f>IF(AND(desc4_1=0,ob4_1=0),AA7,
IF(AND(desc4_1=0,ob4_1&gt;0),AA7*(1-ob4_1),AA7*(1-desc4_1)))</f>
        <v>311080.53998220514</v>
      </c>
      <c r="AB8" s="314">
        <f>IF(AND(desc4_1=0,ob4_1=0),AB7,
IF(AND(desc4_1=0,ob4_1&gt;0),AB7*(1-ob4_1),AB7*(1-desc4_1)))</f>
        <v>309959.50471967034</v>
      </c>
      <c r="AC8" s="314">
        <f>IF(AND(desc4_1=0,ob4_1=0),AC7,
IF(AND(desc4_1=0,ob4_1&gt;0),AC7*(1-ob4_1),AC7*(1-desc4_1)))</f>
        <v>308747.1600436939</v>
      </c>
      <c r="AD8" s="314">
        <f>IF(AND(desc4_1=0,ob4_1=0),AD7,
IF(AND(desc4_1=0,ob4_1&gt;0),AD7*(1-ob4_1),AD7*(1-desc4_1)))</f>
        <v>307292.69308336981</v>
      </c>
      <c r="AE8" s="314" t="s">
        <v>7</v>
      </c>
      <c r="AF8" s="510" t="s">
        <v>305</v>
      </c>
      <c r="AG8" s="96"/>
      <c r="AH8" s="98" t="s">
        <v>206</v>
      </c>
      <c r="AI8" s="314">
        <f>IF(AND(desc5_1=0,ob5_1=0),AI7,
IF(AND(desc5_1=0,ob5_1&gt;0),AI7*(1-ob5_1),AI7*(1-desc5_1)))</f>
        <v>311080.53998220514</v>
      </c>
      <c r="AJ8" s="314">
        <f>IF(AND(desc5_1=0,ob5_1=0),AJ7,
IF(AND(desc5_1=0,ob5_1&gt;0),AJ7*(1-ob5_1),AJ7*(1-desc5_1)))</f>
        <v>309959.50471967034</v>
      </c>
      <c r="AK8" s="314">
        <f>IF(AND(desc5_1=0,ob5_1=0),AK7,
IF(AND(desc5_1=0,ob5_1&gt;0),AK7*(1-ob5_1),AK7*(1-desc5_1)))</f>
        <v>308747.1600436939</v>
      </c>
      <c r="AL8" s="314">
        <f>IF(AND(desc5_1=0,ob5_1=0),AL7,
IF(AND(desc5_1=0,ob5_1&gt;0),AL7*(1-ob5_1),AL7*(1-desc5_1)))</f>
        <v>307292.69308336981</v>
      </c>
      <c r="AM8" s="314" t="s">
        <v>7</v>
      </c>
      <c r="AN8" s="510" t="s">
        <v>305</v>
      </c>
      <c r="AO8" s="96"/>
      <c r="AP8" s="98" t="s">
        <v>206</v>
      </c>
      <c r="AQ8" s="314">
        <f>IF(AND(desc6_1=0,ob6_1=0),AQ7,
IF(AND(desc6_1=0,ob6_1&gt;0),AQ7*(1-ob6_1),AQ7*(1-desc6_1)))</f>
        <v>311080.53998220514</v>
      </c>
      <c r="AR8" s="314">
        <f>IF(AND(desc6_1=0,ob6_1=0),AR7,
IF(AND(desc6_1=0,ob6_1&gt;0),AR7*(1-ob6_1),AR7*(1-desc6_1)))</f>
        <v>309959.50471967034</v>
      </c>
      <c r="AS8" s="314">
        <f>IF(AND(desc6_1=0,ob6_1=0),AS7,
IF(AND(desc6_1=0,ob6_1&gt;0),AS7*(1-ob6_1),AS7*(1-desc6_1)))</f>
        <v>308747.1600436939</v>
      </c>
      <c r="AT8" s="314">
        <f>IF(AND(desc6_1=0,ob6_1=0),AT7,
IF(AND(desc6_1=0,ob6_1&gt;0),AT7*(1-ob6_1),AT7*(1-desc6_1)))</f>
        <v>307292.69308336981</v>
      </c>
      <c r="AU8" s="314" t="s">
        <v>7</v>
      </c>
      <c r="AV8" s="510" t="s">
        <v>305</v>
      </c>
      <c r="AW8" s="96"/>
      <c r="AX8" s="98" t="s">
        <v>206</v>
      </c>
      <c r="AY8" s="314">
        <f>IF(AND(desc7_1=0,ob7_1=0),AY7,
IF(AND(desc7_1=0,ob7_1&gt;0),AY7*(1-ob7_1),AY7*(1-desc7_1)))</f>
        <v>311080.53998220514</v>
      </c>
      <c r="AZ8" s="314">
        <f>IF(AND(desc7_1=0,ob7_1=0),AZ7,
IF(AND(desc7_1=0,ob7_1&gt;0),AZ7*(1-ob7_1),AZ7*(1-desc7_1)))</f>
        <v>309959.50471967034</v>
      </c>
      <c r="BA8" s="314">
        <f>IF(AND(desc7_1=0,ob7_1=0),BA7,
IF(AND(desc7_1=0,ob7_1&gt;0),BA7*(1-ob7_1),BA7*(1-desc7_1)))</f>
        <v>308747.1600436939</v>
      </c>
      <c r="BB8" s="314">
        <f>IF(AND(desc7_1=0,ob7_1=0),BB7,
IF(AND(desc7_1=0,ob7_1&gt;0),BB7*(1-ob7_1),BB7*(1-desc7_1)))</f>
        <v>307292.69308336981</v>
      </c>
      <c r="BC8" s="314" t="s">
        <v>7</v>
      </c>
      <c r="BD8" s="510" t="s">
        <v>305</v>
      </c>
      <c r="BE8" s="96"/>
      <c r="BF8" s="98" t="s">
        <v>206</v>
      </c>
      <c r="BG8" s="314">
        <f>IF(AND(desc8_1=0,ob8_1=0),BG7,
IF(AND(desc8_1=0,ob8_1&gt;0),BG7*(1-ob8_1),BG7*(1-desc8_1)))</f>
        <v>311080.53998220514</v>
      </c>
      <c r="BH8" s="314">
        <f>IF(AND(desc8_1=0,ob8_1=0),BH7,
IF(AND(desc8_1=0,ob8_1&gt;0),BH7*(1-ob8_1),BH7*(1-desc8_1)))</f>
        <v>309959.50471967034</v>
      </c>
      <c r="BI8" s="314">
        <f>IF(AND(desc8_1=0,ob8_1=0),BI7,
IF(AND(desc8_1=0,ob8_1&gt;0),BI7*(1-ob8_1),BI7*(1-desc8_1)))</f>
        <v>308747.1600436939</v>
      </c>
      <c r="BJ8" s="314">
        <f>IF(AND(desc8_1=0,ob8_1=0),BJ7,
IF(AND(desc8_1=0,ob8_1&gt;0),BJ7*(1-ob8_1),BJ7*(1-desc8_1)))</f>
        <v>307292.69308336981</v>
      </c>
      <c r="BK8" s="314" t="s">
        <v>7</v>
      </c>
      <c r="BL8" s="510" t="s">
        <v>305</v>
      </c>
      <c r="BM8" s="96"/>
      <c r="BN8" s="98" t="s">
        <v>206</v>
      </c>
      <c r="BO8" s="314">
        <f>IF(AND(desc9_1=0,ob9_1=0),BO7,
IF(AND(desc9_1=0,ob9_1&gt;0),BO7*(1-ob9_1),BO7*(1-desc9_1)))</f>
        <v>311080.53998220514</v>
      </c>
      <c r="BP8" s="314">
        <f>IF(AND(desc9_1=0,ob9_1=0),BP7,
IF(AND(desc9_1=0,ob9_1&gt;0),BP7*(1-ob9_1),BP7*(1-desc9_1)))</f>
        <v>309959.50471967034</v>
      </c>
      <c r="BQ8" s="314">
        <f>IF(AND(desc9_1=0,ob9_1=0),BQ7,
IF(AND(desc9_1=0,ob9_1&gt;0),BQ7*(1-ob9_1),BQ7*(1-desc9_1)))</f>
        <v>308747.1600436939</v>
      </c>
      <c r="BR8" s="314">
        <f>IF(AND(desc9_1=0,ob9_1=0),BR7,
IF(AND(desc9_1=0,ob9_1&gt;0),BR7*(1-ob9_1),BR7*(1-desc9_1)))</f>
        <v>307292.69308336981</v>
      </c>
      <c r="BS8" s="314" t="s">
        <v>7</v>
      </c>
      <c r="BT8" s="510" t="s">
        <v>305</v>
      </c>
      <c r="BU8" s="96"/>
      <c r="BV8" s="98" t="s">
        <v>206</v>
      </c>
      <c r="BW8" s="314">
        <f>IF(AND(desc10_1=0,ob10_1=0),BW7,
IF(AND(desc10_1=0,ob10_1&gt;0),BW7*(1-ob10_1),BW7*(1-desc10_1)))</f>
        <v>311080.53998220514</v>
      </c>
      <c r="BX8" s="314">
        <f>IF(AND(desc10_1=0,ob10_1=0),BX7,
IF(AND(desc10_1=0,ob10_1&gt;0),BX7*(1-ob10_1),BX7*(1-desc10_1)))</f>
        <v>309959.50471967034</v>
      </c>
      <c r="BY8" s="314">
        <f>IF(AND(desc10_1=0,ob10_1=0),BY7,
IF(AND(desc10_1=0,ob10_1&gt;0),BY7*(1-ob10_1),BY7*(1-desc10_1)))</f>
        <v>308747.1600436939</v>
      </c>
      <c r="BZ8" s="314">
        <f>IF(AND(desc10_1=0,ob10_1=0),BZ7,
IF(AND(desc10_1=0,ob10_1&gt;0),BZ7*(1-ob10_1),BZ7*(1-desc10_1)))</f>
        <v>307292.69308336981</v>
      </c>
      <c r="CA8" s="314" t="s">
        <v>7</v>
      </c>
      <c r="CB8" s="510" t="s">
        <v>305</v>
      </c>
      <c r="CC8" s="96"/>
      <c r="CD8" s="98" t="s">
        <v>206</v>
      </c>
      <c r="CE8" s="314">
        <f>IF(AND(desc11_1=0,ob11_1=0),CE7,
IF(AND(desc11_1=0,ob11_1&gt;0),CE7*(1-ob11_1),CE7*(1-desc11_1)))</f>
        <v>311080.53998220514</v>
      </c>
      <c r="CF8" s="314">
        <f>IF(AND(desc11_1=0,ob11_1=0),CF7,
IF(AND(desc11_1=0,ob11_1&gt;0),CF7*(1-ob11_1),CF7*(1-desc11_1)))</f>
        <v>309959.50471967034</v>
      </c>
      <c r="CG8" s="314">
        <f>IF(AND(desc11_1=0,ob11_1=0),CG7,
IF(AND(desc11_1=0,ob11_1&gt;0),CG7*(1-ob11_1),CG7*(1-desc11_1)))</f>
        <v>308747.1600436939</v>
      </c>
      <c r="CH8" s="314">
        <f>IF(AND(desc11_1=0,ob11_1=0),CH7,
IF(AND(desc11_1=0,ob11_1&gt;0),CH7*(1-ob11_1),CH7*(1-desc11_1)))</f>
        <v>307292.69308336981</v>
      </c>
      <c r="CI8" s="314" t="s">
        <v>7</v>
      </c>
      <c r="CJ8" s="510" t="s">
        <v>305</v>
      </c>
      <c r="CK8" s="96"/>
      <c r="CL8" s="98" t="s">
        <v>206</v>
      </c>
      <c r="CM8" s="314">
        <f>IF(AND(desc12_1=0,ob12_1=0),CM7,
IF(AND(desc12_1=0,ob12_1&gt;0),CM7*(1-ob12_1),CM7*(1-desc12_1)))</f>
        <v>311080.53998220514</v>
      </c>
      <c r="CN8" s="314">
        <f>IF(AND(desc12_1=0,ob12_1=0),CN7,
IF(AND(desc12_1=0,ob12_1&gt;0),CN7*(1-ob12_1),CN7*(1-desc12_1)))</f>
        <v>309959.50471967034</v>
      </c>
      <c r="CO8" s="314">
        <f>IF(AND(desc12_1=0,ob12_1=0),CO7,
IF(AND(desc12_1=0,ob12_1&gt;0),CO7*(1-ob12_1),CO7*(1-desc12_1)))</f>
        <v>308747.1600436939</v>
      </c>
      <c r="CP8" s="314">
        <f>IF(AND(desc12_1=0,ob12_1=0),CP7,
IF(AND(desc12_1=0,ob12_1&gt;0),CP7*(1-ob12_1),CP7*(1-desc12_1)))</f>
        <v>307292.69308336981</v>
      </c>
      <c r="CQ8" s="314" t="s">
        <v>7</v>
      </c>
      <c r="CR8" s="510" t="s">
        <v>305</v>
      </c>
      <c r="CS8" s="96"/>
      <c r="CT8" s="98" t="s">
        <v>206</v>
      </c>
      <c r="CU8" s="314">
        <f>IF(AND(desc13_1=0,ob13_1=0),CU7,
IF(AND(desc13_1=0,ob13_1&gt;0),CU7*(1-ob13_1),CU7*(1-desc13_1)))</f>
        <v>311080.53998220514</v>
      </c>
      <c r="CV8" s="314">
        <f>IF(AND(desc13_1=0,ob13_1=0),CV7,
IF(AND(desc13_1=0,ob13_1&gt;0),CV7*(1-ob13_1),CV7*(1-desc13_1)))</f>
        <v>309959.50471967034</v>
      </c>
      <c r="CW8" s="314">
        <f>IF(AND(desc13_1=0,ob13_1=0),CW7,
IF(AND(desc13_1=0,ob13_1&gt;0),CW7*(1-ob13_1),CW7*(1-desc13_1)))</f>
        <v>308747.1600436939</v>
      </c>
      <c r="CX8" s="314">
        <f>IF(AND(desc13_1=0,ob13_1=0),CX7,
IF(AND(desc13_1=0,ob13_1&gt;0),CX7*(1-ob13_1),CX7*(1-desc13_1)))</f>
        <v>307292.69308336981</v>
      </c>
      <c r="CY8" s="314" t="s">
        <v>7</v>
      </c>
      <c r="CZ8" s="510" t="s">
        <v>305</v>
      </c>
      <c r="DA8" s="96"/>
      <c r="DB8" s="98" t="s">
        <v>206</v>
      </c>
      <c r="DC8" s="314">
        <f>IF(AND(desc14_1=0,ob14_1=0),DC7,
IF(AND(desc14_1=0,ob14_1&gt;0),DC7*(1-ob14_1),DC7*(1-desc14_1)))</f>
        <v>311080.53998220514</v>
      </c>
      <c r="DD8" s="314">
        <f>IF(AND(desc14_1=0,ob14_1=0),DD7,
IF(AND(desc14_1=0,ob14_1&gt;0),DD7*(1-ob14_1),DD7*(1-desc14_1)))</f>
        <v>309959.50471967034</v>
      </c>
      <c r="DE8" s="314">
        <f>IF(AND(desc14_1=0,ob14_1=0),DE7,
IF(AND(desc14_1=0,ob14_1&gt;0),DE7*(1-ob14_1),DE7*(1-desc14_1)))</f>
        <v>308747.1600436939</v>
      </c>
      <c r="DF8" s="314">
        <f>IF(AND(desc14_1=0,ob14_1=0),DF7,
IF(AND(desc14_1=0,ob14_1&gt;0),DF7*(1-ob14_1),DF7*(1-desc14_1)))</f>
        <v>307292.69308336981</v>
      </c>
      <c r="DG8" s="314" t="s">
        <v>7</v>
      </c>
      <c r="DH8" s="510" t="s">
        <v>305</v>
      </c>
      <c r="DI8" s="96"/>
    </row>
    <row r="9" spans="2:113" s="97" customFormat="1">
      <c r="B9" s="99" t="s">
        <v>207</v>
      </c>
      <c r="C9" s="80">
        <f>IF(ob1_1=0,0,
IF(desc1_1=0,C7*ob1_1,
IF(desc_por_ob="No",0,
IF(AND(desc_por_ob="Yes",ob1_1&gt;desc1_1),"wrong data",(C7*ob1_1)))))</f>
        <v>0</v>
      </c>
      <c r="D9" s="80">
        <f>IF(ob1_1=0,0,
IF(desc1_1=0,D7*ob1_1,
IF(desc_por_ob="No",0,
IF(AND(desc_por_ob="Yes",ob1_1&gt;desc1_1),"wrong data",(D7*ob1_1)))))</f>
        <v>0</v>
      </c>
      <c r="E9" s="80">
        <f>IF(ob1_1=0,0,
IF(desc1_1=0,E7*ob1_1,
IF(desc_por_ob="No",0,
IF(AND(desc_por_ob="Yes",ob1_1&gt;desc1_1),"wrong data",(E7*ob1_1)))))</f>
        <v>0</v>
      </c>
      <c r="F9" s="80">
        <f>IF(ob1_1=0,0,
IF(desc1_1=0,F7*ob1_1,
IF(desc_por_ob="No",0,
IF(AND(desc_por_ob="Yes",ob1_1&gt;desc1_1),"wrong data",(F7*ob1_1)))))</f>
        <v>0</v>
      </c>
      <c r="G9" s="80" t="s">
        <v>7</v>
      </c>
      <c r="H9" s="511"/>
      <c r="I9" s="96"/>
      <c r="J9" s="99" t="s">
        <v>207</v>
      </c>
      <c r="K9" s="80">
        <f>IF(ob2_1=0,0,
IF(desc2_1=0,K7*ob2_1,
IF(desc_por_ob="No",0,
IF(AND(desc_por_ob="Yes",ob2_1&gt;desc2_1),"wrong data",(K7*ob2_1)))))</f>
        <v>0</v>
      </c>
      <c r="L9" s="80">
        <f>IF(ob2_1=0,0,
IF(desc2_1=0,L7*ob2_1,
IF(desc_por_ob="No",0,
IF(AND(desc_por_ob="Yes",ob2_1&gt;desc2_1),"wrong data",(L7*ob2_1)))))</f>
        <v>0</v>
      </c>
      <c r="M9" s="80">
        <f>IF(ob2_1=0,0,
IF(desc2_1=0,M7*ob2_1,
IF(desc_por_ob="No",0,
IF(AND(desc_por_ob="Yes",ob2_1&gt;desc2_1),"wrong data",(M7*ob2_1)))))</f>
        <v>0</v>
      </c>
      <c r="N9" s="80">
        <f>IF(ob2_1=0,0,
IF(desc2_1=0,N7*ob2_1,
IF(desc_por_ob="No",0,
IF(AND(desc_por_ob="Yes",ob2_1&gt;desc2_1),"wrong data",(N7*ob2_1)))))</f>
        <v>0</v>
      </c>
      <c r="O9" s="80" t="s">
        <v>7</v>
      </c>
      <c r="P9" s="511"/>
      <c r="Q9" s="96"/>
      <c r="R9" s="99" t="s">
        <v>207</v>
      </c>
      <c r="S9" s="80">
        <f>IF(ob3_1=0,0,
IF(desc3_1=0,S7*ob3_1,
IF(desc_por_ob="No",0,
IF(AND(desc_por_ob="Yes",ob3_1&gt;desc3_1),"wrong data",(S7*ob3_1)))))</f>
        <v>0</v>
      </c>
      <c r="T9" s="80">
        <f>IF(ob3_1=0,0,
IF(desc3_1=0,T7*ob3_1,
IF(desc_por_ob="No",0,
IF(AND(desc_por_ob="Yes",ob3_1&gt;desc3_1),"wrong data",(T7*ob3_1)))))</f>
        <v>0</v>
      </c>
      <c r="U9" s="80">
        <f>IF(ob3_1=0,0,
IF(desc3_1=0,U7*ob3_1,
IF(desc_por_ob="No",0,
IF(AND(desc_por_ob="Yes",ob3_1&gt;desc3_1),"wrong data",(U7*ob3_1)))))</f>
        <v>0</v>
      </c>
      <c r="V9" s="80">
        <f>IF(ob3_1=0,0,
IF(desc3_1=0,V7*ob3_1,
IF(desc_por_ob="No",0,
IF(AND(desc_por_ob="Yes",ob3_1&gt;desc3_1),"wrong data",(V7*ob3_1)))))</f>
        <v>0</v>
      </c>
      <c r="W9" s="80" t="s">
        <v>7</v>
      </c>
      <c r="X9" s="511"/>
      <c r="Y9" s="96"/>
      <c r="Z9" s="99" t="s">
        <v>207</v>
      </c>
      <c r="AA9" s="80">
        <f>IF(ob4_1=0,0,
IF(desc4_1=0,AA7*ob4_1,
IF(desc_por_ob="No",0,
IF(AND(desc_por_ob="Yes",ob4_1&gt;desc4_1),"wrong data",(AA7*ob4_1)))))</f>
        <v>0</v>
      </c>
      <c r="AB9" s="80">
        <f>IF(ob4_1=0,0,
IF(desc4_1=0,AB7*ob4_1,
IF(desc_por_ob="No",0,
IF(AND(desc_por_ob="Yes",ob4_1&gt;desc4_1),"wrong data",(AB7*ob4_1)))))</f>
        <v>0</v>
      </c>
      <c r="AC9" s="80">
        <f>IF(ob4_1=0,0,
IF(desc4_1=0,AC7*ob4_1,
IF(desc_por_ob="No",0,
IF(AND(desc_por_ob="Yes",ob4_1&gt;desc4_1),"wrong data",(AC7*ob4_1)))))</f>
        <v>0</v>
      </c>
      <c r="AD9" s="80">
        <f>IF(ob4_1=0,0,
IF(desc4_1=0,AD7*ob4_1,
IF(desc_por_ob="No",0,
IF(AND(desc_por_ob="Yes",ob4_1&gt;desc4_1),"wrong data",(AD7*ob4_1)))))</f>
        <v>0</v>
      </c>
      <c r="AE9" s="80" t="s">
        <v>7</v>
      </c>
      <c r="AF9" s="511"/>
      <c r="AG9" s="96"/>
      <c r="AH9" s="99" t="s">
        <v>207</v>
      </c>
      <c r="AI9" s="80">
        <f>IF(ob5_1=0,0,
IF(desc5_1=0,AI7*ob5_1,
IF(desc_por_ob="No",0,
IF(AND(desc_por_ob="Yes",ob5_1&gt;desc5_1),"wrong data",(AI7*ob5_1)))))</f>
        <v>0</v>
      </c>
      <c r="AJ9" s="80">
        <f>IF(ob5_1=0,0,
IF(desc5_1=0,AJ7*ob5_1,
IF(desc_por_ob="No",0,
IF(AND(desc_por_ob="Yes",ob5_1&gt;desc5_1),"wrong data",(AJ7*ob5_1)))))</f>
        <v>0</v>
      </c>
      <c r="AK9" s="80">
        <f>IF(ob5_1=0,0,
IF(desc5_1=0,AK7*ob5_1,
IF(desc_por_ob="No",0,
IF(AND(desc_por_ob="Yes",ob5_1&gt;desc5_1),"wrong data",(AK7*ob5_1)))))</f>
        <v>0</v>
      </c>
      <c r="AL9" s="80">
        <f>IF(ob5_1=0,0,
IF(desc5_1=0,AL7*ob5_1,
IF(desc_por_ob="No",0,
IF(AND(desc_por_ob="Yes",ob5_1&gt;desc5_1),"wrong data",(AL7*ob5_1)))))</f>
        <v>0</v>
      </c>
      <c r="AM9" s="80" t="s">
        <v>7</v>
      </c>
      <c r="AN9" s="511"/>
      <c r="AO9" s="96"/>
      <c r="AP9" s="99" t="s">
        <v>207</v>
      </c>
      <c r="AQ9" s="80">
        <f>IF(ob6_1=0,0,
IF(desc6_1=0,AQ7*ob6_1,
IF(desc_por_ob="No",0,
IF(AND(desc_por_ob="Yes",ob6_1&gt;desc6_1),"wrong data",(AQ7*ob6_1)))))</f>
        <v>0</v>
      </c>
      <c r="AR9" s="80">
        <f>IF(ob6_1=0,0,
IF(desc6_1=0,AR7*ob6_1,
IF(desc_por_ob="No",0,
IF(AND(desc_por_ob="Yes",ob6_1&gt;desc6_1),"wrong data",(AR7*ob6_1)))))</f>
        <v>0</v>
      </c>
      <c r="AS9" s="80">
        <f>IF(ob6_1=0,0,
IF(desc6_1=0,AS7*ob6_1,
IF(desc_por_ob="No",0,
IF(AND(desc_por_ob="Yes",ob6_1&gt;desc6_1),"wrong data",(AS7*ob6_1)))))</f>
        <v>0</v>
      </c>
      <c r="AT9" s="80">
        <f>IF(ob6_1=0,0,
IF(desc6_1=0,AT7*ob6_1,
IF(desc_por_ob="No",0,
IF(AND(desc_por_ob="Yes",ob6_1&gt;desc6_1),"wrong data",(AT7*ob6_1)))))</f>
        <v>0</v>
      </c>
      <c r="AU9" s="80" t="s">
        <v>7</v>
      </c>
      <c r="AV9" s="511"/>
      <c r="AW9" s="96"/>
      <c r="AX9" s="99" t="s">
        <v>207</v>
      </c>
      <c r="AY9" s="80">
        <f>IF(ob7_1=0,0,
IF(desc7_1=0,AY7*ob7_1,
IF(desc_por_ob="No",0,
IF(AND(desc_por_ob="Yes",ob7_1&gt;desc7_1),"wrong data",(AY7*ob7_1)))))</f>
        <v>0</v>
      </c>
      <c r="AZ9" s="80">
        <f>IF(ob7_1=0,0,
IF(desc7_1=0,AZ7*ob7_1,
IF(desc_por_ob="No",0,
IF(AND(desc_por_ob="Yes",ob7_1&gt;desc7_1),"wrong data",(AZ7*ob7_1)))))</f>
        <v>0</v>
      </c>
      <c r="BA9" s="80">
        <f>IF(ob7_1=0,0,
IF(desc7_1=0,BA7*ob7_1,
IF(desc_por_ob="No",0,
IF(AND(desc_por_ob="Yes",ob7_1&gt;desc7_1),"wrong data",(BA7*ob7_1)))))</f>
        <v>0</v>
      </c>
      <c r="BB9" s="80">
        <f>IF(ob7_1=0,0,
IF(desc7_1=0,BB7*ob7_1,
IF(desc_por_ob="No",0,
IF(AND(desc_por_ob="Yes",ob7_1&gt;desc7_1),"wrong data",(BB7*ob7_1)))))</f>
        <v>0</v>
      </c>
      <c r="BC9" s="80" t="s">
        <v>7</v>
      </c>
      <c r="BD9" s="511"/>
      <c r="BE9" s="96"/>
      <c r="BF9" s="99" t="s">
        <v>207</v>
      </c>
      <c r="BG9" s="80">
        <f>IF(ob8_1=0,0,
IF(desc8_1=0,BG7*ob8_1,
IF(desc_por_ob="No",0,
IF(AND(desc_por_ob="Yes",ob8_1&gt;desc8_1),"wrong data",(BG7*ob8_1)))))</f>
        <v>0</v>
      </c>
      <c r="BH9" s="80">
        <f>IF(ob8_1=0,0,
IF(desc8_1=0,BH7*ob8_1,
IF(desc_por_ob="No",0,
IF(AND(desc_por_ob="Yes",ob8_1&gt;desc8_1),"wrong data",(BH7*ob8_1)))))</f>
        <v>0</v>
      </c>
      <c r="BI9" s="80">
        <f>IF(ob8_1=0,0,
IF(desc8_1=0,BI7*ob8_1,
IF(desc_por_ob="No",0,
IF(AND(desc_por_ob="Yes",ob8_1&gt;desc8_1),"wrong data",(BI7*ob8_1)))))</f>
        <v>0</v>
      </c>
      <c r="BJ9" s="80">
        <f>IF(ob8_1=0,0,
IF(desc8_1=0,BJ7*ob8_1,
IF(desc_por_ob="No",0,
IF(AND(desc_por_ob="Yes",ob8_1&gt;desc8_1),"wrong data",(BJ7*ob8_1)))))</f>
        <v>0</v>
      </c>
      <c r="BK9" s="80" t="s">
        <v>7</v>
      </c>
      <c r="BL9" s="511"/>
      <c r="BM9" s="96"/>
      <c r="BN9" s="99" t="s">
        <v>207</v>
      </c>
      <c r="BO9" s="80">
        <f>IF(ob9_1=0,0,
IF(desc9_1=0,BO7*ob9_1,
IF(desc_por_ob="No",0,
IF(AND(desc_por_ob="Yes",ob9_1&gt;desc9_1),"wrong data",(BO7*ob9_1)))))</f>
        <v>0</v>
      </c>
      <c r="BP9" s="80">
        <f>IF(ob9_1=0,0,
IF(desc9_1=0,BP7*ob9_1,
IF(desc_por_ob="No",0,
IF(AND(desc_por_ob="Yes",ob9_1&gt;desc9_1),"wrong data",(BP7*ob9_1)))))</f>
        <v>0</v>
      </c>
      <c r="BQ9" s="80">
        <f>IF(ob9_1=0,0,
IF(desc9_1=0,BQ7*ob9_1,
IF(desc_por_ob="No",0,
IF(AND(desc_por_ob="Yes",ob9_1&gt;desc9_1),"wrong data",(BQ7*ob9_1)))))</f>
        <v>0</v>
      </c>
      <c r="BR9" s="80">
        <f>IF(ob9_1=0,0,
IF(desc9_1=0,BR7*ob9_1,
IF(desc_por_ob="No",0,
IF(AND(desc_por_ob="Yes",ob9_1&gt;desc9_1),"wrong data",(BR7*ob9_1)))))</f>
        <v>0</v>
      </c>
      <c r="BS9" s="80" t="s">
        <v>7</v>
      </c>
      <c r="BT9" s="511"/>
      <c r="BU9" s="96"/>
      <c r="BV9" s="99" t="s">
        <v>207</v>
      </c>
      <c r="BW9" s="80">
        <f>IF(ob10_1=0,0,
IF(desc10_1=0,BW7*ob10_1,
IF(desc_por_ob="No",0,
IF(AND(desc_por_ob="Yes",ob10_1&gt;desc10_1),"wrong data",(BW7*ob10_1)))))</f>
        <v>0</v>
      </c>
      <c r="BX9" s="80">
        <f>IF(ob10_1=0,0,
IF(desc10_1=0,BX7*ob10_1,
IF(desc_por_ob="No",0,
IF(AND(desc_por_ob="Yes",ob10_1&gt;desc10_1),"wrong data",(BX7*ob10_1)))))</f>
        <v>0</v>
      </c>
      <c r="BY9" s="80">
        <f>IF(ob10_1=0,0,
IF(desc10_1=0,BY7*ob10_1,
IF(desc_por_ob="No",0,
IF(AND(desc_por_ob="Yes",ob10_1&gt;desc10_1),"wrong data",(BY7*ob10_1)))))</f>
        <v>0</v>
      </c>
      <c r="BZ9" s="80">
        <f>IF(ob10_1=0,0,
IF(desc10_1=0,BZ7*ob10_1,
IF(desc_por_ob="No",0,
IF(AND(desc_por_ob="Yes",ob10_1&gt;desc10_1),"wrong data",(BZ7*ob10_1)))))</f>
        <v>0</v>
      </c>
      <c r="CA9" s="80" t="s">
        <v>7</v>
      </c>
      <c r="CB9" s="511"/>
      <c r="CC9" s="96"/>
      <c r="CD9" s="99" t="s">
        <v>207</v>
      </c>
      <c r="CE9" s="80">
        <f>IF(ob11_1=0,0,
IF(desc11_1=0,CE7*ob11_1,
IF(desc_por_ob="No",0,
IF(AND(desc_por_ob="Yes",ob11_1&gt;desc11_1),"wrong data",(CE7*ob11_1)))))</f>
        <v>0</v>
      </c>
      <c r="CF9" s="80">
        <f>IF(ob11_1=0,0,
IF(desc11_1=0,CF7*ob11_1,
IF(desc_por_ob="No",0,
IF(AND(desc_por_ob="Yes",ob11_1&gt;desc11_1),"wrong data",(CF7*ob11_1)))))</f>
        <v>0</v>
      </c>
      <c r="CG9" s="80">
        <f>IF(ob11_1=0,0,
IF(desc11_1=0,CG7*ob11_1,
IF(desc_por_ob="No",0,
IF(AND(desc_por_ob="Yes",ob11_1&gt;desc11_1),"wrong data",(CG7*ob11_1)))))</f>
        <v>0</v>
      </c>
      <c r="CH9" s="80">
        <f>IF(ob11_1=0,0,
IF(desc11_1=0,CH7*ob11_1,
IF(desc_por_ob="No",0,
IF(AND(desc_por_ob="Yes",ob11_1&gt;desc11_1),"wrong data",(CH7*ob11_1)))))</f>
        <v>0</v>
      </c>
      <c r="CI9" s="80" t="s">
        <v>7</v>
      </c>
      <c r="CJ9" s="511"/>
      <c r="CK9" s="96"/>
      <c r="CL9" s="99" t="s">
        <v>207</v>
      </c>
      <c r="CM9" s="80">
        <f>IF(ob12_1=0,0,
IF(desc12_1=0,CM7*ob12_1,
IF(desc_por_ob="No",0,
IF(AND(desc_por_ob="Yes",ob12_1&gt;desc12_1),"wrong data",(CM7*ob12_1)))))</f>
        <v>0</v>
      </c>
      <c r="CN9" s="80">
        <f>IF(ob12_1=0,0,
IF(desc12_1=0,CN7*ob12_1,
IF(desc_por_ob="No",0,
IF(AND(desc_por_ob="Yes",ob12_1&gt;desc12_1),"wrong data",(CN7*ob12_1)))))</f>
        <v>0</v>
      </c>
      <c r="CO9" s="80">
        <f>IF(ob12_1=0,0,
IF(desc12_1=0,CO7*ob12_1,
IF(desc_por_ob="No",0,
IF(AND(desc_por_ob="Yes",ob12_1&gt;desc12_1),"wrong data",(CO7*ob12_1)))))</f>
        <v>0</v>
      </c>
      <c r="CP9" s="80">
        <f>IF(ob12_1=0,0,
IF(desc12_1=0,CP7*ob12_1,
IF(desc_por_ob="No",0,
IF(AND(desc_por_ob="Yes",ob12_1&gt;desc12_1),"wrong data",(CP7*ob12_1)))))</f>
        <v>0</v>
      </c>
      <c r="CQ9" s="80" t="s">
        <v>7</v>
      </c>
      <c r="CR9" s="511"/>
      <c r="CS9" s="96"/>
      <c r="CT9" s="99" t="s">
        <v>207</v>
      </c>
      <c r="CU9" s="80">
        <f>IF(ob13_1=0,0,
IF(desc13_1=0,CU7*ob13_1,
IF(desc_por_ob="No",0,
IF(AND(desc_por_ob="Yes",ob13_1&gt;desc13_1),"wrong data",(CU7*ob13_1)))))</f>
        <v>0</v>
      </c>
      <c r="CV9" s="80">
        <f>IF(ob13_1=0,0,
IF(desc13_1=0,CV7*ob13_1,
IF(desc_por_ob="No",0,
IF(AND(desc_por_ob="Yes",ob13_1&gt;desc13_1),"wrong data",(CV7*ob13_1)))))</f>
        <v>0</v>
      </c>
      <c r="CW9" s="80">
        <f>IF(ob13_1=0,0,
IF(desc13_1=0,CW7*ob13_1,
IF(desc_por_ob="No",0,
IF(AND(desc_por_ob="Yes",ob13_1&gt;desc13_1),"wrong data",(CW7*ob13_1)))))</f>
        <v>0</v>
      </c>
      <c r="CX9" s="80">
        <f>IF(ob13_1=0,0,
IF(desc13_1=0,CX7*ob13_1,
IF(desc_por_ob="No",0,
IF(AND(desc_por_ob="Yes",ob13_1&gt;desc13_1),"wrong data",(CX7*ob13_1)))))</f>
        <v>0</v>
      </c>
      <c r="CY9" s="80" t="s">
        <v>7</v>
      </c>
      <c r="CZ9" s="511"/>
      <c r="DA9" s="96"/>
      <c r="DB9" s="99" t="s">
        <v>207</v>
      </c>
      <c r="DC9" s="80">
        <f>IF(ob14_1=0,0,
IF(desc14_1=0,DC7*ob14_1,
IF(desc_por_ob="No",0,
IF(AND(desc_por_ob="Yes",ob14_1&gt;desc14_1),"wrong data",(DC7*ob14_1)))))</f>
        <v>0</v>
      </c>
      <c r="DD9" s="80">
        <f>IF(ob14_1=0,0,
IF(desc14_1=0,DD7*ob14_1,
IF(desc_por_ob="No",0,
IF(AND(desc_por_ob="Yes",ob14_1&gt;desc14_1),"wrong data",(DD7*ob14_1)))))</f>
        <v>0</v>
      </c>
      <c r="DE9" s="80">
        <f>IF(ob14_1=0,0,
IF(desc14_1=0,DE7*ob14_1,
IF(desc_por_ob="No",0,
IF(AND(desc_por_ob="Yes",ob14_1&gt;desc14_1),"wrong data",(DE7*ob14_1)))))</f>
        <v>0</v>
      </c>
      <c r="DF9" s="80">
        <f>IF(ob14_1=0,0,
IF(desc14_1=0,DF7*ob14_1,
IF(desc_por_ob="No",0,
IF(AND(desc_por_ob="Yes",ob14_1&gt;desc14_1),"wrong data",(DF7*ob14_1)))))</f>
        <v>0</v>
      </c>
      <c r="DG9" s="80" t="s">
        <v>7</v>
      </c>
      <c r="DH9" s="511"/>
      <c r="DI9" s="96"/>
    </row>
    <row r="10" spans="2:113" s="97" customFormat="1" ht="15" thickBot="1">
      <c r="B10" s="100" t="str">
        <f>IF(OR(uso=3,uso=4),"Progressed","Discontinued")</f>
        <v>Discontinued</v>
      </c>
      <c r="C10" s="315">
        <f>IF(desc1_1=0,0,
IF(AND(desc_por_ob="Yes",ob1_1&gt;desc1_1),"wrong data",C7-C8-C9))</f>
        <v>0</v>
      </c>
      <c r="D10" s="315">
        <f>IF(desc1_1=0,0,
IF(AND(desc_por_ob="Yes",ob1_1&gt;desc1_1),"wrong data",D7-D8-D9))</f>
        <v>0</v>
      </c>
      <c r="E10" s="315">
        <f>IF(desc1_1=0,0,
IF(AND(desc_por_ob="Yes",ob1_1&gt;desc1_1),"wrong data",E7-E8-E9))</f>
        <v>0</v>
      </c>
      <c r="F10" s="315">
        <f>IF(desc1_1=0,0,
IF(AND(desc_por_ob="Yes",ob1_1&gt;desc1_1),"wrong data",F7-F8-F9))</f>
        <v>0</v>
      </c>
      <c r="G10" s="315" t="s">
        <v>7</v>
      </c>
      <c r="H10" s="512"/>
      <c r="I10" s="96"/>
      <c r="J10" s="100" t="str">
        <f>IF(OR(uso=3,uso=4),"Progressed","Discontinued")</f>
        <v>Discontinued</v>
      </c>
      <c r="K10" s="315">
        <f>IF(desc2_1=0,0,
IF(AND(desc_por_ob="Yes",ob2_1&gt;desc2_1),"wrong data",K7-K8-K9))</f>
        <v>0</v>
      </c>
      <c r="L10" s="315">
        <f>IF(desc2_1=0,0,
IF(AND(desc_por_ob="Yes",ob2_1&gt;desc2_1),"wrong data",L7-L8-L9))</f>
        <v>0</v>
      </c>
      <c r="M10" s="315">
        <f>IF(desc2_1=0,0,
IF(AND(desc_por_ob="Yes",ob2_1&gt;desc2_1),"wrong data",M7-M8-M9))</f>
        <v>0</v>
      </c>
      <c r="N10" s="315">
        <f>IF(desc2_1=0,0,
IF(AND(desc_por_ob="Yes",ob2_1&gt;desc2_1),"wrong data",N7-N8-N9))</f>
        <v>0</v>
      </c>
      <c r="O10" s="315" t="s">
        <v>7</v>
      </c>
      <c r="P10" s="512"/>
      <c r="Q10" s="96"/>
      <c r="R10" s="100" t="s">
        <v>208</v>
      </c>
      <c r="S10" s="315">
        <f>IF(desc3_1=0,0,
IF(AND(desc_por_ob="Yes",ob3_1&gt;desc3_1),"wrong data",S7-S8-S9))</f>
        <v>0</v>
      </c>
      <c r="T10" s="315">
        <f>IF(desc3_1=0,0,
IF(AND(desc_por_ob="Yes",ob3_1&gt;desc3_1),"wrong data",T7-T8-T9))</f>
        <v>0</v>
      </c>
      <c r="U10" s="315">
        <f>IF(desc3_1=0,0,
IF(AND(desc_por_ob="Yes",ob3_1&gt;desc3_1),"wrong data",U7-U8-U9))</f>
        <v>0</v>
      </c>
      <c r="V10" s="315">
        <f>IF(desc3_1=0,0,
IF(AND(desc_por_ob="Yes",ob3_1&gt;desc3_1),"wrong data",V7-V8-V9))</f>
        <v>0</v>
      </c>
      <c r="W10" s="315" t="s">
        <v>7</v>
      </c>
      <c r="X10" s="512"/>
      <c r="Y10" s="96"/>
      <c r="Z10" s="100" t="s">
        <v>208</v>
      </c>
      <c r="AA10" s="315">
        <f>IF(desc4_1=0,0,
IF(AND(desc_por_ob="Yes",ob4_1&gt;desc4_1),"wrong data",AA7-AA8-AA9))</f>
        <v>0</v>
      </c>
      <c r="AB10" s="315">
        <f>IF(desc4_1=0,0,
IF(AND(desc_por_ob="Yes",ob4_1&gt;desc4_1),"wrong data",AB7-AB8-AB9))</f>
        <v>0</v>
      </c>
      <c r="AC10" s="315">
        <f>IF(desc4_1=0,0,
IF(AND(desc_por_ob="Yes",ob4_1&gt;desc4_1),"wrong data",AC7-AC8-AC9))</f>
        <v>0</v>
      </c>
      <c r="AD10" s="315">
        <f>IF(desc4_1=0,0,
IF(AND(desc_por_ob="Yes",ob4_1&gt;desc4_1),"wrong data",AD7-AD8-AD9))</f>
        <v>0</v>
      </c>
      <c r="AE10" s="315" t="s">
        <v>7</v>
      </c>
      <c r="AF10" s="512"/>
      <c r="AG10" s="96"/>
      <c r="AH10" s="100" t="s">
        <v>208</v>
      </c>
      <c r="AI10" s="315">
        <f>IF(desc5_1=0,0,
IF(AND(desc_por_ob="Yes",ob5_1&gt;desc5_1),"wrong data",AI7-AI8-AI9))</f>
        <v>0</v>
      </c>
      <c r="AJ10" s="315">
        <f>IF(desc5_1=0,0,
IF(AND(desc_por_ob="Yes",ob5_1&gt;desc5_1),"wrong data",AJ7-AJ8-AJ9))</f>
        <v>0</v>
      </c>
      <c r="AK10" s="315">
        <f>IF(desc5_1=0,0,
IF(AND(desc_por_ob="Yes",ob5_1&gt;desc5_1),"wrong data",AK7-AK8-AK9))</f>
        <v>0</v>
      </c>
      <c r="AL10" s="315">
        <f>IF(desc5_1=0,0,
IF(AND(desc_por_ob="Yes",ob5_1&gt;desc5_1),"wrong data",AL7-AL8-AL9))</f>
        <v>0</v>
      </c>
      <c r="AM10" s="315" t="s">
        <v>7</v>
      </c>
      <c r="AN10" s="512"/>
      <c r="AO10" s="96"/>
      <c r="AP10" s="100" t="s">
        <v>208</v>
      </c>
      <c r="AQ10" s="315">
        <f>IF(desc6_1=0,0,
IF(AND(desc_por_ob="Yes",ob6_1&gt;desc6_1),"wrong data",AQ7-AQ8-AQ9))</f>
        <v>0</v>
      </c>
      <c r="AR10" s="315">
        <f>IF(desc6_1=0,0,
IF(AND(desc_por_ob="Yes",ob6_1&gt;desc6_1),"wrong data",AR7-AR8-AR9))</f>
        <v>0</v>
      </c>
      <c r="AS10" s="315">
        <f>IF(desc6_1=0,0,
IF(AND(desc_por_ob="Yes",ob6_1&gt;desc6_1),"wrong data",AS7-AS8-AS9))</f>
        <v>0</v>
      </c>
      <c r="AT10" s="315">
        <f>IF(desc6_1=0,0,
IF(AND(desc_por_ob="Yes",ob6_1&gt;desc6_1),"wrong data",AT7-AT8-AT9))</f>
        <v>0</v>
      </c>
      <c r="AU10" s="315" t="s">
        <v>7</v>
      </c>
      <c r="AV10" s="512"/>
      <c r="AW10" s="96"/>
      <c r="AX10" s="100" t="s">
        <v>208</v>
      </c>
      <c r="AY10" s="315">
        <f>IF(desc7_1=0,0,
IF(AND(desc_por_ob="Yes",ob7_1&gt;desc7_1),"wrong data",AY7-AY8-AY9))</f>
        <v>0</v>
      </c>
      <c r="AZ10" s="315">
        <f>IF(desc7_1=0,0,
IF(AND(desc_por_ob="Yes",ob7_1&gt;desc7_1),"wrong data",AZ7-AZ8-AZ9))</f>
        <v>0</v>
      </c>
      <c r="BA10" s="315">
        <f>IF(desc7_1=0,0,
IF(AND(desc_por_ob="Yes",ob7_1&gt;desc7_1),"wrong data",BA7-BA8-BA9))</f>
        <v>0</v>
      </c>
      <c r="BB10" s="315">
        <f>IF(desc7_1=0,0,
IF(AND(desc_por_ob="Yes",ob7_1&gt;desc7_1),"wrong data",BB7-BB8-BB9))</f>
        <v>0</v>
      </c>
      <c r="BC10" s="315" t="s">
        <v>7</v>
      </c>
      <c r="BD10" s="512"/>
      <c r="BE10" s="96"/>
      <c r="BF10" s="100" t="s">
        <v>208</v>
      </c>
      <c r="BG10" s="315">
        <f>IF(desc8_1=0,0,
IF(AND(desc_por_ob="Yes",ob8_1&gt;desc8_1),"wrong data",BG7-BG8-BG9))</f>
        <v>0</v>
      </c>
      <c r="BH10" s="315">
        <f>IF(desc8_1=0,0,
IF(AND(desc_por_ob="Yes",ob8_1&gt;desc8_1),"wrong data",BH7-BH8-BH9))</f>
        <v>0</v>
      </c>
      <c r="BI10" s="315">
        <f>IF(desc8_1=0,0,
IF(AND(desc_por_ob="Yes",ob8_1&gt;desc8_1),"wrong data",BI7-BI8-BI9))</f>
        <v>0</v>
      </c>
      <c r="BJ10" s="315">
        <f>IF(desc8_1=0,0,
IF(AND(desc_por_ob="Yes",ob8_1&gt;desc8_1),"wrong data",BJ7-BJ8-BJ9))</f>
        <v>0</v>
      </c>
      <c r="BK10" s="315" t="s">
        <v>7</v>
      </c>
      <c r="BL10" s="512"/>
      <c r="BM10" s="96"/>
      <c r="BN10" s="100" t="s">
        <v>208</v>
      </c>
      <c r="BO10" s="315">
        <f>IF(desc9_1=0,0,
IF(AND(desc_por_ob="Yes",ob9_1&gt;desc9_1),"wrong data",BO7-BO8-BO9))</f>
        <v>0</v>
      </c>
      <c r="BP10" s="315">
        <f>IF(desc9_1=0,0,
IF(AND(desc_por_ob="Yes",ob9_1&gt;desc9_1),"wrong data",BP7-BP8-BP9))</f>
        <v>0</v>
      </c>
      <c r="BQ10" s="315">
        <f>IF(desc9_1=0,0,
IF(AND(desc_por_ob="Yes",ob9_1&gt;desc9_1),"wrong data",BQ7-BQ8-BQ9))</f>
        <v>0</v>
      </c>
      <c r="BR10" s="315">
        <f>IF(desc9_1=0,0,
IF(AND(desc_por_ob="Yes",ob9_1&gt;desc9_1),"wrong data",BR7-BR8-BR9))</f>
        <v>0</v>
      </c>
      <c r="BS10" s="315" t="s">
        <v>7</v>
      </c>
      <c r="BT10" s="512"/>
      <c r="BU10" s="96"/>
      <c r="BV10" s="100" t="s">
        <v>208</v>
      </c>
      <c r="BW10" s="315">
        <f>IF(desc10_1=0,0,
IF(AND(desc_por_ob="Yes",ob10_1&gt;desc10_1),"wrong data",BW7-BW8-BW9))</f>
        <v>0</v>
      </c>
      <c r="BX10" s="315">
        <f>IF(desc10_1=0,0,
IF(AND(desc_por_ob="Yes",ob10_1&gt;desc10_1),"wrong data",BX7-BX8-BX9))</f>
        <v>0</v>
      </c>
      <c r="BY10" s="315">
        <f>IF(desc10_1=0,0,
IF(AND(desc_por_ob="Yes",ob10_1&gt;desc10_1),"wrong data",BY7-BY8-BY9))</f>
        <v>0</v>
      </c>
      <c r="BZ10" s="315">
        <f>IF(desc10_1=0,0,
IF(AND(desc_por_ob="Yes",ob10_1&gt;desc10_1),"wrong data",BZ7-BZ8-BZ9))</f>
        <v>0</v>
      </c>
      <c r="CA10" s="315" t="s">
        <v>7</v>
      </c>
      <c r="CB10" s="512"/>
      <c r="CC10" s="96"/>
      <c r="CD10" s="100" t="s">
        <v>208</v>
      </c>
      <c r="CE10" s="315">
        <f>IF(desc11_1=0,0,
IF(AND(desc_por_ob="Yes",ob11_1&gt;desc11_1),"wrong data",CE7-CE8-CE9))</f>
        <v>0</v>
      </c>
      <c r="CF10" s="315">
        <f>IF(desc11_1=0,0,
IF(AND(desc_por_ob="Yes",ob11_1&gt;desc11_1),"wrong data",CF7-CF8-CF9))</f>
        <v>0</v>
      </c>
      <c r="CG10" s="315">
        <f>IF(desc11_1=0,0,
IF(AND(desc_por_ob="Yes",ob11_1&gt;desc11_1),"wrong data",CG7-CG8-CG9))</f>
        <v>0</v>
      </c>
      <c r="CH10" s="315">
        <f>IF(desc11_1=0,0,
IF(AND(desc_por_ob="Yes",ob11_1&gt;desc11_1),"wrong data",CH7-CH8-CH9))</f>
        <v>0</v>
      </c>
      <c r="CI10" s="315" t="s">
        <v>7</v>
      </c>
      <c r="CJ10" s="512"/>
      <c r="CK10" s="96"/>
      <c r="CL10" s="100" t="s">
        <v>208</v>
      </c>
      <c r="CM10" s="315">
        <f>IF(desc12_1=0,0,
IF(AND(desc_por_ob="Yes",ob12_1&gt;desc12_1),"wrong data",CM7-CM8-CM9))</f>
        <v>0</v>
      </c>
      <c r="CN10" s="315">
        <f>IF(desc12_1=0,0,
IF(AND(desc_por_ob="Yes",ob12_1&gt;desc12_1),"wrong data",CN7-CN8-CN9))</f>
        <v>0</v>
      </c>
      <c r="CO10" s="315">
        <f>IF(desc12_1=0,0,
IF(AND(desc_por_ob="Yes",ob12_1&gt;desc12_1),"wrong data",CO7-CO8-CO9))</f>
        <v>0</v>
      </c>
      <c r="CP10" s="315">
        <f>IF(desc12_1=0,0,
IF(AND(desc_por_ob="Yes",ob12_1&gt;desc12_1),"wrong data",CP7-CP8-CP9))</f>
        <v>0</v>
      </c>
      <c r="CQ10" s="315" t="s">
        <v>7</v>
      </c>
      <c r="CR10" s="512"/>
      <c r="CS10" s="96"/>
      <c r="CT10" s="100" t="s">
        <v>208</v>
      </c>
      <c r="CU10" s="315">
        <f>IF(desc13_1=0,0,
IF(AND(desc_por_ob="Yes",ob13_1&gt;desc13_1),"wrong data",CU7-CU8-CU9))</f>
        <v>0</v>
      </c>
      <c r="CV10" s="315">
        <f>IF(desc13_1=0,0,
IF(AND(desc_por_ob="Yes",ob13_1&gt;desc13_1),"wrong data",CV7-CV8-CV9))</f>
        <v>0</v>
      </c>
      <c r="CW10" s="315">
        <f>IF(desc13_1=0,0,
IF(AND(desc_por_ob="Yes",ob13_1&gt;desc13_1),"wrong data",CW7-CW8-CW9))</f>
        <v>0</v>
      </c>
      <c r="CX10" s="315">
        <f>IF(desc13_1=0,0,
IF(AND(desc_por_ob="Yes",ob13_1&gt;desc13_1),"wrong data",CX7-CX8-CX9))</f>
        <v>0</v>
      </c>
      <c r="CY10" s="315" t="s">
        <v>7</v>
      </c>
      <c r="CZ10" s="512"/>
      <c r="DA10" s="96"/>
      <c r="DB10" s="100" t="s">
        <v>208</v>
      </c>
      <c r="DC10" s="315">
        <f>IF(desc14_1=0,0,
IF(AND(desc_por_ob="Yes",ob14_1&gt;desc14_1),"wrong data",DC7-DC8-DC9))</f>
        <v>0</v>
      </c>
      <c r="DD10" s="315">
        <f>IF(desc14_1=0,0,
IF(AND(desc_por_ob="Yes",ob14_1&gt;desc14_1),"wrong data",DD7-DD8-DD9))</f>
        <v>0</v>
      </c>
      <c r="DE10" s="315">
        <f>IF(desc14_1=0,0,
IF(AND(desc_por_ob="Yes",ob14_1&gt;desc14_1),"wrong data",DE7-DE8-DE9))</f>
        <v>0</v>
      </c>
      <c r="DF10" s="315">
        <f>IF(desc14_1=0,0,
IF(AND(desc_por_ob="Yes",ob14_1&gt;desc14_1),"wrong data",DF7-DF8-DF9))</f>
        <v>0</v>
      </c>
      <c r="DG10" s="315" t="s">
        <v>7</v>
      </c>
      <c r="DH10" s="512"/>
      <c r="DI10" s="96"/>
    </row>
    <row r="11" spans="2:113" s="97" customFormat="1" ht="15" customHeight="1">
      <c r="B11" s="98" t="str">
        <f>IF(OR(uso=3,uso=4),"Progression-free","On treatment")</f>
        <v>On treatment</v>
      </c>
      <c r="C11" s="314">
        <f>IF(AND(desc1_2=0,ob1_2=0),C8,
IF(AND(desc1_2=0,ob1_2&gt;0),C7*(1-ob1_2),C7*(1-desc1_2)))</f>
        <v>311080.53998220514</v>
      </c>
      <c r="D11" s="314">
        <f>IF(AND(desc1_2=0,ob1_2=0),D8,
IF(AND(desc1_2=0,ob1_2&gt;0),D7*(1-ob1_2),D7*(1-desc1_2)))</f>
        <v>309959.50471967034</v>
      </c>
      <c r="E11" s="314">
        <f>IF(AND(desc1_2=0,ob1_2=0),E8,
IF(AND(desc1_2=0,ob1_2&gt;0),E7*(1-ob1_2),E7*(1-desc1_2)))</f>
        <v>308747.1600436939</v>
      </c>
      <c r="F11" s="314" t="s">
        <v>7</v>
      </c>
      <c r="G11" s="314" t="s">
        <v>7</v>
      </c>
      <c r="H11" s="510" t="s">
        <v>306</v>
      </c>
      <c r="I11" s="96"/>
      <c r="J11" s="98" t="str">
        <f>IF(OR(uso=3,uso=4),"Progression-free","On treatment")</f>
        <v>On treatment</v>
      </c>
      <c r="K11" s="314">
        <f>IF(AND(desc2_2=0,ob2_2=0),K8,
IF(AND(desc2_2=0,ob2_2&gt;0),K7*(1-ob2_2),K7*(1-desc2_2)))</f>
        <v>311080.53998220514</v>
      </c>
      <c r="L11" s="314">
        <f>IF(AND(desc2_2=0,ob2_2=0),L8,
IF(AND(desc2_2=0,ob2_2&gt;0),L7*(1-ob2_2),L7*(1-desc2_2)))</f>
        <v>309959.50471967034</v>
      </c>
      <c r="M11" s="314">
        <f>IF(AND(desc2_2=0,ob2_2=0),M8,
IF(AND(desc2_2=0,ob2_2&gt;0),M7*(1-ob2_2),M7*(1-desc2_2)))</f>
        <v>308747.1600436939</v>
      </c>
      <c r="N11" s="314" t="s">
        <v>7</v>
      </c>
      <c r="O11" s="314" t="s">
        <v>7</v>
      </c>
      <c r="P11" s="510" t="s">
        <v>306</v>
      </c>
      <c r="Q11" s="96"/>
      <c r="R11" s="98" t="s">
        <v>206</v>
      </c>
      <c r="S11" s="314">
        <f>IF(AND(desc3_2=0,ob3_2=0),S8,
IF(AND(desc3_2=0,ob3_2&gt;0),S7*(1-ob3_2),S7*(1-desc3_2)))</f>
        <v>311080.53998220514</v>
      </c>
      <c r="T11" s="314">
        <f>IF(AND(desc3_2=0,ob3_2=0),T8,
IF(AND(desc3_2=0,ob3_2&gt;0),T7*(1-ob3_2),T7*(1-desc3_2)))</f>
        <v>309959.50471967034</v>
      </c>
      <c r="U11" s="314">
        <f>IF(AND(desc3_2=0,ob3_2=0),U8,
IF(AND(desc3_2=0,ob3_2&gt;0),U7*(1-ob3_2),U7*(1-desc3_2)))</f>
        <v>308747.1600436939</v>
      </c>
      <c r="V11" s="314" t="s">
        <v>7</v>
      </c>
      <c r="W11" s="314" t="s">
        <v>7</v>
      </c>
      <c r="X11" s="510" t="s">
        <v>306</v>
      </c>
      <c r="Y11" s="96"/>
      <c r="Z11" s="98" t="s">
        <v>206</v>
      </c>
      <c r="AA11" s="314">
        <f>IF(AND(desc4_2=0,ob4_2=0),AA8,
IF(AND(desc4_2=0,ob4_2&gt;0),AA7*(1-ob4_2),AA7*(1-desc4_2)))</f>
        <v>311080.53998220514</v>
      </c>
      <c r="AB11" s="314">
        <f>IF(AND(desc4_2=0,ob4_2=0),AB8,
IF(AND(desc4_2=0,ob4_2&gt;0),AB7*(1-ob4_2),AB7*(1-desc4_2)))</f>
        <v>309959.50471967034</v>
      </c>
      <c r="AC11" s="314">
        <f>IF(AND(desc4_2=0,ob4_2=0),AC8,
IF(AND(desc4_2=0,ob4_2&gt;0),AC7*(1-ob4_2),AC7*(1-desc4_2)))</f>
        <v>308747.1600436939</v>
      </c>
      <c r="AD11" s="314" t="s">
        <v>7</v>
      </c>
      <c r="AE11" s="314" t="s">
        <v>7</v>
      </c>
      <c r="AF11" s="510" t="s">
        <v>306</v>
      </c>
      <c r="AG11" s="96"/>
      <c r="AH11" s="98" t="s">
        <v>206</v>
      </c>
      <c r="AI11" s="314">
        <f>IF(AND(desc5_2=0,ob5_2=0),AI8,
IF(AND(desc5_2=0,ob5_2&gt;0),AI7*(1-ob5_2),AI7*(1-desc5_2)))</f>
        <v>311080.53998220514</v>
      </c>
      <c r="AJ11" s="314">
        <f>IF(AND(desc5_2=0,ob5_2=0),AJ8,
IF(AND(desc5_2=0,ob5_2&gt;0),AJ7*(1-ob5_2),AJ7*(1-desc5_2)))</f>
        <v>309959.50471967034</v>
      </c>
      <c r="AK11" s="314">
        <f>IF(AND(desc5_2=0,ob5_2=0),AK8,
IF(AND(desc5_2=0,ob5_2&gt;0),AK7*(1-ob5_2),AK7*(1-desc5_2)))</f>
        <v>308747.1600436939</v>
      </c>
      <c r="AL11" s="314" t="s">
        <v>7</v>
      </c>
      <c r="AM11" s="314" t="s">
        <v>7</v>
      </c>
      <c r="AN11" s="510" t="s">
        <v>306</v>
      </c>
      <c r="AO11" s="96"/>
      <c r="AP11" s="98" t="s">
        <v>206</v>
      </c>
      <c r="AQ11" s="314">
        <f>IF(AND(desc6_2=0,ob6_2=0),AQ8,
IF(AND(desc6_2=0,ob6_2&gt;0),AQ7*(1-ob6_2),AQ7*(1-desc6_2)))</f>
        <v>311080.53998220514</v>
      </c>
      <c r="AR11" s="314">
        <f>IF(AND(desc6_2=0,ob6_2=0),AR8,
IF(AND(desc6_2=0,ob6_2&gt;0),AR7*(1-ob6_2),AR7*(1-desc6_2)))</f>
        <v>309959.50471967034</v>
      </c>
      <c r="AS11" s="314">
        <f>IF(AND(desc6_2=0,ob6_2=0),AS8,
IF(AND(desc6_2=0,ob6_2&gt;0),AS7*(1-ob6_2),AS7*(1-desc6_2)))</f>
        <v>308747.1600436939</v>
      </c>
      <c r="AT11" s="314" t="s">
        <v>7</v>
      </c>
      <c r="AU11" s="314" t="s">
        <v>7</v>
      </c>
      <c r="AV11" s="510" t="s">
        <v>306</v>
      </c>
      <c r="AW11" s="96"/>
      <c r="AX11" s="98" t="s">
        <v>206</v>
      </c>
      <c r="AY11" s="314">
        <f>IF(AND(desc7_2=0,ob7_2=0),AY8,
IF(AND(desc7_2=0,ob7_2&gt;0),AY7*(1-ob7_2),AY7*(1-desc7_2)))</f>
        <v>311080.53998220514</v>
      </c>
      <c r="AZ11" s="314">
        <f>IF(AND(desc7_2=0,ob7_2=0),AZ8,
IF(AND(desc7_2=0,ob7_2&gt;0),AZ7*(1-ob7_2),AZ7*(1-desc7_2)))</f>
        <v>309959.50471967034</v>
      </c>
      <c r="BA11" s="314">
        <f>IF(AND(desc7_2=0,ob7_2=0),BA8,
IF(AND(desc7_2=0,ob7_2&gt;0),BA7*(1-ob7_2),BA7*(1-desc7_2)))</f>
        <v>308747.1600436939</v>
      </c>
      <c r="BB11" s="314" t="s">
        <v>7</v>
      </c>
      <c r="BC11" s="314" t="s">
        <v>7</v>
      </c>
      <c r="BD11" s="510" t="s">
        <v>306</v>
      </c>
      <c r="BE11" s="96"/>
      <c r="BF11" s="98" t="s">
        <v>206</v>
      </c>
      <c r="BG11" s="314">
        <f>IF(AND(desc8_2=0,ob8_2=0),BG8,
IF(AND(desc8_2=0,ob8_2&gt;0),BG7*(1-ob8_2),BG7*(1-desc8_2)))</f>
        <v>311080.53998220514</v>
      </c>
      <c r="BH11" s="314">
        <f>IF(AND(desc8_2=0,ob8_2=0),BH8,
IF(AND(desc8_2=0,ob8_2&gt;0),BH7*(1-ob8_2),BH7*(1-desc8_2)))</f>
        <v>309959.50471967034</v>
      </c>
      <c r="BI11" s="314">
        <f>IF(AND(desc8_2=0,ob8_2=0),BI8,
IF(AND(desc8_2=0,ob8_2&gt;0),BI7*(1-ob8_2),BI7*(1-desc8_2)))</f>
        <v>308747.1600436939</v>
      </c>
      <c r="BJ11" s="314" t="s">
        <v>7</v>
      </c>
      <c r="BK11" s="314" t="s">
        <v>7</v>
      </c>
      <c r="BL11" s="510" t="s">
        <v>306</v>
      </c>
      <c r="BM11" s="96"/>
      <c r="BN11" s="98" t="s">
        <v>206</v>
      </c>
      <c r="BO11" s="314">
        <f>IF(AND(desc9_2=0,ob9_2=0),BO8,
IF(AND(desc9_2=0,ob9_2&gt;0),BO7*(1-ob9_2),BO7*(1-desc9_2)))</f>
        <v>311080.53998220514</v>
      </c>
      <c r="BP11" s="314">
        <f>IF(AND(desc9_2=0,ob9_2=0),BP8,
IF(AND(desc9_2=0,ob9_2&gt;0),BP7*(1-ob9_2),BP7*(1-desc9_2)))</f>
        <v>309959.50471967034</v>
      </c>
      <c r="BQ11" s="314">
        <f>IF(AND(desc9_2=0,ob9_2=0),BQ8,
IF(AND(desc9_2=0,ob9_2&gt;0),BQ7*(1-ob9_2),BQ7*(1-desc9_2)))</f>
        <v>308747.1600436939</v>
      </c>
      <c r="BR11" s="314" t="s">
        <v>7</v>
      </c>
      <c r="BS11" s="314" t="s">
        <v>7</v>
      </c>
      <c r="BT11" s="510" t="s">
        <v>306</v>
      </c>
      <c r="BU11" s="96"/>
      <c r="BV11" s="98" t="s">
        <v>206</v>
      </c>
      <c r="BW11" s="314">
        <f>IF(AND(desc10_2=0,ob10_2=0),BW8,
IF(AND(desc10_2=0,ob10_2&gt;0),BW7*(1-ob10_2),BW7*(1-desc10_2)))</f>
        <v>311080.53998220514</v>
      </c>
      <c r="BX11" s="314">
        <f>IF(AND(desc10_2=0,ob10_2=0),BX8,
IF(AND(desc10_2=0,ob10_2&gt;0),BX7*(1-ob10_2),BX7*(1-desc10_2)))</f>
        <v>309959.50471967034</v>
      </c>
      <c r="BY11" s="314">
        <f>IF(AND(desc10_2=0,ob10_2=0),BY8,
IF(AND(desc10_2=0,ob10_2&gt;0),BY7*(1-ob10_2),BY7*(1-desc10_2)))</f>
        <v>308747.1600436939</v>
      </c>
      <c r="BZ11" s="314" t="s">
        <v>7</v>
      </c>
      <c r="CA11" s="314" t="s">
        <v>7</v>
      </c>
      <c r="CB11" s="510" t="s">
        <v>306</v>
      </c>
      <c r="CC11" s="96"/>
      <c r="CD11" s="98" t="s">
        <v>206</v>
      </c>
      <c r="CE11" s="314">
        <f>IF(AND(desc11_2=0,ob11_2=0),CE8,
IF(AND(desc11_2=0,ob11_2&gt;0),CE7*(1-ob11_2),CE7*(1-desc11_2)))</f>
        <v>311080.53998220514</v>
      </c>
      <c r="CF11" s="314">
        <f>IF(AND(desc11_2=0,ob11_2=0),CF8,
IF(AND(desc11_2=0,ob11_2&gt;0),CF7*(1-ob11_2),CF7*(1-desc11_2)))</f>
        <v>309959.50471967034</v>
      </c>
      <c r="CG11" s="314">
        <f>IF(AND(desc11_2=0,ob11_2=0),CG8,
IF(AND(desc11_2=0,ob11_2&gt;0),CG7*(1-ob11_2),CG7*(1-desc11_2)))</f>
        <v>308747.1600436939</v>
      </c>
      <c r="CH11" s="314" t="s">
        <v>7</v>
      </c>
      <c r="CI11" s="314" t="s">
        <v>7</v>
      </c>
      <c r="CJ11" s="510" t="s">
        <v>306</v>
      </c>
      <c r="CK11" s="96"/>
      <c r="CL11" s="98" t="s">
        <v>206</v>
      </c>
      <c r="CM11" s="314">
        <f>IF(AND(desc12_2=0,ob12_2=0),CM8,
IF(AND(desc12_2=0,ob12_2&gt;0),CM7*(1-ob12_2),CM7*(1-desc12_2)))</f>
        <v>311080.53998220514</v>
      </c>
      <c r="CN11" s="314">
        <f>IF(AND(desc12_2=0,ob12_2=0),CN8,
IF(AND(desc12_2=0,ob12_2&gt;0),CN7*(1-ob12_2),CN7*(1-desc12_2)))</f>
        <v>309959.50471967034</v>
      </c>
      <c r="CO11" s="314">
        <f>IF(AND(desc12_2=0,ob12_2=0),CO8,
IF(AND(desc12_2=0,ob12_2&gt;0),CO7*(1-ob12_2),CO7*(1-desc12_2)))</f>
        <v>308747.1600436939</v>
      </c>
      <c r="CP11" s="314" t="s">
        <v>7</v>
      </c>
      <c r="CQ11" s="314" t="s">
        <v>7</v>
      </c>
      <c r="CR11" s="510" t="s">
        <v>306</v>
      </c>
      <c r="CS11" s="96"/>
      <c r="CT11" s="98" t="s">
        <v>206</v>
      </c>
      <c r="CU11" s="314">
        <f>IF(AND(desc13_2=0,ob13_2=0),CU8,
IF(AND(desc13_2=0,ob13_2&gt;0),CU7*(1-ob13_2),CU7*(1-desc13_2)))</f>
        <v>311080.53998220514</v>
      </c>
      <c r="CV11" s="314">
        <f>IF(AND(desc13_2=0,ob13_2=0),CV8,
IF(AND(desc13_2=0,ob13_2&gt;0),CV7*(1-ob13_2),CV7*(1-desc13_2)))</f>
        <v>309959.50471967034</v>
      </c>
      <c r="CW11" s="314">
        <f>IF(AND(desc13_2=0,ob13_2=0),CW8,
IF(AND(desc13_2=0,ob13_2&gt;0),CW7*(1-ob13_2),CW7*(1-desc13_2)))</f>
        <v>308747.1600436939</v>
      </c>
      <c r="CX11" s="314" t="s">
        <v>7</v>
      </c>
      <c r="CY11" s="314" t="s">
        <v>7</v>
      </c>
      <c r="CZ11" s="510" t="s">
        <v>306</v>
      </c>
      <c r="DA11" s="96"/>
      <c r="DB11" s="98" t="s">
        <v>206</v>
      </c>
      <c r="DC11" s="314">
        <f>IF(AND(desc14_2=0,ob14_2=0),DC8,
IF(AND(desc14_2=0,ob14_2&gt;0),DC7*(1-ob14_2),DC7*(1-desc14_2)))</f>
        <v>311080.53998220514</v>
      </c>
      <c r="DD11" s="314">
        <f>IF(AND(desc14_2=0,ob14_2=0),DD8,
IF(AND(desc14_2=0,ob14_2&gt;0),DD7*(1-ob14_2),DD7*(1-desc14_2)))</f>
        <v>309959.50471967034</v>
      </c>
      <c r="DE11" s="314">
        <f>IF(AND(desc14_2=0,ob14_2=0),DE8,
IF(AND(desc14_2=0,ob14_2&gt;0),DE7*(1-ob14_2),DE7*(1-desc14_2)))</f>
        <v>308747.1600436939</v>
      </c>
      <c r="DF11" s="314" t="s">
        <v>7</v>
      </c>
      <c r="DG11" s="314" t="s">
        <v>7</v>
      </c>
      <c r="DH11" s="510" t="s">
        <v>306</v>
      </c>
      <c r="DI11" s="96"/>
    </row>
    <row r="12" spans="2:113" s="97" customFormat="1">
      <c r="B12" s="99" t="s">
        <v>207</v>
      </c>
      <c r="C12" s="80">
        <f>IF(ob1_2=0,0,
IF(desc1_2=0,C7*ob1_2,
IF(desc_por_ob="No",0,
IF(AND(desc_por_ob="Yes",ob1_2&gt;desc1_2),"wrong data",(C7*ob1_2)))))</f>
        <v>0</v>
      </c>
      <c r="D12" s="80">
        <f>IF(ob1_2=0,0,
IF(desc1_2=0,D7*ob1_2,
IF(desc_por_ob="No",0,
IF(AND(desc_por_ob="Yes",ob1_2&gt;desc1_2),"wrong data",(D7*ob1_2)))))</f>
        <v>0</v>
      </c>
      <c r="E12" s="80">
        <f>IF(ob1_2=0,0,
IF(desc1_2=0,E7*ob1_2,
IF(desc_por_ob="No",0,
IF(AND(desc_por_ob="Yes",ob1_2&gt;desc1_2),"wrong data",(E7*ob1_2)))))</f>
        <v>0</v>
      </c>
      <c r="F12" s="80" t="s">
        <v>7</v>
      </c>
      <c r="G12" s="80" t="s">
        <v>7</v>
      </c>
      <c r="H12" s="511"/>
      <c r="I12" s="96"/>
      <c r="J12" s="99" t="s">
        <v>207</v>
      </c>
      <c r="K12" s="80">
        <f>IF(ob2_2=0,0,
IF(desc2_2=0,K7*ob2_2,
IF(desc_por_ob="No",0,
IF(AND(desc_por_ob="Yes",ob2_2&gt;desc2_2),"wrong data",(K7*ob2_2)))))</f>
        <v>0</v>
      </c>
      <c r="L12" s="80">
        <f>IF(ob2_2=0,0,
IF(desc2_2=0,L7*ob2_2,
IF(desc_por_ob="No",0,
IF(AND(desc_por_ob="Yes",ob2_2&gt;desc2_2),"wrong data",(L7*ob2_2)))))</f>
        <v>0</v>
      </c>
      <c r="M12" s="80">
        <f>IF(ob2_2=0,0,
IF(desc2_2=0,M7*ob2_2,
IF(desc_por_ob="No",0,
IF(AND(desc_por_ob="Yes",ob2_2&gt;desc2_2),"wrong data",(M7*ob2_2)))))</f>
        <v>0</v>
      </c>
      <c r="N12" s="80" t="s">
        <v>7</v>
      </c>
      <c r="O12" s="80" t="s">
        <v>7</v>
      </c>
      <c r="P12" s="511"/>
      <c r="Q12" s="96"/>
      <c r="R12" s="99" t="s">
        <v>207</v>
      </c>
      <c r="S12" s="80">
        <f>IF(ob3_2=0,0,
IF(desc3_2=0,S7*ob3_2,
IF(desc_por_ob="No",0,
IF(AND(desc_por_ob="Yes",ob3_2&gt;desc3_2),"wrong data",(S7*ob3_2)))))</f>
        <v>0</v>
      </c>
      <c r="T12" s="80">
        <f>IF(ob3_2=0,0,
IF(desc3_2=0,T7*ob3_2,
IF(desc_por_ob="No",0,
IF(AND(desc_por_ob="Yes",ob3_2&gt;desc3_2),"wrong data",(T7*ob3_2)))))</f>
        <v>0</v>
      </c>
      <c r="U12" s="80">
        <f>IF(ob3_2=0,0,
IF(desc3_2=0,U7*ob3_2,
IF(desc_por_ob="No",0,
IF(AND(desc_por_ob="Yes",ob3_2&gt;desc3_2),"wrong data",(U7*ob3_2)))))</f>
        <v>0</v>
      </c>
      <c r="V12" s="80" t="s">
        <v>7</v>
      </c>
      <c r="W12" s="80" t="s">
        <v>7</v>
      </c>
      <c r="X12" s="511"/>
      <c r="Y12" s="96"/>
      <c r="Z12" s="99" t="s">
        <v>207</v>
      </c>
      <c r="AA12" s="80">
        <f>IF(ob4_2=0,0,
IF(desc4_2=0,AA7*ob4_2,
IF(desc_por_ob="No",0,
IF(AND(desc_por_ob="Yes",ob4_2&gt;desc4_2),"wrong data",(AA7*ob4_2)))))</f>
        <v>0</v>
      </c>
      <c r="AB12" s="80">
        <f>IF(ob4_2=0,0,
IF(desc4_2=0,AB7*ob4_2,
IF(desc_por_ob="No",0,
IF(AND(desc_por_ob="Yes",ob4_2&gt;desc4_2),"wrong data",(AB7*ob4_2)))))</f>
        <v>0</v>
      </c>
      <c r="AC12" s="80">
        <f>IF(ob4_2=0,0,
IF(desc4_2=0,AC7*ob4_2,
IF(desc_por_ob="No",0,
IF(AND(desc_por_ob="Yes",ob4_2&gt;desc4_2),"wrong data",(AC7*ob4_2)))))</f>
        <v>0</v>
      </c>
      <c r="AD12" s="80" t="s">
        <v>7</v>
      </c>
      <c r="AE12" s="80" t="s">
        <v>7</v>
      </c>
      <c r="AF12" s="511"/>
      <c r="AG12" s="96"/>
      <c r="AH12" s="99" t="s">
        <v>207</v>
      </c>
      <c r="AI12" s="80">
        <f>IF(ob5_2=0,0,
IF(desc5_2=0,AI7*ob5_2,
IF(desc_por_ob="No",0,
IF(AND(desc_por_ob="Yes",ob5_2&gt;desc5_2),"wrong data",(AI7*ob5_2)))))</f>
        <v>0</v>
      </c>
      <c r="AJ12" s="80">
        <f>IF(ob5_2=0,0,
IF(desc5_2=0,AJ7*ob5_2,
IF(desc_por_ob="No",0,
IF(AND(desc_por_ob="Yes",ob5_2&gt;desc5_2),"wrong data",(AJ7*ob5_2)))))</f>
        <v>0</v>
      </c>
      <c r="AK12" s="80">
        <f>IF(ob5_2=0,0,
IF(desc5_2=0,AK7*ob5_2,
IF(desc_por_ob="No",0,
IF(AND(desc_por_ob="Yes",ob5_2&gt;desc5_2),"wrong data",(AK7*ob5_2)))))</f>
        <v>0</v>
      </c>
      <c r="AL12" s="80" t="s">
        <v>7</v>
      </c>
      <c r="AM12" s="80" t="s">
        <v>7</v>
      </c>
      <c r="AN12" s="511"/>
      <c r="AO12" s="96"/>
      <c r="AP12" s="99" t="s">
        <v>207</v>
      </c>
      <c r="AQ12" s="80">
        <f>IF(ob6_2=0,0,
IF(desc6_2=0,AQ7*ob6_2,
IF(desc_por_ob="No",0,
IF(AND(desc_por_ob="Yes",ob6_2&gt;desc6_2),"wrong data",(AQ7*ob6_2)))))</f>
        <v>0</v>
      </c>
      <c r="AR12" s="80">
        <f>IF(ob6_2=0,0,
IF(desc6_2=0,AR7*ob6_2,
IF(desc_por_ob="No",0,
IF(AND(desc_por_ob="Yes",ob6_2&gt;desc6_2),"wrong data",(AR7*ob6_2)))))</f>
        <v>0</v>
      </c>
      <c r="AS12" s="80">
        <f>IF(ob6_2=0,0,
IF(desc6_2=0,AS7*ob6_2,
IF(desc_por_ob="No",0,
IF(AND(desc_por_ob="Yes",ob6_2&gt;desc6_2),"wrong data",(AS7*ob6_2)))))</f>
        <v>0</v>
      </c>
      <c r="AT12" s="80" t="s">
        <v>7</v>
      </c>
      <c r="AU12" s="80" t="s">
        <v>7</v>
      </c>
      <c r="AV12" s="511"/>
      <c r="AW12" s="96"/>
      <c r="AX12" s="99" t="s">
        <v>207</v>
      </c>
      <c r="AY12" s="80">
        <f>IF(ob7_2=0,0,
IF(desc7_2=0,AY7*ob7_2,
IF(desc_por_ob="No",0,
IF(AND(desc_por_ob="Yes",ob7_2&gt;desc7_2),"wrong data",(AY7*ob7_2)))))</f>
        <v>0</v>
      </c>
      <c r="AZ12" s="80">
        <f>IF(ob7_2=0,0,
IF(desc7_2=0,AZ7*ob7_2,
IF(desc_por_ob="No",0,
IF(AND(desc_por_ob="Yes",ob7_2&gt;desc7_2),"wrong data",(AZ7*ob7_2)))))</f>
        <v>0</v>
      </c>
      <c r="BA12" s="80">
        <f>IF(ob7_2=0,0,
IF(desc7_2=0,BA7*ob7_2,
IF(desc_por_ob="No",0,
IF(AND(desc_por_ob="Yes",ob7_2&gt;desc7_2),"wrong data",(BA7*ob7_2)))))</f>
        <v>0</v>
      </c>
      <c r="BB12" s="80" t="s">
        <v>7</v>
      </c>
      <c r="BC12" s="80" t="s">
        <v>7</v>
      </c>
      <c r="BD12" s="511"/>
      <c r="BE12" s="96"/>
      <c r="BF12" s="99" t="s">
        <v>207</v>
      </c>
      <c r="BG12" s="80">
        <f>IF(ob8_2=0,0,
IF(desc8_2=0,BG7*ob8_2,
IF(desc_por_ob="No",0,
IF(AND(desc_por_ob="Yes",ob8_2&gt;desc8_2),"wrong data",(BG7*ob8_2)))))</f>
        <v>0</v>
      </c>
      <c r="BH12" s="80">
        <f>IF(ob8_2=0,0,
IF(desc8_2=0,BH7*ob8_2,
IF(desc_por_ob="No",0,
IF(AND(desc_por_ob="Yes",ob8_2&gt;desc8_2),"wrong data",(BH7*ob8_2)))))</f>
        <v>0</v>
      </c>
      <c r="BI12" s="80">
        <f>IF(ob8_2=0,0,
IF(desc8_2=0,BI7*ob8_2,
IF(desc_por_ob="No",0,
IF(AND(desc_por_ob="Yes",ob8_2&gt;desc8_2),"wrong data",(BI7*ob8_2)))))</f>
        <v>0</v>
      </c>
      <c r="BJ12" s="80" t="s">
        <v>7</v>
      </c>
      <c r="BK12" s="80" t="s">
        <v>7</v>
      </c>
      <c r="BL12" s="511"/>
      <c r="BM12" s="96"/>
      <c r="BN12" s="99" t="s">
        <v>207</v>
      </c>
      <c r="BO12" s="80">
        <f>IF(ob9_2=0,0,
IF(desc9_2=0,BO7*ob9_2,
IF(desc_por_ob="No",0,
IF(AND(desc_por_ob="Yes",ob9_2&gt;desc9_2),"wrong data",(BO7*ob9_2)))))</f>
        <v>0</v>
      </c>
      <c r="BP12" s="80">
        <f>IF(ob9_2=0,0,
IF(desc9_2=0,BP7*ob9_2,
IF(desc_por_ob="No",0,
IF(AND(desc_por_ob="Yes",ob9_2&gt;desc9_2),"wrong data",(BP7*ob9_2)))))</f>
        <v>0</v>
      </c>
      <c r="BQ12" s="80">
        <f>IF(ob9_2=0,0,
IF(desc9_2=0,BQ7*ob9_2,
IF(desc_por_ob="No",0,
IF(AND(desc_por_ob="Yes",ob9_2&gt;desc9_2),"wrong data",(BQ7*ob9_2)))))</f>
        <v>0</v>
      </c>
      <c r="BR12" s="80" t="s">
        <v>7</v>
      </c>
      <c r="BS12" s="80" t="s">
        <v>7</v>
      </c>
      <c r="BT12" s="511"/>
      <c r="BU12" s="96"/>
      <c r="BV12" s="99" t="s">
        <v>207</v>
      </c>
      <c r="BW12" s="80">
        <f>IF(ob10_2=0,0,
IF(desc10_2=0,BW7*ob10_2,
IF(desc_por_ob="No",0,
IF(AND(desc_por_ob="Yes",ob10_2&gt;desc10_2),"wrong data",(BW7*ob10_2)))))</f>
        <v>0</v>
      </c>
      <c r="BX12" s="80">
        <f>IF(ob10_2=0,0,
IF(desc10_2=0,BX7*ob10_2,
IF(desc_por_ob="No",0,
IF(AND(desc_por_ob="Yes",ob10_2&gt;desc10_2),"wrong data",(BX7*ob10_2)))))</f>
        <v>0</v>
      </c>
      <c r="BY12" s="80">
        <f>IF(ob10_2=0,0,
IF(desc10_2=0,BY7*ob10_2,
IF(desc_por_ob="No",0,
IF(AND(desc_por_ob="Yes",ob10_2&gt;desc10_2),"wrong data",(BY7*ob10_2)))))</f>
        <v>0</v>
      </c>
      <c r="BZ12" s="80" t="s">
        <v>7</v>
      </c>
      <c r="CA12" s="80" t="s">
        <v>7</v>
      </c>
      <c r="CB12" s="511"/>
      <c r="CC12" s="96"/>
      <c r="CD12" s="99" t="s">
        <v>207</v>
      </c>
      <c r="CE12" s="80">
        <f>IF(ob11_2=0,0,
IF(desc11_2=0,CE7*ob11_2,
IF(desc_por_ob="No",0,
IF(AND(desc_por_ob="Yes",ob11_2&gt;desc11_2),"wrong data",(CE7*ob11_2)))))</f>
        <v>0</v>
      </c>
      <c r="CF12" s="80">
        <f>IF(ob11_2=0,0,
IF(desc11_2=0,CF7*ob11_2,
IF(desc_por_ob="No",0,
IF(AND(desc_por_ob="Yes",ob11_2&gt;desc11_2),"wrong data",(CF7*ob11_2)))))</f>
        <v>0</v>
      </c>
      <c r="CG12" s="80">
        <f>IF(ob11_2=0,0,
IF(desc11_2=0,CG7*ob11_2,
IF(desc_por_ob="No",0,
IF(AND(desc_por_ob="Yes",ob11_2&gt;desc11_2),"wrong data",(CG7*ob11_2)))))</f>
        <v>0</v>
      </c>
      <c r="CH12" s="80" t="s">
        <v>7</v>
      </c>
      <c r="CI12" s="80" t="s">
        <v>7</v>
      </c>
      <c r="CJ12" s="511"/>
      <c r="CK12" s="96"/>
      <c r="CL12" s="99" t="s">
        <v>207</v>
      </c>
      <c r="CM12" s="80">
        <f>IF(ob12_2=0,0,
IF(desc12_2=0,CM7*ob12_2,
IF(desc_por_ob="No",0,
IF(AND(desc_por_ob="Yes",ob12_2&gt;desc12_2),"wrong data",(CM7*ob12_2)))))</f>
        <v>0</v>
      </c>
      <c r="CN12" s="80">
        <f>IF(ob12_2=0,0,
IF(desc12_2=0,CN7*ob12_2,
IF(desc_por_ob="No",0,
IF(AND(desc_por_ob="Yes",ob12_2&gt;desc12_2),"wrong data",(CN7*ob12_2)))))</f>
        <v>0</v>
      </c>
      <c r="CO12" s="80">
        <f>IF(ob12_2=0,0,
IF(desc12_2=0,CO7*ob12_2,
IF(desc_por_ob="No",0,
IF(AND(desc_por_ob="Yes",ob12_2&gt;desc12_2),"wrong data",(CO7*ob12_2)))))</f>
        <v>0</v>
      </c>
      <c r="CP12" s="80" t="s">
        <v>7</v>
      </c>
      <c r="CQ12" s="80" t="s">
        <v>7</v>
      </c>
      <c r="CR12" s="511"/>
      <c r="CS12" s="96"/>
      <c r="CT12" s="99" t="s">
        <v>207</v>
      </c>
      <c r="CU12" s="80">
        <f>IF(ob13_2=0,0,
IF(desc13_2=0,CU7*ob13_2,
IF(desc_por_ob="No",0,
IF(AND(desc_por_ob="Yes",ob13_2&gt;desc13_2),"wrong data",(CU7*ob13_2)))))</f>
        <v>0</v>
      </c>
      <c r="CV12" s="80">
        <f>IF(ob13_2=0,0,
IF(desc13_2=0,CV7*ob13_2,
IF(desc_por_ob="No",0,
IF(AND(desc_por_ob="Yes",ob13_2&gt;desc13_2),"wrong data",(CV7*ob13_2)))))</f>
        <v>0</v>
      </c>
      <c r="CW12" s="80">
        <f>IF(ob13_2=0,0,
IF(desc13_2=0,CW7*ob13_2,
IF(desc_por_ob="No",0,
IF(AND(desc_por_ob="Yes",ob13_2&gt;desc13_2),"wrong data",(CW7*ob13_2)))))</f>
        <v>0</v>
      </c>
      <c r="CX12" s="80" t="s">
        <v>7</v>
      </c>
      <c r="CY12" s="80" t="s">
        <v>7</v>
      </c>
      <c r="CZ12" s="511"/>
      <c r="DA12" s="96"/>
      <c r="DB12" s="99" t="s">
        <v>207</v>
      </c>
      <c r="DC12" s="80">
        <f>IF(ob14_2=0,0,
IF(desc14_2=0,DC7*ob14_2,
IF(desc_por_ob="No",0,
IF(AND(desc_por_ob="Yes",ob14_2&gt;desc14_2),"wrong data",(DC7*ob14_2)))))</f>
        <v>0</v>
      </c>
      <c r="DD12" s="80">
        <f>IF(ob14_2=0,0,
IF(desc14_2=0,DD7*ob14_2,
IF(desc_por_ob="No",0,
IF(AND(desc_por_ob="Yes",ob14_2&gt;desc14_2),"wrong data",(DD7*ob14_2)))))</f>
        <v>0</v>
      </c>
      <c r="DE12" s="80">
        <f>IF(ob14_2=0,0,
IF(desc14_2=0,DE7*ob14_2,
IF(desc_por_ob="No",0,
IF(AND(desc_por_ob="Yes",ob14_2&gt;desc14_2),"wrong data",(DE7*ob14_2)))))</f>
        <v>0</v>
      </c>
      <c r="DF12" s="80" t="s">
        <v>7</v>
      </c>
      <c r="DG12" s="80" t="s">
        <v>7</v>
      </c>
      <c r="DH12" s="511"/>
      <c r="DI12" s="96"/>
    </row>
    <row r="13" spans="2:113" s="97" customFormat="1" ht="15" thickBot="1">
      <c r="B13" s="100" t="str">
        <f>IF(OR(uso=3,uso=4),"Progressed","Discontinued")</f>
        <v>Discontinued</v>
      </c>
      <c r="C13" s="315">
        <f>IF(desc1_2=0,0,
IF(AND(desc_por_ob="Yes",ob1_2&gt;desc1_2),"wrong data",C7-C11-C12))</f>
        <v>0</v>
      </c>
      <c r="D13" s="315">
        <f>IF(desc1_2=0,0,
IF(AND(desc_por_ob="Yes",ob1_2&gt;desc1_2),"wrong data",D7-D11-D12))</f>
        <v>0</v>
      </c>
      <c r="E13" s="315">
        <f>IF(desc1_2=0,0,
IF(AND(desc_por_ob="Yes",ob1_2&gt;desc1_2),"wrong data",E7-E11-E12))</f>
        <v>0</v>
      </c>
      <c r="F13" s="315" t="s">
        <v>7</v>
      </c>
      <c r="G13" s="315" t="s">
        <v>7</v>
      </c>
      <c r="H13" s="512"/>
      <c r="I13" s="96"/>
      <c r="J13" s="100" t="str">
        <f>IF(OR(uso=3,uso=4),"Progressed","Discontinued")</f>
        <v>Discontinued</v>
      </c>
      <c r="K13" s="315">
        <f>IF(desc2_2=0,0,
IF(AND(desc_por_ob="Yes",ob2_2&gt;desc2_2),"wrong data",K7-K11-K12))</f>
        <v>0</v>
      </c>
      <c r="L13" s="315">
        <f>IF(desc2_2=0,0,
IF(AND(desc_por_ob="Yes",ob2_2&gt;desc2_2),"wrong data",L7-L11-L12))</f>
        <v>0</v>
      </c>
      <c r="M13" s="315">
        <f>IF(desc2_2=0,0,
IF(AND(desc_por_ob="Yes",ob2_2&gt;desc2_2),"wrong data",M7-M11-M12))</f>
        <v>0</v>
      </c>
      <c r="N13" s="315" t="s">
        <v>7</v>
      </c>
      <c r="O13" s="315" t="s">
        <v>7</v>
      </c>
      <c r="P13" s="512"/>
      <c r="Q13" s="96"/>
      <c r="R13" s="100" t="s">
        <v>208</v>
      </c>
      <c r="S13" s="315">
        <f>IF(desc3_2=0,0,
IF(AND(desc_por_ob="Yes",ob3_2&gt;desc3_2),"wrong data",S7-S11-S12))</f>
        <v>0</v>
      </c>
      <c r="T13" s="315">
        <f>IF(desc3_2=0,0,
IF(AND(desc_por_ob="Yes",ob3_2&gt;desc3_2),"wrong data",T7-T11-T12))</f>
        <v>0</v>
      </c>
      <c r="U13" s="315">
        <f>IF(desc3_2=0,0,
IF(AND(desc_por_ob="Yes",ob3_2&gt;desc3_2),"wrong data",U7-U11-U12))</f>
        <v>0</v>
      </c>
      <c r="V13" s="315" t="s">
        <v>7</v>
      </c>
      <c r="W13" s="315" t="s">
        <v>7</v>
      </c>
      <c r="X13" s="512"/>
      <c r="Y13" s="96"/>
      <c r="Z13" s="100" t="s">
        <v>208</v>
      </c>
      <c r="AA13" s="315">
        <f>IF(desc4_2=0,0,
IF(AND(desc_por_ob="Yes",ob4_2&gt;desc4_2),"wrong data",AA7-AA11-AA12))</f>
        <v>0</v>
      </c>
      <c r="AB13" s="315">
        <f>IF(desc4_2=0,0,
IF(AND(desc_por_ob="Yes",ob4_2&gt;desc4_2),"wrong data",AB7-AB11-AB12))</f>
        <v>0</v>
      </c>
      <c r="AC13" s="315">
        <f>IF(desc4_2=0,0,
IF(AND(desc_por_ob="Yes",ob4_2&gt;desc4_2),"wrong data",AC7-AC11-AC12))</f>
        <v>0</v>
      </c>
      <c r="AD13" s="315" t="s">
        <v>7</v>
      </c>
      <c r="AE13" s="315" t="s">
        <v>7</v>
      </c>
      <c r="AF13" s="512"/>
      <c r="AG13" s="96"/>
      <c r="AH13" s="100" t="s">
        <v>208</v>
      </c>
      <c r="AI13" s="315">
        <f>IF(desc5_2=0,0,
IF(AND(desc_por_ob="Yes",ob5_2&gt;desc5_2),"wrong data",AI7-AI11-AI12))</f>
        <v>0</v>
      </c>
      <c r="AJ13" s="315">
        <f>IF(desc5_2=0,0,
IF(AND(desc_por_ob="Yes",ob5_2&gt;desc5_2),"wrong data",AJ7-AJ11-AJ12))</f>
        <v>0</v>
      </c>
      <c r="AK13" s="315">
        <f>IF(desc5_2=0,0,
IF(AND(desc_por_ob="Yes",ob5_2&gt;desc5_2),"wrong data",AK7-AK11-AK12))</f>
        <v>0</v>
      </c>
      <c r="AL13" s="315" t="s">
        <v>7</v>
      </c>
      <c r="AM13" s="315" t="s">
        <v>7</v>
      </c>
      <c r="AN13" s="512"/>
      <c r="AO13" s="96"/>
      <c r="AP13" s="100" t="s">
        <v>208</v>
      </c>
      <c r="AQ13" s="315">
        <f>IF(desc6_2=0,0,
IF(AND(desc_por_ob="Yes",ob6_2&gt;desc6_2),"wrong data",AQ7-AQ11-AQ12))</f>
        <v>0</v>
      </c>
      <c r="AR13" s="315">
        <f>IF(desc6_2=0,0,
IF(AND(desc_por_ob="Yes",ob6_2&gt;desc6_2),"wrong data",AR7-AR11-AR12))</f>
        <v>0</v>
      </c>
      <c r="AS13" s="315">
        <f>IF(desc6_2=0,0,
IF(AND(desc_por_ob="Yes",ob6_2&gt;desc6_2),"wrong data",AS7-AS11-AS12))</f>
        <v>0</v>
      </c>
      <c r="AT13" s="315" t="s">
        <v>7</v>
      </c>
      <c r="AU13" s="315" t="s">
        <v>7</v>
      </c>
      <c r="AV13" s="512"/>
      <c r="AW13" s="96"/>
      <c r="AX13" s="100" t="s">
        <v>208</v>
      </c>
      <c r="AY13" s="315">
        <f>IF(desc7_2=0,0,
IF(AND(desc_por_ob="Yes",ob7_2&gt;desc7_2),"wrong data",AY7-AY11-AY12))</f>
        <v>0</v>
      </c>
      <c r="AZ13" s="315">
        <f>IF(desc7_2=0,0,
IF(AND(desc_por_ob="Yes",ob7_2&gt;desc7_2),"wrong data",AZ7-AZ11-AZ12))</f>
        <v>0</v>
      </c>
      <c r="BA13" s="315">
        <f>IF(desc7_2=0,0,
IF(AND(desc_por_ob="Yes",ob7_2&gt;desc7_2),"wrong data",BA7-BA11-BA12))</f>
        <v>0</v>
      </c>
      <c r="BB13" s="315" t="s">
        <v>7</v>
      </c>
      <c r="BC13" s="315" t="s">
        <v>7</v>
      </c>
      <c r="BD13" s="512"/>
      <c r="BE13" s="96"/>
      <c r="BF13" s="100" t="s">
        <v>208</v>
      </c>
      <c r="BG13" s="315">
        <f>IF(desc8_2=0,0,
IF(AND(desc_por_ob="Yes",ob8_2&gt;desc8_2),"wrong data",BG7-BG11-BG12))</f>
        <v>0</v>
      </c>
      <c r="BH13" s="315">
        <f>IF(desc8_2=0,0,
IF(AND(desc_por_ob="Yes",ob8_2&gt;desc8_2),"wrong data",BH7-BH11-BH12))</f>
        <v>0</v>
      </c>
      <c r="BI13" s="315">
        <f>IF(desc8_2=0,0,
IF(AND(desc_por_ob="Yes",ob8_2&gt;desc8_2),"wrong data",BI7-BI11-BI12))</f>
        <v>0</v>
      </c>
      <c r="BJ13" s="315" t="s">
        <v>7</v>
      </c>
      <c r="BK13" s="315" t="s">
        <v>7</v>
      </c>
      <c r="BL13" s="512"/>
      <c r="BM13" s="96"/>
      <c r="BN13" s="100" t="s">
        <v>208</v>
      </c>
      <c r="BO13" s="315">
        <f>IF(desc9_2=0,0,
IF(AND(desc_por_ob="Yes",ob9_2&gt;desc9_2),"wrong data",BO7-BO11-BO12))</f>
        <v>0</v>
      </c>
      <c r="BP13" s="315">
        <f>IF(desc9_2=0,0,
IF(AND(desc_por_ob="Yes",ob9_2&gt;desc9_2),"wrong data",BP7-BP11-BP12))</f>
        <v>0</v>
      </c>
      <c r="BQ13" s="315">
        <f>IF(desc9_2=0,0,
IF(AND(desc_por_ob="Yes",ob9_2&gt;desc9_2),"wrong data",BQ7-BQ11-BQ12))</f>
        <v>0</v>
      </c>
      <c r="BR13" s="315" t="s">
        <v>7</v>
      </c>
      <c r="BS13" s="315" t="s">
        <v>7</v>
      </c>
      <c r="BT13" s="512"/>
      <c r="BU13" s="96"/>
      <c r="BV13" s="100" t="s">
        <v>208</v>
      </c>
      <c r="BW13" s="315">
        <f>IF(desc10_2=0,0,
IF(AND(desc_por_ob="Yes",ob10_2&gt;desc10_2),"wrong data",BW7-BW11-BW12))</f>
        <v>0</v>
      </c>
      <c r="BX13" s="315">
        <f>IF(desc10_2=0,0,
IF(AND(desc_por_ob="Yes",ob10_2&gt;desc10_2),"wrong data",BX7-BX11-BX12))</f>
        <v>0</v>
      </c>
      <c r="BY13" s="315">
        <f>IF(desc10_2=0,0,
IF(AND(desc_por_ob="Yes",ob10_2&gt;desc10_2),"wrong data",BY7-BY11-BY12))</f>
        <v>0</v>
      </c>
      <c r="BZ13" s="315" t="s">
        <v>7</v>
      </c>
      <c r="CA13" s="315" t="s">
        <v>7</v>
      </c>
      <c r="CB13" s="512"/>
      <c r="CC13" s="96"/>
      <c r="CD13" s="100" t="s">
        <v>208</v>
      </c>
      <c r="CE13" s="315">
        <f>IF(desc11_2=0,0,
IF(AND(desc_por_ob="Yes",ob11_2&gt;desc11_2),"wrong data",CE7-CE11-CE12))</f>
        <v>0</v>
      </c>
      <c r="CF13" s="315">
        <f>IF(desc11_2=0,0,
IF(AND(desc_por_ob="Yes",ob11_2&gt;desc11_2),"wrong data",CF7-CF11-CF12))</f>
        <v>0</v>
      </c>
      <c r="CG13" s="315">
        <f>IF(desc11_2=0,0,
IF(AND(desc_por_ob="Yes",ob11_2&gt;desc11_2),"wrong data",CG7-CG11-CG12))</f>
        <v>0</v>
      </c>
      <c r="CH13" s="315" t="s">
        <v>7</v>
      </c>
      <c r="CI13" s="315" t="s">
        <v>7</v>
      </c>
      <c r="CJ13" s="512"/>
      <c r="CK13" s="96"/>
      <c r="CL13" s="100" t="s">
        <v>208</v>
      </c>
      <c r="CM13" s="315">
        <f>IF(desc12_2=0,0,
IF(AND(desc_por_ob="Yes",ob12_2&gt;desc12_2),"wrong data",CM7-CM11-CM12))</f>
        <v>0</v>
      </c>
      <c r="CN13" s="315">
        <f>IF(desc12_2=0,0,
IF(AND(desc_por_ob="Yes",ob12_2&gt;desc12_2),"wrong data",CN7-CN11-CN12))</f>
        <v>0</v>
      </c>
      <c r="CO13" s="315">
        <f>IF(desc12_2=0,0,
IF(AND(desc_por_ob="Yes",ob12_2&gt;desc12_2),"wrong data",CO7-CO11-CO12))</f>
        <v>0</v>
      </c>
      <c r="CP13" s="315" t="s">
        <v>7</v>
      </c>
      <c r="CQ13" s="315" t="s">
        <v>7</v>
      </c>
      <c r="CR13" s="512"/>
      <c r="CS13" s="96"/>
      <c r="CT13" s="100" t="s">
        <v>208</v>
      </c>
      <c r="CU13" s="315">
        <f>IF(desc13_2=0,0,
IF(AND(desc_por_ob="Yes",ob13_2&gt;desc13_2),"wrong data",CU7-CU11-CU12))</f>
        <v>0</v>
      </c>
      <c r="CV13" s="315">
        <f>IF(desc13_2=0,0,
IF(AND(desc_por_ob="Yes",ob13_2&gt;desc13_2),"wrong data",CV7-CV11-CV12))</f>
        <v>0</v>
      </c>
      <c r="CW13" s="315">
        <f>IF(desc13_2=0,0,
IF(AND(desc_por_ob="Yes",ob13_2&gt;desc13_2),"wrong data",CW7-CW11-CW12))</f>
        <v>0</v>
      </c>
      <c r="CX13" s="315" t="s">
        <v>7</v>
      </c>
      <c r="CY13" s="315" t="s">
        <v>7</v>
      </c>
      <c r="CZ13" s="512"/>
      <c r="DA13" s="96"/>
      <c r="DB13" s="100" t="s">
        <v>208</v>
      </c>
      <c r="DC13" s="315">
        <f>IF(desc14_2=0,0,
IF(AND(desc_por_ob="Yes",ob14_2&gt;desc14_2),"wrong data",DC7-DC11-DC12))</f>
        <v>0</v>
      </c>
      <c r="DD13" s="315">
        <f>IF(desc14_2=0,0,
IF(AND(desc_por_ob="Yes",ob14_2&gt;desc14_2),"wrong data",DD7-DD11-DD12))</f>
        <v>0</v>
      </c>
      <c r="DE13" s="315">
        <f>IF(desc14_2=0,0,
IF(AND(desc_por_ob="Yes",ob14_2&gt;desc14_2),"wrong data",DE7-DE11-DE12))</f>
        <v>0</v>
      </c>
      <c r="DF13" s="315" t="s">
        <v>7</v>
      </c>
      <c r="DG13" s="315" t="s">
        <v>7</v>
      </c>
      <c r="DH13" s="512"/>
      <c r="DI13" s="96"/>
    </row>
    <row r="14" spans="2:113" s="97" customFormat="1" ht="15" customHeight="1">
      <c r="B14" s="98" t="str">
        <f>IF(OR(uso=3,uso=4),"Progression-free","On treatment")</f>
        <v>On treatment</v>
      </c>
      <c r="C14" s="314">
        <f>IF(AND(desc1_3=0,ob1_3=0),C11,
IF(AND(desc1_3=0,ob1_3&gt;0),C7*(1-ob1_3),C7*(1-desc1_3)))</f>
        <v>311080.53998220514</v>
      </c>
      <c r="D14" s="314">
        <f>IF(AND(desc1_3=0,ob1_3=0),D11,
IF(AND(desc1_3=0,ob1_3&gt;0),D7*(1-ob1_3),D7*(1-desc1_3)))</f>
        <v>309959.50471967034</v>
      </c>
      <c r="E14" s="314" t="s">
        <v>7</v>
      </c>
      <c r="F14" s="314" t="s">
        <v>7</v>
      </c>
      <c r="G14" s="314" t="s">
        <v>7</v>
      </c>
      <c r="H14" s="510" t="s">
        <v>307</v>
      </c>
      <c r="I14" s="96"/>
      <c r="J14" s="98" t="str">
        <f>IF(OR(uso=3,uso=4),"Progression-free","On treatment")</f>
        <v>On treatment</v>
      </c>
      <c r="K14" s="314">
        <f>IF(AND(desc2_3=0,ob2_3=0),K11,
IF(AND(desc2_3=0,ob2_3&gt;0),K7*(1-ob2_3),K7*(1-desc2_3)))</f>
        <v>311080.53998220514</v>
      </c>
      <c r="L14" s="314">
        <f>IF(AND(desc2_3=0,ob2_3=0),L11,
IF(AND(desc2_3=0,ob2_3&gt;0),L7*(1-ob2_3),L7*(1-desc2_3)))</f>
        <v>309959.50471967034</v>
      </c>
      <c r="M14" s="314" t="s">
        <v>7</v>
      </c>
      <c r="N14" s="314" t="s">
        <v>7</v>
      </c>
      <c r="O14" s="314" t="s">
        <v>7</v>
      </c>
      <c r="P14" s="510" t="s">
        <v>307</v>
      </c>
      <c r="Q14" s="96"/>
      <c r="R14" s="98" t="s">
        <v>206</v>
      </c>
      <c r="S14" s="314">
        <f>IF(AND(desc3_3=0,ob3_3=0),S11,
IF(AND(desc3_3=0,ob3_3&gt;0),S7*(1-ob3_3),S7*(1-desc3_3)))</f>
        <v>311080.53998220514</v>
      </c>
      <c r="T14" s="314">
        <f>IF(AND(desc3_3=0,ob3_3=0),T11,
IF(AND(desc3_3=0,ob3_3&gt;0),T7*(1-ob3_3),T7*(1-desc3_3)))</f>
        <v>309959.50471967034</v>
      </c>
      <c r="U14" s="314" t="s">
        <v>7</v>
      </c>
      <c r="V14" s="314" t="s">
        <v>7</v>
      </c>
      <c r="W14" s="314" t="s">
        <v>7</v>
      </c>
      <c r="X14" s="510" t="s">
        <v>307</v>
      </c>
      <c r="Y14" s="96"/>
      <c r="Z14" s="98" t="s">
        <v>206</v>
      </c>
      <c r="AA14" s="314">
        <f>IF(AND(desc4_3=0,ob4_3=0),AA11,
IF(AND(desc4_3=0,ob4_3&gt;0),AA7*(1-ob4_3),AA7*(1-desc4_3)))</f>
        <v>311080.53998220514</v>
      </c>
      <c r="AB14" s="314">
        <f>IF(AND(desc4_3=0,ob4_3=0),AB11,
IF(AND(desc4_3=0,ob4_3&gt;0),AB7*(1-ob4_3),AB7*(1-desc4_3)))</f>
        <v>309959.50471967034</v>
      </c>
      <c r="AC14" s="314" t="s">
        <v>7</v>
      </c>
      <c r="AD14" s="314" t="s">
        <v>7</v>
      </c>
      <c r="AE14" s="314" t="s">
        <v>7</v>
      </c>
      <c r="AF14" s="510" t="s">
        <v>307</v>
      </c>
      <c r="AG14" s="96"/>
      <c r="AH14" s="98" t="s">
        <v>206</v>
      </c>
      <c r="AI14" s="314">
        <f>IF(AND(desc5_3=0,ob5_3=0),AI11,
IF(AND(desc5_3=0,ob5_3&gt;0),AI7*(1-ob5_3),AI7*(1-desc5_3)))</f>
        <v>311080.53998220514</v>
      </c>
      <c r="AJ14" s="314">
        <f>IF(AND(desc5_3=0,ob5_3=0),AJ11,
IF(AND(desc5_3=0,ob5_3&gt;0),AJ7*(1-ob5_3),AJ7*(1-desc5_3)))</f>
        <v>309959.50471967034</v>
      </c>
      <c r="AK14" s="314" t="s">
        <v>7</v>
      </c>
      <c r="AL14" s="314" t="s">
        <v>7</v>
      </c>
      <c r="AM14" s="314" t="s">
        <v>7</v>
      </c>
      <c r="AN14" s="510" t="s">
        <v>307</v>
      </c>
      <c r="AO14" s="96"/>
      <c r="AP14" s="98" t="s">
        <v>206</v>
      </c>
      <c r="AQ14" s="314">
        <f>IF(AND(desc6_3=0,ob6_3=0),AQ11,
IF(AND(desc6_3=0,ob6_3&gt;0),AQ7*(1-ob6_3),AQ7*(1-desc6_3)))</f>
        <v>311080.53998220514</v>
      </c>
      <c r="AR14" s="314">
        <f>IF(AND(desc6_3=0,ob6_3=0),AR11,
IF(AND(desc6_3=0,ob6_3&gt;0),AR7*(1-ob6_3),AR7*(1-desc6_3)))</f>
        <v>309959.50471967034</v>
      </c>
      <c r="AS14" s="314" t="s">
        <v>7</v>
      </c>
      <c r="AT14" s="314" t="s">
        <v>7</v>
      </c>
      <c r="AU14" s="314" t="s">
        <v>7</v>
      </c>
      <c r="AV14" s="510" t="s">
        <v>307</v>
      </c>
      <c r="AW14" s="96"/>
      <c r="AX14" s="98" t="s">
        <v>206</v>
      </c>
      <c r="AY14" s="314">
        <f>IF(AND(desc7_3=0,ob7_3=0),AY11,
IF(AND(desc7_3=0,ob7_3&gt;0),AY7*(1-ob7_3),AY7*(1-desc7_3)))</f>
        <v>311080.53998220514</v>
      </c>
      <c r="AZ14" s="314">
        <f>IF(AND(desc7_3=0,ob7_3=0),AZ11,
IF(AND(desc7_3=0,ob7_3&gt;0),AZ7*(1-ob7_3),AZ7*(1-desc7_3)))</f>
        <v>309959.50471967034</v>
      </c>
      <c r="BA14" s="314" t="s">
        <v>7</v>
      </c>
      <c r="BB14" s="314" t="s">
        <v>7</v>
      </c>
      <c r="BC14" s="314" t="s">
        <v>7</v>
      </c>
      <c r="BD14" s="510" t="s">
        <v>307</v>
      </c>
      <c r="BE14" s="96"/>
      <c r="BF14" s="98" t="s">
        <v>206</v>
      </c>
      <c r="BG14" s="314">
        <f>IF(AND(desc8_3=0,ob8_3=0),BG11,
IF(AND(desc8_3=0,ob8_3&gt;0),BG7*(1-ob8_3),BG7*(1-desc8_3)))</f>
        <v>311080.53998220514</v>
      </c>
      <c r="BH14" s="314">
        <f>IF(AND(desc8_3=0,ob8_3=0),BH11,
IF(AND(desc8_3=0,ob8_3&gt;0),BH7*(1-ob8_3),BH7*(1-desc8_3)))</f>
        <v>309959.50471967034</v>
      </c>
      <c r="BI14" s="314" t="s">
        <v>7</v>
      </c>
      <c r="BJ14" s="314" t="s">
        <v>7</v>
      </c>
      <c r="BK14" s="314" t="s">
        <v>7</v>
      </c>
      <c r="BL14" s="510" t="s">
        <v>307</v>
      </c>
      <c r="BM14" s="96"/>
      <c r="BN14" s="98" t="s">
        <v>206</v>
      </c>
      <c r="BO14" s="314">
        <f>IF(AND(desc9_3=0,ob9_3=0),BO11,
IF(AND(desc9_3=0,ob9_3&gt;0),BO7*(1-ob9_3),BO7*(1-desc9_3)))</f>
        <v>311080.53998220514</v>
      </c>
      <c r="BP14" s="314">
        <f>IF(AND(desc9_3=0,ob9_3=0),BP11,
IF(AND(desc9_3=0,ob9_3&gt;0),BP7*(1-ob9_3),BP7*(1-desc9_3)))</f>
        <v>309959.50471967034</v>
      </c>
      <c r="BQ14" s="314" t="s">
        <v>7</v>
      </c>
      <c r="BR14" s="314" t="s">
        <v>7</v>
      </c>
      <c r="BS14" s="314" t="s">
        <v>7</v>
      </c>
      <c r="BT14" s="510" t="s">
        <v>307</v>
      </c>
      <c r="BU14" s="96"/>
      <c r="BV14" s="98" t="s">
        <v>206</v>
      </c>
      <c r="BW14" s="314">
        <f>IF(AND(desc10_3=0,ob10_3=0),BW11,
IF(AND(desc10_3=0,ob10_3&gt;0),BW7*(1-ob10_3),BW7*(1-desc10_3)))</f>
        <v>311080.53998220514</v>
      </c>
      <c r="BX14" s="314">
        <f>IF(AND(desc10_3=0,ob10_3=0),BX11,
IF(AND(desc10_3=0,ob10_3&gt;0),BX7*(1-ob10_3),BX7*(1-desc10_3)))</f>
        <v>309959.50471967034</v>
      </c>
      <c r="BY14" s="314" t="s">
        <v>7</v>
      </c>
      <c r="BZ14" s="314" t="s">
        <v>7</v>
      </c>
      <c r="CA14" s="314" t="s">
        <v>7</v>
      </c>
      <c r="CB14" s="510" t="s">
        <v>307</v>
      </c>
      <c r="CC14" s="96"/>
      <c r="CD14" s="98" t="s">
        <v>206</v>
      </c>
      <c r="CE14" s="314">
        <f>IF(AND(desc11_3=0,ob11_3=0),CE11,
IF(AND(desc11_3=0,ob11_3&gt;0),CE7*(1-ob11_3),CE7*(1-desc11_3)))</f>
        <v>311080.53998220514</v>
      </c>
      <c r="CF14" s="314">
        <f>IF(AND(desc11_3=0,ob11_3=0),CF11,
IF(AND(desc11_3=0,ob11_3&gt;0),CF7*(1-ob11_3),CF7*(1-desc11_3)))</f>
        <v>309959.50471967034</v>
      </c>
      <c r="CG14" s="314" t="s">
        <v>7</v>
      </c>
      <c r="CH14" s="314" t="s">
        <v>7</v>
      </c>
      <c r="CI14" s="314" t="s">
        <v>7</v>
      </c>
      <c r="CJ14" s="510" t="s">
        <v>307</v>
      </c>
      <c r="CK14" s="96"/>
      <c r="CL14" s="98" t="s">
        <v>206</v>
      </c>
      <c r="CM14" s="314">
        <f>IF(AND(desc12_3=0,ob12_3=0),CM11,
IF(AND(desc12_3=0,ob12_3&gt;0),CM7*(1-ob12_3),CM7*(1-desc12_3)))</f>
        <v>311080.53998220514</v>
      </c>
      <c r="CN14" s="314">
        <f>IF(AND(desc12_3=0,ob12_3=0),CN11,
IF(AND(desc12_3=0,ob12_3&gt;0),CN7*(1-ob12_3),CN7*(1-desc12_3)))</f>
        <v>309959.50471967034</v>
      </c>
      <c r="CO14" s="314" t="s">
        <v>7</v>
      </c>
      <c r="CP14" s="314" t="s">
        <v>7</v>
      </c>
      <c r="CQ14" s="314" t="s">
        <v>7</v>
      </c>
      <c r="CR14" s="510" t="s">
        <v>307</v>
      </c>
      <c r="CS14" s="96"/>
      <c r="CT14" s="98" t="s">
        <v>206</v>
      </c>
      <c r="CU14" s="314">
        <f>IF(AND(desc13_3=0,ob13_3=0),CU11,
IF(AND(desc13_3=0,ob13_3&gt;0),CU7*(1-ob13_3),CU7*(1-desc13_3)))</f>
        <v>311080.53998220514</v>
      </c>
      <c r="CV14" s="314">
        <f>IF(AND(desc13_3=0,ob13_3=0),CV11,
IF(AND(desc13_3=0,ob13_3&gt;0),CV7*(1-ob13_3),CV7*(1-desc13_3)))</f>
        <v>309959.50471967034</v>
      </c>
      <c r="CW14" s="314" t="s">
        <v>7</v>
      </c>
      <c r="CX14" s="314" t="s">
        <v>7</v>
      </c>
      <c r="CY14" s="314" t="s">
        <v>7</v>
      </c>
      <c r="CZ14" s="510" t="s">
        <v>307</v>
      </c>
      <c r="DA14" s="96"/>
      <c r="DB14" s="98" t="s">
        <v>206</v>
      </c>
      <c r="DC14" s="314">
        <f>IF(AND(desc14_3=0,ob14_3=0),DC11,
IF(AND(desc14_3=0,ob14_3&gt;0),DC7*(1-ob14_3),DC7*(1-desc14_3)))</f>
        <v>311080.53998220514</v>
      </c>
      <c r="DD14" s="314">
        <f>IF(AND(desc14_3=0,ob14_3=0),DD11,
IF(AND(desc14_3=0,ob14_3&gt;0),DD7*(1-ob14_3),DD7*(1-desc14_3)))</f>
        <v>309959.50471967034</v>
      </c>
      <c r="DE14" s="314" t="s">
        <v>7</v>
      </c>
      <c r="DF14" s="314" t="s">
        <v>7</v>
      </c>
      <c r="DG14" s="314" t="s">
        <v>7</v>
      </c>
      <c r="DH14" s="510" t="s">
        <v>307</v>
      </c>
      <c r="DI14" s="96"/>
    </row>
    <row r="15" spans="2:113" s="97" customFormat="1">
      <c r="B15" s="99" t="s">
        <v>207</v>
      </c>
      <c r="C15" s="80">
        <f>IF(ob1_3=0,0,
IF(desc1_3=0,C7*ob1_3,
IF(desc_por_ob="No",0,
IF(AND(desc_por_ob="Yes",ob1_3&gt;desc1_3),"wrong data",(C7*ob1_3)))))</f>
        <v>0</v>
      </c>
      <c r="D15" s="80">
        <f>IF(ob1_3=0,0,
IF(desc1_3=0,D7*ob1_3,
IF(desc_por_ob="No",0,
IF(AND(desc_por_ob="Yes",ob1_3&gt;desc1_3),"wrong data",(D7*ob1_3)))))</f>
        <v>0</v>
      </c>
      <c r="E15" s="80" t="s">
        <v>7</v>
      </c>
      <c r="F15" s="80" t="s">
        <v>7</v>
      </c>
      <c r="G15" s="80" t="s">
        <v>7</v>
      </c>
      <c r="H15" s="511"/>
      <c r="I15" s="96"/>
      <c r="J15" s="99" t="s">
        <v>207</v>
      </c>
      <c r="K15" s="80">
        <f>IF(ob2_3=0,0,
IF(desc2_3=0,K7*ob2_3,
IF(desc_por_ob="No",0,
IF(AND(desc_por_ob="Yes",ob2_3&gt;desc2_3),"wrong data",(K7*ob2_3)))))</f>
        <v>0</v>
      </c>
      <c r="L15" s="80">
        <f>IF(ob2_3=0,0,
IF(desc2_3=0,L7*ob2_3,
IF(desc_por_ob="No",0,
IF(AND(desc_por_ob="Yes",ob2_3&gt;desc2_3),"wrong data",(L7*ob2_3)))))</f>
        <v>0</v>
      </c>
      <c r="M15" s="80" t="s">
        <v>7</v>
      </c>
      <c r="N15" s="80" t="s">
        <v>7</v>
      </c>
      <c r="O15" s="80" t="s">
        <v>7</v>
      </c>
      <c r="P15" s="511"/>
      <c r="Q15" s="96"/>
      <c r="R15" s="99" t="s">
        <v>207</v>
      </c>
      <c r="S15" s="80">
        <f>IF(ob3_3=0,0,
IF(desc3_3=0,S7*ob3_3,
IF(desc_por_ob="No",0,
IF(AND(desc_por_ob="Yes",ob3_3&gt;desc3_3),"wrong data",(S7*ob3_3)))))</f>
        <v>0</v>
      </c>
      <c r="T15" s="80">
        <f>IF(ob3_3=0,0,
IF(desc3_3=0,T7*ob3_3,
IF(desc_por_ob="No",0,
IF(AND(desc_por_ob="Yes",ob3_3&gt;desc3_3),"wrong data",(T7*ob3_3)))))</f>
        <v>0</v>
      </c>
      <c r="U15" s="80" t="s">
        <v>7</v>
      </c>
      <c r="V15" s="80" t="s">
        <v>7</v>
      </c>
      <c r="W15" s="80" t="s">
        <v>7</v>
      </c>
      <c r="X15" s="511"/>
      <c r="Y15" s="96"/>
      <c r="Z15" s="99" t="s">
        <v>207</v>
      </c>
      <c r="AA15" s="80">
        <f>IF(ob4_3=0,0,
IF(desc4_3=0,AA7*ob4_3,
IF(desc_por_ob="No",0,
IF(AND(desc_por_ob="Yes",ob4_3&gt;desc4_3),"wrong data",(AA7*ob4_3)))))</f>
        <v>0</v>
      </c>
      <c r="AB15" s="80">
        <f>IF(ob4_3=0,0,
IF(desc4_3=0,AB7*ob4_3,
IF(desc_por_ob="No",0,
IF(AND(desc_por_ob="Yes",ob4_3&gt;desc4_3),"wrong data",(AB7*ob4_3)))))</f>
        <v>0</v>
      </c>
      <c r="AC15" s="80" t="s">
        <v>7</v>
      </c>
      <c r="AD15" s="80" t="s">
        <v>7</v>
      </c>
      <c r="AE15" s="80" t="s">
        <v>7</v>
      </c>
      <c r="AF15" s="511"/>
      <c r="AG15" s="96"/>
      <c r="AH15" s="99" t="s">
        <v>207</v>
      </c>
      <c r="AI15" s="80">
        <f>IF(ob5_3=0,0,
IF(desc5_3=0,AI7*ob5_3,
IF(desc_por_ob="No",0,
IF(AND(desc_por_ob="Yes",ob5_3&gt;desc5_3),"wrong data",(AI7*ob5_3)))))</f>
        <v>0</v>
      </c>
      <c r="AJ15" s="80">
        <f>IF(ob5_3=0,0,
IF(desc5_3=0,AJ7*ob5_3,
IF(desc_por_ob="No",0,
IF(AND(desc_por_ob="Yes",ob5_3&gt;desc5_3),"wrong data",(AJ7*ob5_3)))))</f>
        <v>0</v>
      </c>
      <c r="AK15" s="80" t="s">
        <v>7</v>
      </c>
      <c r="AL15" s="80" t="s">
        <v>7</v>
      </c>
      <c r="AM15" s="80" t="s">
        <v>7</v>
      </c>
      <c r="AN15" s="511"/>
      <c r="AO15" s="96"/>
      <c r="AP15" s="99" t="s">
        <v>207</v>
      </c>
      <c r="AQ15" s="80">
        <f>IF(ob6_3=0,0,
IF(desc6_3=0,AQ7*ob6_3,
IF(desc_por_ob="No",0,
IF(AND(desc_por_ob="Yes",ob6_3&gt;desc6_3),"wrong data",(AQ7*ob6_3)))))</f>
        <v>0</v>
      </c>
      <c r="AR15" s="80">
        <f>IF(ob6_3=0,0,
IF(desc6_3=0,AR7*ob6_3,
IF(desc_por_ob="No",0,
IF(AND(desc_por_ob="Yes",ob6_3&gt;desc6_3),"wrong data",(AR7*ob6_3)))))</f>
        <v>0</v>
      </c>
      <c r="AS15" s="80" t="s">
        <v>7</v>
      </c>
      <c r="AT15" s="80" t="s">
        <v>7</v>
      </c>
      <c r="AU15" s="80" t="s">
        <v>7</v>
      </c>
      <c r="AV15" s="511"/>
      <c r="AW15" s="96"/>
      <c r="AX15" s="99" t="s">
        <v>207</v>
      </c>
      <c r="AY15" s="80">
        <f>IF(ob7_3=0,0,
IF(desc7_3=0,AY7*ob7_3,
IF(desc_por_ob="No",0,
IF(AND(desc_por_ob="Yes",ob7_3&gt;desc7_3),"wrong data",(AY7*ob7_3)))))</f>
        <v>0</v>
      </c>
      <c r="AZ15" s="80">
        <f>IF(ob7_3=0,0,
IF(desc7_3=0,AZ7*ob7_3,
IF(desc_por_ob="No",0,
IF(AND(desc_por_ob="Yes",ob7_3&gt;desc7_3),"wrong data",(AZ7*ob7_3)))))</f>
        <v>0</v>
      </c>
      <c r="BA15" s="80" t="s">
        <v>7</v>
      </c>
      <c r="BB15" s="80" t="s">
        <v>7</v>
      </c>
      <c r="BC15" s="80" t="s">
        <v>7</v>
      </c>
      <c r="BD15" s="511"/>
      <c r="BE15" s="96"/>
      <c r="BF15" s="99" t="s">
        <v>207</v>
      </c>
      <c r="BG15" s="80">
        <f>IF(ob8_3=0,0,
IF(desc8_3=0,BG7*ob8_3,
IF(desc_por_ob="No",0,
IF(AND(desc_por_ob="Yes",ob8_3&gt;desc8_3),"wrong data",(BG7*ob8_3)))))</f>
        <v>0</v>
      </c>
      <c r="BH15" s="80">
        <f>IF(ob8_3=0,0,
IF(desc8_3=0,BH7*ob8_3,
IF(desc_por_ob="No",0,
IF(AND(desc_por_ob="Yes",ob8_3&gt;desc8_3),"wrong data",(BH7*ob8_3)))))</f>
        <v>0</v>
      </c>
      <c r="BI15" s="80" t="s">
        <v>7</v>
      </c>
      <c r="BJ15" s="80" t="s">
        <v>7</v>
      </c>
      <c r="BK15" s="80" t="s">
        <v>7</v>
      </c>
      <c r="BL15" s="511"/>
      <c r="BM15" s="96"/>
      <c r="BN15" s="99" t="s">
        <v>207</v>
      </c>
      <c r="BO15" s="80">
        <f>IF(ob9_3=0,0,
IF(desc9_3=0,BO7*ob9_3,
IF(desc_por_ob="No",0,
IF(AND(desc_por_ob="Yes",ob9_3&gt;desc9_3),"wrong data",(BO7*ob9_3)))))</f>
        <v>0</v>
      </c>
      <c r="BP15" s="80">
        <f>IF(ob9_3=0,0,
IF(desc9_3=0,BP7*ob9_3,
IF(desc_por_ob="No",0,
IF(AND(desc_por_ob="Yes",ob9_3&gt;desc9_3),"wrong data",(BP7*ob9_3)))))</f>
        <v>0</v>
      </c>
      <c r="BQ15" s="80" t="s">
        <v>7</v>
      </c>
      <c r="BR15" s="80" t="s">
        <v>7</v>
      </c>
      <c r="BS15" s="80" t="s">
        <v>7</v>
      </c>
      <c r="BT15" s="511"/>
      <c r="BU15" s="96"/>
      <c r="BV15" s="99" t="s">
        <v>207</v>
      </c>
      <c r="BW15" s="80">
        <f>IF(ob10_3=0,0,
IF(desc10_3=0,BW7*ob10_3,
IF(desc_por_ob="No",0,
IF(AND(desc_por_ob="Yes",ob10_3&gt;desc10_3),"wrong data",(BW7*ob10_3)))))</f>
        <v>0</v>
      </c>
      <c r="BX15" s="80">
        <f>IF(ob10_3=0,0,
IF(desc10_3=0,BX7*ob10_3,
IF(desc_por_ob="No",0,
IF(AND(desc_por_ob="Yes",ob10_3&gt;desc10_3),"wrong data",(BX7*ob10_3)))))</f>
        <v>0</v>
      </c>
      <c r="BY15" s="80" t="s">
        <v>7</v>
      </c>
      <c r="BZ15" s="80" t="s">
        <v>7</v>
      </c>
      <c r="CA15" s="80" t="s">
        <v>7</v>
      </c>
      <c r="CB15" s="511"/>
      <c r="CC15" s="96"/>
      <c r="CD15" s="99" t="s">
        <v>207</v>
      </c>
      <c r="CE15" s="80">
        <f>IF(ob11_3=0,0,
IF(desc11_3=0,CE7*ob11_3,
IF(desc_por_ob="No",0,
IF(AND(desc_por_ob="Yes",ob11_3&gt;desc11_3),"wrong data",(CE7*ob11_3)))))</f>
        <v>0</v>
      </c>
      <c r="CF15" s="80">
        <f>IF(ob11_3=0,0,
IF(desc11_3=0,CF7*ob11_3,
IF(desc_por_ob="No",0,
IF(AND(desc_por_ob="Yes",ob11_3&gt;desc11_3),"wrong data",(CF7*ob11_3)))))</f>
        <v>0</v>
      </c>
      <c r="CG15" s="80" t="s">
        <v>7</v>
      </c>
      <c r="CH15" s="80" t="s">
        <v>7</v>
      </c>
      <c r="CI15" s="80" t="s">
        <v>7</v>
      </c>
      <c r="CJ15" s="511"/>
      <c r="CK15" s="96"/>
      <c r="CL15" s="99" t="s">
        <v>207</v>
      </c>
      <c r="CM15" s="80">
        <f>IF(ob12_3=0,0,
IF(desc12_3=0,CM7*ob12_3,
IF(desc_por_ob="No",0,
IF(AND(desc_por_ob="Yes",ob12_3&gt;desc12_3),"wrong data",(CM7*ob12_3)))))</f>
        <v>0</v>
      </c>
      <c r="CN15" s="80">
        <f>IF(ob12_3=0,0,
IF(desc12_3=0,CN7*ob12_3,
IF(desc_por_ob="No",0,
IF(AND(desc_por_ob="Yes",ob12_3&gt;desc12_3),"wrong data",(CN7*ob12_3)))))</f>
        <v>0</v>
      </c>
      <c r="CO15" s="80" t="s">
        <v>7</v>
      </c>
      <c r="CP15" s="80" t="s">
        <v>7</v>
      </c>
      <c r="CQ15" s="80" t="s">
        <v>7</v>
      </c>
      <c r="CR15" s="511"/>
      <c r="CS15" s="96"/>
      <c r="CT15" s="99" t="s">
        <v>207</v>
      </c>
      <c r="CU15" s="80">
        <f>IF(ob13_3=0,0,
IF(desc13_3=0,CU7*ob13_3,
IF(desc_por_ob="No",0,
IF(AND(desc_por_ob="Yes",ob13_3&gt;desc13_3),"wrong data",(CU7*ob13_3)))))</f>
        <v>0</v>
      </c>
      <c r="CV15" s="80">
        <f>IF(ob13_3=0,0,
IF(desc13_3=0,CV7*ob13_3,
IF(desc_por_ob="No",0,
IF(AND(desc_por_ob="Yes",ob13_3&gt;desc13_3),"wrong data",(CV7*ob13_3)))))</f>
        <v>0</v>
      </c>
      <c r="CW15" s="80" t="s">
        <v>7</v>
      </c>
      <c r="CX15" s="80" t="s">
        <v>7</v>
      </c>
      <c r="CY15" s="80" t="s">
        <v>7</v>
      </c>
      <c r="CZ15" s="511"/>
      <c r="DA15" s="96"/>
      <c r="DB15" s="99" t="s">
        <v>207</v>
      </c>
      <c r="DC15" s="80">
        <f>IF(ob14_3=0,0,
IF(desc14_3=0,DC7*ob14_3,
IF(desc_por_ob="No",0,
IF(AND(desc_por_ob="Yes",ob14_3&gt;desc14_3),"wrong data",(DC7*ob14_3)))))</f>
        <v>0</v>
      </c>
      <c r="DD15" s="80">
        <f>IF(ob14_3=0,0,
IF(desc14_3=0,DD7*ob14_3,
IF(desc_por_ob="No",0,
IF(AND(desc_por_ob="Yes",ob14_3&gt;desc14_3),"wrong data",(DD7*ob14_3)))))</f>
        <v>0</v>
      </c>
      <c r="DE15" s="80" t="s">
        <v>7</v>
      </c>
      <c r="DF15" s="80" t="s">
        <v>7</v>
      </c>
      <c r="DG15" s="80" t="s">
        <v>7</v>
      </c>
      <c r="DH15" s="511"/>
      <c r="DI15" s="96"/>
    </row>
    <row r="16" spans="2:113" s="97" customFormat="1" ht="15" thickBot="1">
      <c r="B16" s="100" t="str">
        <f>IF(OR(uso=3,uso=4),"Progressed","Discontinued")</f>
        <v>Discontinued</v>
      </c>
      <c r="C16" s="315">
        <f>IF(desc1_3=0,0,
IF(AND(desc_por_ob="Yes",ob1_3&gt;desc1_3),"wrong data",C7-C14-C15))</f>
        <v>0</v>
      </c>
      <c r="D16" s="315">
        <f>IF(desc1_3=0,0,
IF(AND(desc_por_ob="Yes",ob1_3&gt;desc1_3),"wrong data",D7-D14-D15))</f>
        <v>0</v>
      </c>
      <c r="E16" s="315" t="s">
        <v>7</v>
      </c>
      <c r="F16" s="315" t="s">
        <v>7</v>
      </c>
      <c r="G16" s="315" t="s">
        <v>7</v>
      </c>
      <c r="H16" s="512"/>
      <c r="I16" s="96"/>
      <c r="J16" s="100" t="str">
        <f>IF(OR(uso=3,uso=4),"Progressed","Discontinued")</f>
        <v>Discontinued</v>
      </c>
      <c r="K16" s="315">
        <f>IF(desc2_3=0,0,
IF(AND(desc_por_ob="Yes",ob2_3&gt;desc2_3),"wrong data",K7-K14-K15))</f>
        <v>0</v>
      </c>
      <c r="L16" s="315">
        <f>IF(desc2_3=0,0,
IF(AND(desc_por_ob="Yes",ob2_3&gt;desc2_3),"wrong data",L7-L14-L15))</f>
        <v>0</v>
      </c>
      <c r="M16" s="315" t="s">
        <v>7</v>
      </c>
      <c r="N16" s="315" t="s">
        <v>7</v>
      </c>
      <c r="O16" s="315" t="s">
        <v>7</v>
      </c>
      <c r="P16" s="512"/>
      <c r="Q16" s="96"/>
      <c r="R16" s="100" t="s">
        <v>208</v>
      </c>
      <c r="S16" s="315">
        <f>IF(desc3_3=0,0,
IF(AND(desc_por_ob="Yes",ob3_3&gt;desc3_3),"wrong data",S7-S14-S15))</f>
        <v>0</v>
      </c>
      <c r="T16" s="315">
        <f>IF(desc3_3=0,0,
IF(AND(desc_por_ob="Yes",ob3_3&gt;desc3_3),"wrong data",T7-T14-T15))</f>
        <v>0</v>
      </c>
      <c r="U16" s="315" t="s">
        <v>7</v>
      </c>
      <c r="V16" s="315" t="s">
        <v>7</v>
      </c>
      <c r="W16" s="315" t="s">
        <v>7</v>
      </c>
      <c r="X16" s="512"/>
      <c r="Y16" s="96"/>
      <c r="Z16" s="100" t="s">
        <v>208</v>
      </c>
      <c r="AA16" s="315">
        <f>IF(desc4_3=0,0,
IF(AND(desc_por_ob="Yes",ob4_3&gt;desc4_3),"wrong data",AA7-AA14-AA15))</f>
        <v>0</v>
      </c>
      <c r="AB16" s="315">
        <f>IF(desc4_3=0,0,
IF(AND(desc_por_ob="Yes",ob4_3&gt;desc4_3),"wrong data",AB7-AB14-AB15))</f>
        <v>0</v>
      </c>
      <c r="AC16" s="315" t="s">
        <v>7</v>
      </c>
      <c r="AD16" s="315" t="s">
        <v>7</v>
      </c>
      <c r="AE16" s="315" t="s">
        <v>7</v>
      </c>
      <c r="AF16" s="512"/>
      <c r="AG16" s="96"/>
      <c r="AH16" s="100" t="s">
        <v>208</v>
      </c>
      <c r="AI16" s="315">
        <f>IF(desc5_3=0,0,
IF(AND(desc_por_ob="Yes",ob5_3&gt;desc5_3),"wrong data",AI7-AI14-AI15))</f>
        <v>0</v>
      </c>
      <c r="AJ16" s="315">
        <f>IF(desc5_3=0,0,
IF(AND(desc_por_ob="Yes",ob5_3&gt;desc5_3),"wrong data",AJ7-AJ14-AJ15))</f>
        <v>0</v>
      </c>
      <c r="AK16" s="315" t="s">
        <v>7</v>
      </c>
      <c r="AL16" s="315" t="s">
        <v>7</v>
      </c>
      <c r="AM16" s="315" t="s">
        <v>7</v>
      </c>
      <c r="AN16" s="512"/>
      <c r="AO16" s="96"/>
      <c r="AP16" s="100" t="s">
        <v>208</v>
      </c>
      <c r="AQ16" s="315">
        <f>IF(desc6_3=0,0,
IF(AND(desc_por_ob="Yes",ob6_3&gt;desc6_3),"wrong data",AQ7-AQ14-AQ15))</f>
        <v>0</v>
      </c>
      <c r="AR16" s="315">
        <f>IF(desc6_3=0,0,
IF(AND(desc_por_ob="Yes",ob6_3&gt;desc6_3),"wrong data",AR7-AR14-AR15))</f>
        <v>0</v>
      </c>
      <c r="AS16" s="315" t="s">
        <v>7</v>
      </c>
      <c r="AT16" s="315" t="s">
        <v>7</v>
      </c>
      <c r="AU16" s="315" t="s">
        <v>7</v>
      </c>
      <c r="AV16" s="512"/>
      <c r="AW16" s="96"/>
      <c r="AX16" s="100" t="s">
        <v>208</v>
      </c>
      <c r="AY16" s="315">
        <f>IF(desc7_3=0,0,
IF(AND(desc_por_ob="Yes",ob7_3&gt;desc7_3),"wrong data",AY7-AY14-AY15))</f>
        <v>0</v>
      </c>
      <c r="AZ16" s="315">
        <f>IF(desc7_3=0,0,
IF(AND(desc_por_ob="Yes",ob7_3&gt;desc7_3),"wrong data",AZ7-AZ14-AZ15))</f>
        <v>0</v>
      </c>
      <c r="BA16" s="315" t="s">
        <v>7</v>
      </c>
      <c r="BB16" s="315" t="s">
        <v>7</v>
      </c>
      <c r="BC16" s="315" t="s">
        <v>7</v>
      </c>
      <c r="BD16" s="512"/>
      <c r="BE16" s="96"/>
      <c r="BF16" s="100" t="s">
        <v>208</v>
      </c>
      <c r="BG16" s="315">
        <f>IF(desc8_3=0,0,
IF(AND(desc_por_ob="Yes",ob8_3&gt;desc8_3),"wrong data",BG7-BG14-BG15))</f>
        <v>0</v>
      </c>
      <c r="BH16" s="315">
        <f>IF(desc8_3=0,0,
IF(AND(desc_por_ob="Yes",ob8_3&gt;desc8_3),"wrong data",BH7-BH14-BH15))</f>
        <v>0</v>
      </c>
      <c r="BI16" s="315" t="s">
        <v>7</v>
      </c>
      <c r="BJ16" s="315" t="s">
        <v>7</v>
      </c>
      <c r="BK16" s="315" t="s">
        <v>7</v>
      </c>
      <c r="BL16" s="512"/>
      <c r="BM16" s="96"/>
      <c r="BN16" s="100" t="s">
        <v>208</v>
      </c>
      <c r="BO16" s="315">
        <f>IF(desc9_3=0,0,
IF(AND(desc_por_ob="Yes",ob9_3&gt;desc9_3),"wrong data",BO7-BO14-BO15))</f>
        <v>0</v>
      </c>
      <c r="BP16" s="315">
        <f>IF(desc9_3=0,0,
IF(AND(desc_por_ob="Yes",ob9_3&gt;desc9_3),"wrong data",BP7-BP14-BP15))</f>
        <v>0</v>
      </c>
      <c r="BQ16" s="315" t="s">
        <v>7</v>
      </c>
      <c r="BR16" s="315" t="s">
        <v>7</v>
      </c>
      <c r="BS16" s="315" t="s">
        <v>7</v>
      </c>
      <c r="BT16" s="512"/>
      <c r="BU16" s="96"/>
      <c r="BV16" s="100" t="s">
        <v>208</v>
      </c>
      <c r="BW16" s="315">
        <f>IF(desc10_3=0,0,
IF(AND(desc_por_ob="Yes",ob10_3&gt;desc10_3),"wrong data",BW7-BW14-BW15))</f>
        <v>0</v>
      </c>
      <c r="BX16" s="315">
        <f>IF(desc10_3=0,0,
IF(AND(desc_por_ob="Yes",ob10_3&gt;desc10_3),"wrong data",BX7-BX14-BX15))</f>
        <v>0</v>
      </c>
      <c r="BY16" s="315" t="s">
        <v>7</v>
      </c>
      <c r="BZ16" s="315" t="s">
        <v>7</v>
      </c>
      <c r="CA16" s="315" t="s">
        <v>7</v>
      </c>
      <c r="CB16" s="512"/>
      <c r="CC16" s="96"/>
      <c r="CD16" s="100" t="s">
        <v>208</v>
      </c>
      <c r="CE16" s="315">
        <f>IF(desc11_3=0,0,
IF(AND(desc_por_ob="Yes",ob11_3&gt;desc11_3),"wrong data",CE7-CE14-CE15))</f>
        <v>0</v>
      </c>
      <c r="CF16" s="315">
        <f>IF(desc11_3=0,0,
IF(AND(desc_por_ob="Yes",ob11_3&gt;desc11_3),"wrong data",CF7-CF14-CF15))</f>
        <v>0</v>
      </c>
      <c r="CG16" s="315" t="s">
        <v>7</v>
      </c>
      <c r="CH16" s="315" t="s">
        <v>7</v>
      </c>
      <c r="CI16" s="315" t="s">
        <v>7</v>
      </c>
      <c r="CJ16" s="512"/>
      <c r="CK16" s="96"/>
      <c r="CL16" s="100" t="s">
        <v>208</v>
      </c>
      <c r="CM16" s="315">
        <f>IF(desc12_3=0,0,
IF(AND(desc_por_ob="Yes",ob12_3&gt;desc12_3),"wrong data",CM7-CM14-CM15))</f>
        <v>0</v>
      </c>
      <c r="CN16" s="315">
        <f>IF(desc12_3=0,0,
IF(AND(desc_por_ob="Yes",ob12_3&gt;desc12_3),"wrong data",CN7-CN14-CN15))</f>
        <v>0</v>
      </c>
      <c r="CO16" s="315" t="s">
        <v>7</v>
      </c>
      <c r="CP16" s="315" t="s">
        <v>7</v>
      </c>
      <c r="CQ16" s="315" t="s">
        <v>7</v>
      </c>
      <c r="CR16" s="512"/>
      <c r="CS16" s="96"/>
      <c r="CT16" s="100" t="s">
        <v>208</v>
      </c>
      <c r="CU16" s="315">
        <f>IF(desc13_3=0,0,
IF(AND(desc_por_ob="Yes",ob13_3&gt;desc13_3),"wrong data",CU7-CU14-CU15))</f>
        <v>0</v>
      </c>
      <c r="CV16" s="315">
        <f>IF(desc13_3=0,0,
IF(AND(desc_por_ob="Yes",ob13_3&gt;desc13_3),"wrong data",CV7-CV14-CV15))</f>
        <v>0</v>
      </c>
      <c r="CW16" s="315" t="s">
        <v>7</v>
      </c>
      <c r="CX16" s="315" t="s">
        <v>7</v>
      </c>
      <c r="CY16" s="315" t="s">
        <v>7</v>
      </c>
      <c r="CZ16" s="512"/>
      <c r="DA16" s="96"/>
      <c r="DB16" s="100" t="s">
        <v>208</v>
      </c>
      <c r="DC16" s="315">
        <f>IF(desc14_3=0,0,
IF(AND(desc_por_ob="Yes",ob14_3&gt;desc14_3),"wrong data",DC7-DC14-DC15))</f>
        <v>0</v>
      </c>
      <c r="DD16" s="315">
        <f>IF(desc14_3=0,0,
IF(AND(desc_por_ob="Yes",ob14_3&gt;desc14_3),"wrong data",DD7-DD14-DD15))</f>
        <v>0</v>
      </c>
      <c r="DE16" s="315" t="s">
        <v>7</v>
      </c>
      <c r="DF16" s="315" t="s">
        <v>7</v>
      </c>
      <c r="DG16" s="315" t="s">
        <v>7</v>
      </c>
      <c r="DH16" s="512"/>
      <c r="DI16" s="96"/>
    </row>
    <row r="17" spans="2:113" s="97" customFormat="1" ht="15" customHeight="1">
      <c r="B17" s="98" t="str">
        <f>IF(OR(uso=3,uso=4),"Progression-free","On treatment")</f>
        <v>On treatment</v>
      </c>
      <c r="C17" s="314">
        <f>IF(AND(desc1_4=0,ob1_4=0),C14,
IF(AND(desc1_4=0,ob1_4&gt;0),C7*(1-ob1_4),C7*(1-desc1_4)))</f>
        <v>311080.53998220514</v>
      </c>
      <c r="D17" s="314" t="s">
        <v>7</v>
      </c>
      <c r="E17" s="314" t="s">
        <v>7</v>
      </c>
      <c r="F17" s="314" t="s">
        <v>7</v>
      </c>
      <c r="G17" s="314" t="s">
        <v>7</v>
      </c>
      <c r="H17" s="510" t="s">
        <v>308</v>
      </c>
      <c r="I17" s="96"/>
      <c r="J17" s="98" t="str">
        <f>IF(OR(uso=3,uso=4),"Progression-free","On treatment")</f>
        <v>On treatment</v>
      </c>
      <c r="K17" s="314">
        <f>IF(AND(desc2_4=0,ob2_4=0),K14,
IF(AND(desc2_4=0,ob2_4&gt;0),K7*(1-ob2_4),K7*(1-desc2_4)))</f>
        <v>311080.53998220514</v>
      </c>
      <c r="L17" s="314" t="s">
        <v>7</v>
      </c>
      <c r="M17" s="314" t="s">
        <v>7</v>
      </c>
      <c r="N17" s="314" t="s">
        <v>7</v>
      </c>
      <c r="O17" s="314" t="s">
        <v>7</v>
      </c>
      <c r="P17" s="510" t="s">
        <v>308</v>
      </c>
      <c r="Q17" s="96"/>
      <c r="R17" s="98" t="s">
        <v>206</v>
      </c>
      <c r="S17" s="314">
        <f>IF(AND(desc3_4=0,ob3_4=0),S14,
IF(AND(desc3_4=0,ob3_4&gt;0),S7*(1-ob3_4),S7*(1-desc3_4)))</f>
        <v>311080.53998220514</v>
      </c>
      <c r="T17" s="314" t="s">
        <v>7</v>
      </c>
      <c r="U17" s="314" t="s">
        <v>7</v>
      </c>
      <c r="V17" s="314" t="s">
        <v>7</v>
      </c>
      <c r="W17" s="314" t="s">
        <v>7</v>
      </c>
      <c r="X17" s="510" t="s">
        <v>308</v>
      </c>
      <c r="Y17" s="96"/>
      <c r="Z17" s="98" t="s">
        <v>206</v>
      </c>
      <c r="AA17" s="314">
        <f>IF(AND(desc4_4=0,ob4_4=0),AA14,
IF(AND(desc4_4=0,ob4_4&gt;0),AA7*(1-ob4_4),AA7*(1-desc4_4)))</f>
        <v>311080.53998220514</v>
      </c>
      <c r="AB17" s="314" t="s">
        <v>7</v>
      </c>
      <c r="AC17" s="314" t="s">
        <v>7</v>
      </c>
      <c r="AD17" s="314" t="s">
        <v>7</v>
      </c>
      <c r="AE17" s="314" t="s">
        <v>7</v>
      </c>
      <c r="AF17" s="510" t="s">
        <v>308</v>
      </c>
      <c r="AG17" s="96"/>
      <c r="AH17" s="98" t="s">
        <v>206</v>
      </c>
      <c r="AI17" s="314">
        <f>IF(AND(desc5_4=0,ob5_4=0),AI14,
IF(AND(desc5_4=0,ob5_4&gt;0),AI7*(1-ob5_4),AI7*(1-desc5_4)))</f>
        <v>311080.53998220514</v>
      </c>
      <c r="AJ17" s="314" t="s">
        <v>7</v>
      </c>
      <c r="AK17" s="314" t="s">
        <v>7</v>
      </c>
      <c r="AL17" s="314" t="s">
        <v>7</v>
      </c>
      <c r="AM17" s="314" t="s">
        <v>7</v>
      </c>
      <c r="AN17" s="510" t="s">
        <v>308</v>
      </c>
      <c r="AO17" s="96"/>
      <c r="AP17" s="98" t="s">
        <v>206</v>
      </c>
      <c r="AQ17" s="314">
        <f>IF(AND(desc6_4=0,ob6_4=0),AQ14,
IF(AND(desc6_4=0,ob6_4&gt;0),AQ7*(1-ob6_4),AQ7*(1-desc6_4)))</f>
        <v>311080.53998220514</v>
      </c>
      <c r="AR17" s="314" t="s">
        <v>7</v>
      </c>
      <c r="AS17" s="314" t="s">
        <v>7</v>
      </c>
      <c r="AT17" s="314" t="s">
        <v>7</v>
      </c>
      <c r="AU17" s="314" t="s">
        <v>7</v>
      </c>
      <c r="AV17" s="510" t="s">
        <v>308</v>
      </c>
      <c r="AW17" s="96"/>
      <c r="AX17" s="98" t="s">
        <v>206</v>
      </c>
      <c r="AY17" s="314">
        <f>IF(AND(desc7_4=0,ob7_4=0),AY14,
IF(AND(desc7_4=0,ob7_4&gt;0),AY7*(1-ob7_4),AY7*(1-desc7_4)))</f>
        <v>311080.53998220514</v>
      </c>
      <c r="AZ17" s="314" t="s">
        <v>7</v>
      </c>
      <c r="BA17" s="314" t="s">
        <v>7</v>
      </c>
      <c r="BB17" s="314" t="s">
        <v>7</v>
      </c>
      <c r="BC17" s="314" t="s">
        <v>7</v>
      </c>
      <c r="BD17" s="510" t="s">
        <v>308</v>
      </c>
      <c r="BE17" s="96"/>
      <c r="BF17" s="98" t="s">
        <v>206</v>
      </c>
      <c r="BG17" s="314">
        <f>IF(AND(desc8_4=0,ob8_4=0),BG14,
IF(AND(desc8_4=0,ob8_4&gt;0),BG7*(1-ob8_4),BG7*(1-desc8_4)))</f>
        <v>311080.53998220514</v>
      </c>
      <c r="BH17" s="314" t="s">
        <v>7</v>
      </c>
      <c r="BI17" s="314" t="s">
        <v>7</v>
      </c>
      <c r="BJ17" s="314" t="s">
        <v>7</v>
      </c>
      <c r="BK17" s="314" t="s">
        <v>7</v>
      </c>
      <c r="BL17" s="510" t="s">
        <v>308</v>
      </c>
      <c r="BM17" s="96"/>
      <c r="BN17" s="98" t="s">
        <v>206</v>
      </c>
      <c r="BO17" s="314">
        <f>IF(AND(desc9_4=0,ob9_4=0),BO14,
IF(AND(desc9_4=0,ob9_4&gt;0),BO7*(1-ob9_4),BO7*(1-desc9_4)))</f>
        <v>311080.53998220514</v>
      </c>
      <c r="BP17" s="314" t="s">
        <v>7</v>
      </c>
      <c r="BQ17" s="314" t="s">
        <v>7</v>
      </c>
      <c r="BR17" s="314" t="s">
        <v>7</v>
      </c>
      <c r="BS17" s="314" t="s">
        <v>7</v>
      </c>
      <c r="BT17" s="510" t="s">
        <v>308</v>
      </c>
      <c r="BU17" s="96"/>
      <c r="BV17" s="98" t="s">
        <v>206</v>
      </c>
      <c r="BW17" s="314">
        <f>IF(AND(desc10_4=0,ob10_4=0),BW14,
IF(AND(desc10_4=0,ob10_4&gt;0),BW7*(1-ob10_4),BW7*(1-desc10_4)))</f>
        <v>311080.53998220514</v>
      </c>
      <c r="BX17" s="314" t="s">
        <v>7</v>
      </c>
      <c r="BY17" s="314" t="s">
        <v>7</v>
      </c>
      <c r="BZ17" s="314" t="s">
        <v>7</v>
      </c>
      <c r="CA17" s="314" t="s">
        <v>7</v>
      </c>
      <c r="CB17" s="510" t="s">
        <v>308</v>
      </c>
      <c r="CC17" s="96"/>
      <c r="CD17" s="98" t="s">
        <v>206</v>
      </c>
      <c r="CE17" s="314">
        <f>IF(AND(desc11_4=0,ob11_4=0),CE14,
IF(AND(desc11_4=0,ob11_4&gt;0),CE7*(1-ob11_4),CE7*(1-desc11_4)))</f>
        <v>311080.53998220514</v>
      </c>
      <c r="CF17" s="314" t="s">
        <v>7</v>
      </c>
      <c r="CG17" s="314" t="s">
        <v>7</v>
      </c>
      <c r="CH17" s="314" t="s">
        <v>7</v>
      </c>
      <c r="CI17" s="314" t="s">
        <v>7</v>
      </c>
      <c r="CJ17" s="510" t="s">
        <v>308</v>
      </c>
      <c r="CK17" s="96"/>
      <c r="CL17" s="98" t="s">
        <v>206</v>
      </c>
      <c r="CM17" s="314">
        <f>IF(AND(desc12_4=0,ob12_4=0),CM14,
IF(AND(desc12_4=0,ob12_4&gt;0),CM7*(1-ob12_4),CM7*(1-desc12_4)))</f>
        <v>311080.53998220514</v>
      </c>
      <c r="CN17" s="314" t="s">
        <v>7</v>
      </c>
      <c r="CO17" s="314" t="s">
        <v>7</v>
      </c>
      <c r="CP17" s="314" t="s">
        <v>7</v>
      </c>
      <c r="CQ17" s="314" t="s">
        <v>7</v>
      </c>
      <c r="CR17" s="510" t="s">
        <v>308</v>
      </c>
      <c r="CS17" s="96"/>
      <c r="CT17" s="98" t="s">
        <v>206</v>
      </c>
      <c r="CU17" s="314">
        <f>IF(AND(desc13_4=0,ob13_4=0),CU14,
IF(AND(desc13_4=0,ob13_4&gt;0),CU7*(1-ob13_4),CU7*(1-desc13_4)))</f>
        <v>311080.53998220514</v>
      </c>
      <c r="CV17" s="314" t="s">
        <v>7</v>
      </c>
      <c r="CW17" s="314" t="s">
        <v>7</v>
      </c>
      <c r="CX17" s="314" t="s">
        <v>7</v>
      </c>
      <c r="CY17" s="314" t="s">
        <v>7</v>
      </c>
      <c r="CZ17" s="510" t="s">
        <v>308</v>
      </c>
      <c r="DA17" s="96"/>
      <c r="DB17" s="98" t="s">
        <v>206</v>
      </c>
      <c r="DC17" s="314">
        <f>IF(AND(desc14_4=0,ob14_4=0),DC14,
IF(AND(desc14_4=0,ob14_4&gt;0),DC7*(1-ob14_4),DC7*(1-desc14_4)))</f>
        <v>311080.53998220514</v>
      </c>
      <c r="DD17" s="314" t="s">
        <v>7</v>
      </c>
      <c r="DE17" s="314" t="s">
        <v>7</v>
      </c>
      <c r="DF17" s="314" t="s">
        <v>7</v>
      </c>
      <c r="DG17" s="314" t="s">
        <v>7</v>
      </c>
      <c r="DH17" s="510" t="s">
        <v>308</v>
      </c>
      <c r="DI17" s="96"/>
    </row>
    <row r="18" spans="2:113" s="97" customFormat="1">
      <c r="B18" s="99" t="s">
        <v>207</v>
      </c>
      <c r="C18" s="80">
        <f>IF(ob1_4=0,0,
IF(desc1_4=0,C7*ob1_4,
IF(desc_por_ob="No",0,
IF(AND(desc_por_ob="Yes",ob1_4&gt;desc1_4),"wrong data",(C7*ob1_4)))))</f>
        <v>0</v>
      </c>
      <c r="D18" s="80" t="s">
        <v>7</v>
      </c>
      <c r="E18" s="80" t="s">
        <v>7</v>
      </c>
      <c r="F18" s="80" t="s">
        <v>7</v>
      </c>
      <c r="G18" s="80" t="s">
        <v>7</v>
      </c>
      <c r="H18" s="511"/>
      <c r="I18" s="96"/>
      <c r="J18" s="99" t="s">
        <v>207</v>
      </c>
      <c r="K18" s="80">
        <f>IF(ob2_4=0,0,
IF(desc2_4=0,K7*ob2_4,
IF(desc_por_ob="No",0,
IF(AND(desc_por_ob="Yes",ob2_4&gt;desc2_4),"wrong data",(K7*ob2_4)))))</f>
        <v>0</v>
      </c>
      <c r="L18" s="80" t="s">
        <v>7</v>
      </c>
      <c r="M18" s="80" t="s">
        <v>7</v>
      </c>
      <c r="N18" s="80" t="s">
        <v>7</v>
      </c>
      <c r="O18" s="80" t="s">
        <v>7</v>
      </c>
      <c r="P18" s="511"/>
      <c r="Q18" s="96"/>
      <c r="R18" s="99" t="s">
        <v>207</v>
      </c>
      <c r="S18" s="80">
        <f>IF(ob3_4=0,0,
IF(desc3_4=0,S7*ob3_4,
IF(desc_por_ob="No",0,
IF(AND(desc_por_ob="Yes",ob3_4&gt;desc3_4),"wrong data",(S7*ob3_4)))))</f>
        <v>0</v>
      </c>
      <c r="T18" s="80" t="s">
        <v>7</v>
      </c>
      <c r="U18" s="80" t="s">
        <v>7</v>
      </c>
      <c r="V18" s="80" t="s">
        <v>7</v>
      </c>
      <c r="W18" s="80" t="s">
        <v>7</v>
      </c>
      <c r="X18" s="511"/>
      <c r="Y18" s="96"/>
      <c r="Z18" s="99" t="s">
        <v>207</v>
      </c>
      <c r="AA18" s="80">
        <f>IF(ob4_4=0,0,
IF(desc4_4=0,AA7*ob4_4,
IF(desc_por_ob="No",0,
IF(AND(desc_por_ob="Yes",ob4_4&gt;desc4_4),"wrong data",(AA7*ob4_4)))))</f>
        <v>0</v>
      </c>
      <c r="AB18" s="80" t="s">
        <v>7</v>
      </c>
      <c r="AC18" s="80" t="s">
        <v>7</v>
      </c>
      <c r="AD18" s="80" t="s">
        <v>7</v>
      </c>
      <c r="AE18" s="80" t="s">
        <v>7</v>
      </c>
      <c r="AF18" s="511"/>
      <c r="AG18" s="96"/>
      <c r="AH18" s="99" t="s">
        <v>207</v>
      </c>
      <c r="AI18" s="80">
        <f>IF(ob5_4=0,0,
IF(desc5_4=0,AI7*ob5_4,
IF(desc_por_ob="No",0,
IF(AND(desc_por_ob="Yes",ob5_4&gt;desc5_4),"wrong data",(AI7*ob5_4)))))</f>
        <v>0</v>
      </c>
      <c r="AJ18" s="80" t="s">
        <v>7</v>
      </c>
      <c r="AK18" s="80" t="s">
        <v>7</v>
      </c>
      <c r="AL18" s="80" t="s">
        <v>7</v>
      </c>
      <c r="AM18" s="80" t="s">
        <v>7</v>
      </c>
      <c r="AN18" s="511"/>
      <c r="AO18" s="96"/>
      <c r="AP18" s="99" t="s">
        <v>207</v>
      </c>
      <c r="AQ18" s="80">
        <f>IF(ob6_4=0,0,
IF(desc6_4=0,AQ7*ob6_4,
IF(desc_por_ob="No",0,
IF(AND(desc_por_ob="Yes",ob6_4&gt;desc6_4),"wrong data",(AQ7*ob6_4)))))</f>
        <v>0</v>
      </c>
      <c r="AR18" s="80" t="s">
        <v>7</v>
      </c>
      <c r="AS18" s="80" t="s">
        <v>7</v>
      </c>
      <c r="AT18" s="80" t="s">
        <v>7</v>
      </c>
      <c r="AU18" s="80" t="s">
        <v>7</v>
      </c>
      <c r="AV18" s="511"/>
      <c r="AW18" s="96"/>
      <c r="AX18" s="99" t="s">
        <v>207</v>
      </c>
      <c r="AY18" s="80">
        <f>IF(ob7_4=0,0,
IF(desc7_4=0,AY7*ob7_4,
IF(desc_por_ob="No",0,
IF(AND(desc_por_ob="Yes",ob7_4&gt;desc7_4),"wrong data",(AY7*ob7_4)))))</f>
        <v>0</v>
      </c>
      <c r="AZ18" s="80" t="s">
        <v>7</v>
      </c>
      <c r="BA18" s="80" t="s">
        <v>7</v>
      </c>
      <c r="BB18" s="80" t="s">
        <v>7</v>
      </c>
      <c r="BC18" s="80" t="s">
        <v>7</v>
      </c>
      <c r="BD18" s="511"/>
      <c r="BE18" s="96"/>
      <c r="BF18" s="99" t="s">
        <v>207</v>
      </c>
      <c r="BG18" s="80">
        <f>IF(ob8_4=0,0,
IF(desc8_4=0,BG7*ob8_4,
IF(desc_por_ob="No",0,
IF(AND(desc_por_ob="Yes",ob8_4&gt;desc8_4),"wrong data",(BG7*ob8_4)))))</f>
        <v>0</v>
      </c>
      <c r="BH18" s="80" t="s">
        <v>7</v>
      </c>
      <c r="BI18" s="80" t="s">
        <v>7</v>
      </c>
      <c r="BJ18" s="80" t="s">
        <v>7</v>
      </c>
      <c r="BK18" s="80" t="s">
        <v>7</v>
      </c>
      <c r="BL18" s="511"/>
      <c r="BM18" s="96"/>
      <c r="BN18" s="99" t="s">
        <v>207</v>
      </c>
      <c r="BO18" s="80">
        <f>IF(ob9_4=0,0,
IF(desc9_4=0,BO7*ob9_4,
IF(desc_por_ob="No",0,
IF(AND(desc_por_ob="Yes",ob9_4&gt;desc9_4),"wrong data",(BO7*ob9_4)))))</f>
        <v>0</v>
      </c>
      <c r="BP18" s="80" t="s">
        <v>7</v>
      </c>
      <c r="BQ18" s="80" t="s">
        <v>7</v>
      </c>
      <c r="BR18" s="80" t="s">
        <v>7</v>
      </c>
      <c r="BS18" s="80" t="s">
        <v>7</v>
      </c>
      <c r="BT18" s="511"/>
      <c r="BU18" s="96"/>
      <c r="BV18" s="99" t="s">
        <v>207</v>
      </c>
      <c r="BW18" s="80">
        <f>IF(ob10_4=0,0,
IF(desc10_4=0,BW7*ob10_4,
IF(desc_por_ob="No",0,
IF(AND(desc_por_ob="Yes",ob10_4&gt;desc10_4),"wrong data",(BW7*ob10_4)))))</f>
        <v>0</v>
      </c>
      <c r="BX18" s="80" t="s">
        <v>7</v>
      </c>
      <c r="BY18" s="80" t="s">
        <v>7</v>
      </c>
      <c r="BZ18" s="80" t="s">
        <v>7</v>
      </c>
      <c r="CA18" s="80" t="s">
        <v>7</v>
      </c>
      <c r="CB18" s="511"/>
      <c r="CC18" s="96"/>
      <c r="CD18" s="99" t="s">
        <v>207</v>
      </c>
      <c r="CE18" s="80">
        <f>IF(ob11_4=0,0,
IF(desc11_4=0,CE7*ob11_4,
IF(desc_por_ob="No",0,
IF(AND(desc_por_ob="Yes",ob11_4&gt;desc11_4),"wrong data",(CE7*ob11_4)))))</f>
        <v>0</v>
      </c>
      <c r="CF18" s="80" t="s">
        <v>7</v>
      </c>
      <c r="CG18" s="80" t="s">
        <v>7</v>
      </c>
      <c r="CH18" s="80" t="s">
        <v>7</v>
      </c>
      <c r="CI18" s="80" t="s">
        <v>7</v>
      </c>
      <c r="CJ18" s="511"/>
      <c r="CK18" s="96"/>
      <c r="CL18" s="99" t="s">
        <v>207</v>
      </c>
      <c r="CM18" s="80">
        <f>IF(ob12_4=0,0,
IF(desc12_4=0,CM7*ob12_4,
IF(desc_por_ob="No",0,
IF(AND(desc_por_ob="Yes",ob12_4&gt;desc12_4),"wrong data",(CM7*ob12_4)))))</f>
        <v>0</v>
      </c>
      <c r="CN18" s="80" t="s">
        <v>7</v>
      </c>
      <c r="CO18" s="80" t="s">
        <v>7</v>
      </c>
      <c r="CP18" s="80" t="s">
        <v>7</v>
      </c>
      <c r="CQ18" s="80" t="s">
        <v>7</v>
      </c>
      <c r="CR18" s="511"/>
      <c r="CS18" s="96"/>
      <c r="CT18" s="99" t="s">
        <v>207</v>
      </c>
      <c r="CU18" s="80">
        <f>IF(ob13_4=0,0,
IF(desc13_4=0,CU7*ob13_4,
IF(desc_por_ob="No",0,
IF(AND(desc_por_ob="Yes",ob13_4&gt;desc13_4),"wrong data",(CU7*ob13_4)))))</f>
        <v>0</v>
      </c>
      <c r="CV18" s="80" t="s">
        <v>7</v>
      </c>
      <c r="CW18" s="80" t="s">
        <v>7</v>
      </c>
      <c r="CX18" s="80" t="s">
        <v>7</v>
      </c>
      <c r="CY18" s="80" t="s">
        <v>7</v>
      </c>
      <c r="CZ18" s="511"/>
      <c r="DA18" s="96"/>
      <c r="DB18" s="99" t="s">
        <v>207</v>
      </c>
      <c r="DC18" s="80">
        <f>IF(ob14_4=0,0,
IF(desc14_4=0,DC7*ob14_4,
IF(desc_por_ob="No",0,
IF(AND(desc_por_ob="Yes",ob14_4&gt;desc14_4),"wrong data",(DC7*ob14_4)))))</f>
        <v>0</v>
      </c>
      <c r="DD18" s="80" t="s">
        <v>7</v>
      </c>
      <c r="DE18" s="80" t="s">
        <v>7</v>
      </c>
      <c r="DF18" s="80" t="s">
        <v>7</v>
      </c>
      <c r="DG18" s="80" t="s">
        <v>7</v>
      </c>
      <c r="DH18" s="511"/>
      <c r="DI18" s="96"/>
    </row>
    <row r="19" spans="2:113" s="97" customFormat="1" ht="15" thickBot="1">
      <c r="B19" s="100" t="str">
        <f>IF(OR(uso=3,uso=4),"Progressed","Discontinued")</f>
        <v>Discontinued</v>
      </c>
      <c r="C19" s="315">
        <f>IF(desc1_4=0,0,
IF(AND(desc_por_ob="Yes",ob1_4&gt;desc1_4),"wrong data",C7-C17-C18))</f>
        <v>0</v>
      </c>
      <c r="D19" s="315" t="s">
        <v>7</v>
      </c>
      <c r="E19" s="315" t="s">
        <v>7</v>
      </c>
      <c r="F19" s="315" t="s">
        <v>7</v>
      </c>
      <c r="G19" s="315" t="s">
        <v>7</v>
      </c>
      <c r="H19" s="512"/>
      <c r="I19" s="96"/>
      <c r="J19" s="100" t="str">
        <f>IF(OR(uso=3,uso=4),"Progressed","Discontinued")</f>
        <v>Discontinued</v>
      </c>
      <c r="K19" s="315">
        <f>IF(desc2_4=0,0,
IF(AND(desc_por_ob="Yes",ob2_4&gt;desc2_4),"wrong data",K7-K17-K18))</f>
        <v>0</v>
      </c>
      <c r="L19" s="315" t="s">
        <v>7</v>
      </c>
      <c r="M19" s="315" t="s">
        <v>7</v>
      </c>
      <c r="N19" s="315" t="s">
        <v>7</v>
      </c>
      <c r="O19" s="315" t="s">
        <v>7</v>
      </c>
      <c r="P19" s="512"/>
      <c r="Q19" s="96"/>
      <c r="R19" s="100" t="s">
        <v>208</v>
      </c>
      <c r="S19" s="315">
        <f>IF(desc3_4=0,0,
IF(AND(desc_por_ob="Yes",ob3_4&gt;desc3_4),"wrong data",S7-S17-S18))</f>
        <v>0</v>
      </c>
      <c r="T19" s="315" t="s">
        <v>7</v>
      </c>
      <c r="U19" s="315" t="s">
        <v>7</v>
      </c>
      <c r="V19" s="315" t="s">
        <v>7</v>
      </c>
      <c r="W19" s="315" t="s">
        <v>7</v>
      </c>
      <c r="X19" s="512"/>
      <c r="Y19" s="96"/>
      <c r="Z19" s="100" t="s">
        <v>208</v>
      </c>
      <c r="AA19" s="315">
        <f>IF(desc4_4=0,0,
IF(AND(desc_por_ob="Yes",ob4_4&gt;desc4_4),"wrong data",AA7-AA17-AA18))</f>
        <v>0</v>
      </c>
      <c r="AB19" s="315" t="s">
        <v>7</v>
      </c>
      <c r="AC19" s="315" t="s">
        <v>7</v>
      </c>
      <c r="AD19" s="315" t="s">
        <v>7</v>
      </c>
      <c r="AE19" s="315" t="s">
        <v>7</v>
      </c>
      <c r="AF19" s="512"/>
      <c r="AG19" s="96"/>
      <c r="AH19" s="100" t="s">
        <v>208</v>
      </c>
      <c r="AI19" s="315">
        <f>IF(desc5_4=0,0,
IF(AND(desc_por_ob="Yes",ob5_4&gt;desc5_4),"wrong data",AI7-AI17-AI18))</f>
        <v>0</v>
      </c>
      <c r="AJ19" s="315" t="s">
        <v>7</v>
      </c>
      <c r="AK19" s="315" t="s">
        <v>7</v>
      </c>
      <c r="AL19" s="315" t="s">
        <v>7</v>
      </c>
      <c r="AM19" s="315" t="s">
        <v>7</v>
      </c>
      <c r="AN19" s="512"/>
      <c r="AO19" s="96"/>
      <c r="AP19" s="100" t="s">
        <v>208</v>
      </c>
      <c r="AQ19" s="315">
        <f>IF(desc6_4=0,0,
IF(AND(desc_por_ob="Yes",ob6_4&gt;desc6_4),"wrong data",AQ7-AQ17-AQ18))</f>
        <v>0</v>
      </c>
      <c r="AR19" s="315" t="s">
        <v>7</v>
      </c>
      <c r="AS19" s="315" t="s">
        <v>7</v>
      </c>
      <c r="AT19" s="315" t="s">
        <v>7</v>
      </c>
      <c r="AU19" s="315" t="s">
        <v>7</v>
      </c>
      <c r="AV19" s="512"/>
      <c r="AW19" s="96"/>
      <c r="AX19" s="100" t="s">
        <v>208</v>
      </c>
      <c r="AY19" s="315">
        <f>IF(desc7_4=0,0,
IF(AND(desc_por_ob="Yes",ob7_4&gt;desc7_4),"wrong data",AY7-AY17-AY18))</f>
        <v>0</v>
      </c>
      <c r="AZ19" s="315" t="s">
        <v>7</v>
      </c>
      <c r="BA19" s="315" t="s">
        <v>7</v>
      </c>
      <c r="BB19" s="315" t="s">
        <v>7</v>
      </c>
      <c r="BC19" s="315" t="s">
        <v>7</v>
      </c>
      <c r="BD19" s="512"/>
      <c r="BE19" s="96"/>
      <c r="BF19" s="100" t="s">
        <v>208</v>
      </c>
      <c r="BG19" s="315">
        <f>IF(desc8_4=0,0,
IF(AND(desc_por_ob="Yes",ob8_4&gt;desc8_4),"wrong data",BG7-BG17-BG18))</f>
        <v>0</v>
      </c>
      <c r="BH19" s="315" t="s">
        <v>7</v>
      </c>
      <c r="BI19" s="315" t="s">
        <v>7</v>
      </c>
      <c r="BJ19" s="315" t="s">
        <v>7</v>
      </c>
      <c r="BK19" s="315" t="s">
        <v>7</v>
      </c>
      <c r="BL19" s="512"/>
      <c r="BM19" s="96"/>
      <c r="BN19" s="100" t="s">
        <v>208</v>
      </c>
      <c r="BO19" s="315">
        <f>IF(desc9_4=0,0,
IF(AND(desc_por_ob="Yes",ob9_4&gt;desc9_4),"wrong data",BO7-BO17-BO18))</f>
        <v>0</v>
      </c>
      <c r="BP19" s="315" t="s">
        <v>7</v>
      </c>
      <c r="BQ19" s="315" t="s">
        <v>7</v>
      </c>
      <c r="BR19" s="315" t="s">
        <v>7</v>
      </c>
      <c r="BS19" s="315" t="s">
        <v>7</v>
      </c>
      <c r="BT19" s="512"/>
      <c r="BU19" s="96"/>
      <c r="BV19" s="100" t="s">
        <v>208</v>
      </c>
      <c r="BW19" s="315">
        <f>IF(desc10_4=0,0,
IF(AND(desc_por_ob="Yes",ob10_4&gt;desc10_4),"wrong data",BW7-BW17-BW18))</f>
        <v>0</v>
      </c>
      <c r="BX19" s="315" t="s">
        <v>7</v>
      </c>
      <c r="BY19" s="315" t="s">
        <v>7</v>
      </c>
      <c r="BZ19" s="315" t="s">
        <v>7</v>
      </c>
      <c r="CA19" s="315" t="s">
        <v>7</v>
      </c>
      <c r="CB19" s="512"/>
      <c r="CC19" s="96"/>
      <c r="CD19" s="100" t="s">
        <v>208</v>
      </c>
      <c r="CE19" s="315">
        <f>IF(desc11_4=0,0,
IF(AND(desc_por_ob="Yes",ob11_4&gt;desc11_4),"wrong data",CE7-CE17-CE18))</f>
        <v>0</v>
      </c>
      <c r="CF19" s="315" t="s">
        <v>7</v>
      </c>
      <c r="CG19" s="315" t="s">
        <v>7</v>
      </c>
      <c r="CH19" s="315" t="s">
        <v>7</v>
      </c>
      <c r="CI19" s="315" t="s">
        <v>7</v>
      </c>
      <c r="CJ19" s="512"/>
      <c r="CK19" s="96"/>
      <c r="CL19" s="100" t="s">
        <v>208</v>
      </c>
      <c r="CM19" s="315">
        <f>IF(desc12_4=0,0,
IF(AND(desc_por_ob="Yes",ob12_4&gt;desc12_4),"wrong data",CM7-CM17-CM18))</f>
        <v>0</v>
      </c>
      <c r="CN19" s="315" t="s">
        <v>7</v>
      </c>
      <c r="CO19" s="315" t="s">
        <v>7</v>
      </c>
      <c r="CP19" s="315" t="s">
        <v>7</v>
      </c>
      <c r="CQ19" s="315" t="s">
        <v>7</v>
      </c>
      <c r="CR19" s="512"/>
      <c r="CS19" s="96"/>
      <c r="CT19" s="100" t="s">
        <v>208</v>
      </c>
      <c r="CU19" s="315">
        <f>IF(desc13_4=0,0,
IF(AND(desc_por_ob="Yes",ob13_4&gt;desc13_4),"wrong data",CU7-CU17-CU18))</f>
        <v>0</v>
      </c>
      <c r="CV19" s="315" t="s">
        <v>7</v>
      </c>
      <c r="CW19" s="315" t="s">
        <v>7</v>
      </c>
      <c r="CX19" s="315" t="s">
        <v>7</v>
      </c>
      <c r="CY19" s="315" t="s">
        <v>7</v>
      </c>
      <c r="CZ19" s="512"/>
      <c r="DA19" s="96"/>
      <c r="DB19" s="100" t="s">
        <v>208</v>
      </c>
      <c r="DC19" s="315">
        <f>IF(desc14_4=0,0,
IF(AND(desc_por_ob="Yes",ob14_4&gt;desc14_4),"wrong data",DC7-DC17-DC18))</f>
        <v>0</v>
      </c>
      <c r="DD19" s="315" t="s">
        <v>7</v>
      </c>
      <c r="DE19" s="315" t="s">
        <v>7</v>
      </c>
      <c r="DF19" s="315" t="s">
        <v>7</v>
      </c>
      <c r="DG19" s="315" t="s">
        <v>7</v>
      </c>
      <c r="DH19" s="512"/>
      <c r="DI19" s="96"/>
    </row>
    <row r="20" spans="2:113">
      <c r="C20" s="308" t="str">
        <f>IF(AND(SUM(C8:C10)=C7,SUM(C11:C13)=C7,SUM(C14:C16)=C7,SUM(C17:C19)=C7),"ok","conferir")</f>
        <v>ok</v>
      </c>
      <c r="D20" s="308" t="str">
        <f>IF(AND(SUM(D8:D10)=D7,SUM(D11:D13)=D7,SUM(D14:D16)=D7),"ok","conferir")</f>
        <v>ok</v>
      </c>
      <c r="E20" s="308" t="str">
        <f>IF(AND(SUM(E8:E10)=E7,SUM(E11:E13)=E7),"ok","conferir")</f>
        <v>ok</v>
      </c>
      <c r="F20" s="308" t="str">
        <f>IF(AND(SUM(F8:F10)=F7),"ok","conferir")</f>
        <v>ok</v>
      </c>
      <c r="K20" s="308" t="str">
        <f>IF(AND(SUM(K8:K10)=K7,SUM(K11:K13)=K7,SUM(K14:K16)=K7,SUM(K17:K19)=K7),"ok","conferir")</f>
        <v>ok</v>
      </c>
      <c r="L20" s="308" t="str">
        <f>IF(AND(SUM(L8:L10)=L7,SUM(L11:L13)=L7,SUM(L14:L16)=L7),"ok","conferir")</f>
        <v>ok</v>
      </c>
      <c r="M20" s="308" t="str">
        <f>IF(AND(SUM(M8:M10)=M7,SUM(M11:M13)=M7),"ok","conferir")</f>
        <v>ok</v>
      </c>
      <c r="N20" s="308" t="str">
        <f>IF(AND(SUM(N8:N10)=N7),"ok","conferir")</f>
        <v>ok</v>
      </c>
      <c r="S20" s="308" t="str">
        <f>IF(AND(SUM(S8:S10)=S7,SUM(S11:S13)=S7,SUM(S14:S16)=S7,SUM(S17:S19)=S7),"ok","conferir")</f>
        <v>ok</v>
      </c>
      <c r="T20" s="308" t="str">
        <f>IF(AND(SUM(T8:T10)=T7,SUM(T11:T13)=T7,SUM(T14:T16)=T7),"ok","conferir")</f>
        <v>ok</v>
      </c>
      <c r="U20" s="308" t="str">
        <f>IF(AND(SUM(U8:U10)=U7,SUM(U11:U13)=U7),"ok","conferir")</f>
        <v>ok</v>
      </c>
      <c r="V20" s="308" t="str">
        <f>IF(AND(SUM(V8:V10)=V7),"ok","conferir")</f>
        <v>ok</v>
      </c>
      <c r="AA20" s="308" t="str">
        <f>IF(AND(SUM(AA8:AA10)=AA7,SUM(AA11:AA13)=AA7,SUM(AA14:AA16)=AA7,SUM(AA17:AA19)=AA7),"ok","conferir")</f>
        <v>ok</v>
      </c>
      <c r="AB20" s="308" t="str">
        <f>IF(AND(SUM(AB8:AB10)=AB7,SUM(AB11:AB13)=AB7,SUM(AB14:AB16)=AB7),"ok","conferir")</f>
        <v>ok</v>
      </c>
      <c r="AC20" s="308" t="str">
        <f>IF(AND(SUM(AC8:AC10)=AC7,SUM(AC11:AC13)=AC7),"ok","conferir")</f>
        <v>ok</v>
      </c>
      <c r="AD20" s="308" t="str">
        <f>IF(AND(SUM(AD8:AD10)=AD7),"ok","conferir")</f>
        <v>ok</v>
      </c>
      <c r="AI20" s="308" t="str">
        <f>IF(AND(SUM(AI8:AI10)=AI7,SUM(AI11:AI13)=AI7,SUM(AI14:AI16)=AI7,SUM(AI17:AI19)=AI7),"ok","conferir")</f>
        <v>ok</v>
      </c>
      <c r="AJ20" s="308" t="str">
        <f>IF(AND(SUM(AJ8:AJ10)=AJ7,SUM(AJ11:AJ13)=AJ7,SUM(AJ14:AJ16)=AJ7),"ok","conferir")</f>
        <v>ok</v>
      </c>
      <c r="AK20" s="308" t="str">
        <f>IF(AND(SUM(AK8:AK10)=AK7,SUM(AK11:AK13)=AK7),"ok","conferir")</f>
        <v>ok</v>
      </c>
      <c r="AL20" s="308" t="str">
        <f>IF(AND(SUM(AL8:AL10)=AL7),"ok","conferir")</f>
        <v>ok</v>
      </c>
      <c r="AQ20" s="308" t="str">
        <f>IF(AND(SUM(AQ8:AQ10)=AQ7,SUM(AQ11:AQ13)=AQ7,SUM(AQ14:AQ16)=AQ7,SUM(AQ17:AQ19)=AQ7),"ok","conferir")</f>
        <v>ok</v>
      </c>
      <c r="AR20" s="308" t="str">
        <f>IF(AND(SUM(AR8:AR10)=AR7,SUM(AR11:AR13)=AR7,SUM(AR14:AR16)=AR7),"ok","conferir")</f>
        <v>ok</v>
      </c>
      <c r="AS20" s="308" t="str">
        <f>IF(AND(SUM(AS8:AS10)=AS7,SUM(AS11:AS13)=AS7),"ok","conferir")</f>
        <v>ok</v>
      </c>
      <c r="AT20" s="308" t="str">
        <f>IF(AND(SUM(AT8:AT10)=AT7),"ok","conferir")</f>
        <v>ok</v>
      </c>
      <c r="AY20" s="308" t="str">
        <f>IF(AND(SUM(AY8:AY10)=AY7,SUM(AY11:AY13)=AY7,SUM(AY14:AY16)=AY7,SUM(AY17:AY19)=AY7),"ok","conferir")</f>
        <v>ok</v>
      </c>
      <c r="AZ20" s="308" t="str">
        <f>IF(AND(SUM(AZ8:AZ10)=AZ7,SUM(AZ11:AZ13)=AZ7,SUM(AZ14:AZ16)=AZ7),"ok","conferir")</f>
        <v>ok</v>
      </c>
      <c r="BA20" s="308" t="str">
        <f>IF(AND(SUM(BA8:BA10)=BA7,SUM(BA11:BA13)=BA7),"ok","conferir")</f>
        <v>ok</v>
      </c>
      <c r="BB20" s="308" t="str">
        <f>IF(AND(SUM(BB8:BB10)=BB7),"ok","conferir")</f>
        <v>ok</v>
      </c>
      <c r="BG20" s="308" t="str">
        <f>IF(AND(SUM(BG8:BG10)=BG7,SUM(BG11:BG13)=BG7,SUM(BG14:BG16)=BG7,SUM(BG17:BG19)=BG7),"ok","conferir")</f>
        <v>ok</v>
      </c>
      <c r="BH20" s="308" t="str">
        <f>IF(AND(SUM(BH8:BH10)=BH7,SUM(BH11:BH13)=BH7,SUM(BH14:BH16)=BH7),"ok","conferir")</f>
        <v>ok</v>
      </c>
      <c r="BI20" s="308" t="str">
        <f>IF(AND(SUM(BI8:BI10)=BI7,SUM(BI11:BI13)=BI7),"ok","conferir")</f>
        <v>ok</v>
      </c>
      <c r="BJ20" s="308" t="str">
        <f>IF(AND(SUM(BJ8:BJ10)=BJ7),"ok","conferir")</f>
        <v>ok</v>
      </c>
      <c r="BO20" s="308" t="str">
        <f>IF(AND(SUM(BO8:BO10)=BO7,SUM(BO11:BO13)=BO7,SUM(BO14:BO16)=BO7,SUM(BO17:BO19)=BO7),"ok","conferir")</f>
        <v>ok</v>
      </c>
      <c r="BP20" s="308" t="str">
        <f>IF(AND(SUM(BP8:BP10)=BP7,SUM(BP11:BP13)=BP7,SUM(BP14:BP16)=BP7),"ok","conferir")</f>
        <v>ok</v>
      </c>
      <c r="BQ20" s="308" t="str">
        <f>IF(AND(SUM(BQ8:BQ10)=BQ7,SUM(BQ11:BQ13)=BQ7),"ok","conferir")</f>
        <v>ok</v>
      </c>
      <c r="BR20" s="308" t="str">
        <f>IF(AND(SUM(BR8:BR10)=BR7),"ok","conferir")</f>
        <v>ok</v>
      </c>
      <c r="BW20" s="308" t="str">
        <f>IF(AND(SUM(BW8:BW10)=BW7,SUM(BW11:BW13)=BW7,SUM(BW14:BW16)=BW7,SUM(BW17:BW19)=BW7),"ok","conferir")</f>
        <v>ok</v>
      </c>
      <c r="BX20" s="308" t="str">
        <f>IF(AND(SUM(BX8:BX10)=BX7,SUM(BX11:BX13)=BX7,SUM(BX14:BX16)=BX7),"ok","conferir")</f>
        <v>ok</v>
      </c>
      <c r="BY20" s="308" t="str">
        <f>IF(AND(SUM(BY8:BY10)=BY7,SUM(BY11:BY13)=BY7),"ok","conferir")</f>
        <v>ok</v>
      </c>
      <c r="BZ20" s="308" t="str">
        <f>IF(AND(SUM(BZ8:BZ10)=BZ7),"ok","conferir")</f>
        <v>ok</v>
      </c>
      <c r="CE20" s="308" t="str">
        <f>IF(AND(SUM(CE8:CE10)=CE7,SUM(CE11:CE13)=CE7,SUM(CE14:CE16)=CE7,SUM(CE17:CE19)=CE7),"ok","conferir")</f>
        <v>ok</v>
      </c>
      <c r="CF20" s="308" t="str">
        <f>IF(AND(SUM(CF8:CF10)=CF7,SUM(CF11:CF13)=CF7,SUM(CF14:CF16)=CF7),"ok","conferir")</f>
        <v>ok</v>
      </c>
      <c r="CG20" s="308" t="str">
        <f>IF(AND(SUM(CG8:CG10)=CG7,SUM(CG11:CG13)=CG7),"ok","conferir")</f>
        <v>ok</v>
      </c>
      <c r="CH20" s="308" t="str">
        <f>IF(AND(SUM(CH8:CH10)=CH7),"ok","conferir")</f>
        <v>ok</v>
      </c>
      <c r="CM20" s="308" t="str">
        <f>IF(AND(SUM(CM8:CM10)=CM7,SUM(CM11:CM13)=CM7,SUM(CM14:CM16)=CM7,SUM(CM17:CM19)=CM7),"ok","conferir")</f>
        <v>ok</v>
      </c>
      <c r="CN20" s="308" t="str">
        <f>IF(AND(SUM(CN8:CN10)=CN7,SUM(CN11:CN13)=CN7,SUM(CN14:CN16)=CN7),"ok","conferir")</f>
        <v>ok</v>
      </c>
      <c r="CO20" s="308" t="str">
        <f>IF(AND(SUM(CO8:CO10)=CO7,SUM(CO11:CO13)=CO7),"ok","conferir")</f>
        <v>ok</v>
      </c>
      <c r="CP20" s="308" t="str">
        <f>IF(AND(SUM(CP8:CP10)=CP7),"ok","conferir")</f>
        <v>ok</v>
      </c>
      <c r="CU20" s="308" t="str">
        <f>IF(AND(SUM(CU8:CU10)=CU7,SUM(CU11:CU13)=CU7,SUM(CU14:CU16)=CU7,SUM(CU17:CU19)=CU7),"ok","conferir")</f>
        <v>ok</v>
      </c>
      <c r="CV20" s="308" t="str">
        <f>IF(AND(SUM(CV8:CV10)=CV7,SUM(CV11:CV13)=CV7,SUM(CV14:CV16)=CV7),"ok","conferir")</f>
        <v>ok</v>
      </c>
      <c r="CW20" s="308" t="str">
        <f>IF(AND(SUM(CW8:CW10)=CW7,SUM(CW11:CW13)=CW7),"ok","conferir")</f>
        <v>ok</v>
      </c>
      <c r="CX20" s="308" t="str">
        <f>IF(AND(SUM(CX8:CX10)=CX7),"ok","conferir")</f>
        <v>ok</v>
      </c>
      <c r="DC20" s="308" t="str">
        <f>IF(AND(SUM(DC8:DC10)=DC7,SUM(DC11:DC13)=DC7,SUM(DC14:DC16)=DC7,SUM(DC17:DC19)=DC7),"ok","conferir")</f>
        <v>ok</v>
      </c>
      <c r="DD20" s="308" t="str">
        <f>IF(AND(SUM(DD8:DD10)=DD7,SUM(DD11:DD13)=DD7,SUM(DD14:DD16)=DD7),"ok","conferir")</f>
        <v>ok</v>
      </c>
      <c r="DE20" s="308" t="str">
        <f>IF(AND(SUM(DE8:DE10)=DE7,SUM(DE11:DE13)=DE7),"ok","conferir")</f>
        <v>ok</v>
      </c>
      <c r="DF20" s="308" t="str">
        <f>IF(AND(SUM(DF8:DF10)=DF7),"ok","conferir")</f>
        <v>ok</v>
      </c>
    </row>
    <row r="22" spans="2:113" s="81" customFormat="1">
      <c r="B22" s="120"/>
      <c r="C22" s="120"/>
      <c r="D22" s="120"/>
      <c r="E22" s="120"/>
      <c r="F22" s="120"/>
      <c r="G22" s="120"/>
      <c r="H22" s="82"/>
      <c r="I22" s="82"/>
      <c r="J22" s="120"/>
      <c r="K22" s="120"/>
      <c r="L22" s="120"/>
      <c r="M22" s="120"/>
      <c r="N22" s="120"/>
      <c r="O22" s="120"/>
      <c r="P22" s="82"/>
      <c r="Q22" s="82"/>
      <c r="R22" s="120"/>
      <c r="S22" s="120"/>
      <c r="T22" s="120"/>
      <c r="U22" s="120"/>
      <c r="V22" s="120"/>
      <c r="W22" s="120"/>
      <c r="X22" s="82"/>
      <c r="Y22" s="82"/>
      <c r="Z22" s="120"/>
      <c r="AA22" s="120"/>
      <c r="AB22" s="120"/>
      <c r="AC22" s="120"/>
      <c r="AD22" s="120"/>
      <c r="AE22" s="120"/>
      <c r="AF22" s="82"/>
      <c r="AG22" s="82"/>
      <c r="AH22" s="120"/>
      <c r="AI22" s="120"/>
      <c r="AJ22" s="120"/>
      <c r="AK22" s="120"/>
      <c r="AL22" s="120"/>
      <c r="AM22" s="120"/>
      <c r="AN22" s="82"/>
      <c r="AO22" s="82"/>
      <c r="AP22" s="120"/>
      <c r="AQ22" s="120"/>
      <c r="AR22" s="120"/>
      <c r="AS22" s="120"/>
      <c r="AT22" s="120"/>
      <c r="AU22" s="120"/>
      <c r="AV22" s="82"/>
      <c r="AW22" s="82"/>
      <c r="AX22" s="120"/>
      <c r="AY22" s="120"/>
      <c r="AZ22" s="120"/>
      <c r="BA22" s="120"/>
      <c r="BB22" s="120"/>
      <c r="BC22" s="120"/>
      <c r="BD22" s="82"/>
      <c r="BE22" s="82"/>
      <c r="BF22" s="120"/>
      <c r="BG22" s="120"/>
      <c r="BH22" s="120"/>
      <c r="BI22" s="120"/>
      <c r="BJ22" s="120"/>
      <c r="BK22" s="120"/>
      <c r="BL22" s="82"/>
      <c r="BM22" s="82"/>
      <c r="BN22" s="120"/>
      <c r="BO22" s="120"/>
      <c r="BP22" s="120"/>
      <c r="BQ22" s="120"/>
      <c r="BR22" s="120"/>
      <c r="BS22" s="120"/>
      <c r="BT22" s="82"/>
      <c r="BU22" s="82"/>
      <c r="BV22" s="120"/>
      <c r="BW22" s="120"/>
      <c r="BX22" s="120"/>
      <c r="BY22" s="120"/>
      <c r="BZ22" s="120"/>
      <c r="CA22" s="120"/>
      <c r="CB22" s="82"/>
      <c r="CC22" s="82"/>
      <c r="CD22" s="120"/>
      <c r="CE22" s="120"/>
      <c r="CF22" s="120"/>
      <c r="CG22" s="120"/>
      <c r="CH22" s="120"/>
      <c r="CI22" s="120"/>
      <c r="CJ22" s="82"/>
      <c r="CK22" s="82"/>
      <c r="CL22" s="120"/>
      <c r="CM22" s="120"/>
      <c r="CN22" s="120"/>
      <c r="CO22" s="120"/>
      <c r="CP22" s="120"/>
      <c r="CQ22" s="120"/>
      <c r="CR22" s="82"/>
      <c r="CS22" s="82"/>
      <c r="CT22" s="120"/>
      <c r="CU22" s="120"/>
      <c r="CV22" s="120"/>
      <c r="CW22" s="120"/>
      <c r="CX22" s="120"/>
      <c r="CY22" s="120"/>
      <c r="CZ22" s="82"/>
      <c r="DA22" s="82"/>
      <c r="DB22" s="120"/>
      <c r="DC22" s="120"/>
      <c r="DD22" s="120"/>
      <c r="DE22" s="120"/>
      <c r="DF22" s="120"/>
      <c r="DG22" s="120"/>
      <c r="DH22" s="82"/>
      <c r="DI22" s="82"/>
    </row>
    <row r="23" spans="2:113" s="76" customFormat="1" ht="21">
      <c r="B23" s="502" t="str">
        <f>intervencao1</f>
        <v>Intrauterine device levonorgestrel</v>
      </c>
      <c r="C23" s="502"/>
      <c r="D23" s="502"/>
      <c r="E23" s="502"/>
      <c r="F23" s="502"/>
      <c r="G23" s="502"/>
      <c r="H23" s="502"/>
      <c r="I23" s="77"/>
      <c r="J23" s="502">
        <f>intervencao2</f>
        <v>0</v>
      </c>
      <c r="K23" s="502"/>
      <c r="L23" s="502"/>
      <c r="M23" s="502"/>
      <c r="N23" s="502"/>
      <c r="O23" s="502"/>
      <c r="P23" s="502"/>
      <c r="Q23" s="77"/>
      <c r="R23" s="502">
        <f>intervencao3</f>
        <v>0</v>
      </c>
      <c r="S23" s="502"/>
      <c r="T23" s="502"/>
      <c r="U23" s="502"/>
      <c r="V23" s="502"/>
      <c r="W23" s="502"/>
      <c r="X23" s="502"/>
      <c r="Y23" s="77"/>
      <c r="Z23" s="502">
        <f>intervencao4</f>
        <v>0</v>
      </c>
      <c r="AA23" s="502"/>
      <c r="AB23" s="502"/>
      <c r="AC23" s="502"/>
      <c r="AD23" s="502"/>
      <c r="AE23" s="502"/>
      <c r="AF23" s="502"/>
      <c r="AG23" s="77"/>
      <c r="AH23" s="502" t="str">
        <f>comparador1</f>
        <v>Oral contraceptive</v>
      </c>
      <c r="AI23" s="502"/>
      <c r="AJ23" s="502"/>
      <c r="AK23" s="502"/>
      <c r="AL23" s="502"/>
      <c r="AM23" s="502"/>
      <c r="AN23" s="502"/>
      <c r="AO23" s="77"/>
      <c r="AP23" s="502">
        <f>comparador2</f>
        <v>0</v>
      </c>
      <c r="AQ23" s="502"/>
      <c r="AR23" s="502"/>
      <c r="AS23" s="502"/>
      <c r="AT23" s="502"/>
      <c r="AU23" s="502"/>
      <c r="AV23" s="502"/>
      <c r="AW23" s="77"/>
      <c r="AX23" s="502">
        <f>comparador3</f>
        <v>0</v>
      </c>
      <c r="AY23" s="502"/>
      <c r="AZ23" s="502"/>
      <c r="BA23" s="502"/>
      <c r="BB23" s="502"/>
      <c r="BC23" s="502"/>
      <c r="BD23" s="502"/>
      <c r="BE23" s="77"/>
      <c r="BF23" s="502">
        <f>comparador4</f>
        <v>0</v>
      </c>
      <c r="BG23" s="502"/>
      <c r="BH23" s="502"/>
      <c r="BI23" s="502"/>
      <c r="BJ23" s="502"/>
      <c r="BK23" s="502"/>
      <c r="BL23" s="502"/>
      <c r="BM23" s="77"/>
      <c r="BN23" s="502">
        <f>comparador5</f>
        <v>0</v>
      </c>
      <c r="BO23" s="502"/>
      <c r="BP23" s="502"/>
      <c r="BQ23" s="502"/>
      <c r="BR23" s="502"/>
      <c r="BS23" s="502"/>
      <c r="BT23" s="502"/>
      <c r="BU23" s="77"/>
      <c r="BV23" s="502">
        <f>comparador6</f>
        <v>0</v>
      </c>
      <c r="BW23" s="502"/>
      <c r="BX23" s="502"/>
      <c r="BY23" s="502"/>
      <c r="BZ23" s="502"/>
      <c r="CA23" s="502"/>
      <c r="CB23" s="502"/>
      <c r="CC23" s="77"/>
      <c r="CD23" s="502">
        <f>comparador7</f>
        <v>0</v>
      </c>
      <c r="CE23" s="502"/>
      <c r="CF23" s="502"/>
      <c r="CG23" s="502"/>
      <c r="CH23" s="502"/>
      <c r="CI23" s="502"/>
      <c r="CJ23" s="502"/>
      <c r="CK23" s="77"/>
      <c r="CL23" s="502">
        <f>comparador8</f>
        <v>0</v>
      </c>
      <c r="CM23" s="502"/>
      <c r="CN23" s="502"/>
      <c r="CO23" s="502"/>
      <c r="CP23" s="502"/>
      <c r="CQ23" s="502"/>
      <c r="CR23" s="502"/>
      <c r="CS23" s="77"/>
      <c r="CT23" s="502">
        <f>comparador9</f>
        <v>0</v>
      </c>
      <c r="CU23" s="502"/>
      <c r="CV23" s="502"/>
      <c r="CW23" s="502"/>
      <c r="CX23" s="502"/>
      <c r="CY23" s="502"/>
      <c r="CZ23" s="502"/>
      <c r="DA23" s="77"/>
      <c r="DB23" s="502">
        <f>comparador10</f>
        <v>0</v>
      </c>
      <c r="DC23" s="502"/>
      <c r="DD23" s="502"/>
      <c r="DE23" s="502"/>
      <c r="DF23" s="502"/>
      <c r="DG23" s="502"/>
      <c r="DH23" s="502"/>
      <c r="DI23" s="77"/>
    </row>
    <row r="24" spans="2:113" ht="18">
      <c r="B24" s="503" t="s">
        <v>180</v>
      </c>
      <c r="C24" s="503"/>
      <c r="D24" s="503"/>
      <c r="E24" s="503"/>
      <c r="F24" s="503"/>
      <c r="G24" s="503"/>
      <c r="H24" s="71"/>
      <c r="I24" s="71"/>
      <c r="J24" s="503" t="s">
        <v>180</v>
      </c>
      <c r="K24" s="503"/>
      <c r="L24" s="503"/>
      <c r="M24" s="503"/>
      <c r="N24" s="503"/>
      <c r="O24" s="503"/>
      <c r="P24" s="71"/>
      <c r="Q24" s="71"/>
      <c r="R24" s="503" t="s">
        <v>180</v>
      </c>
      <c r="S24" s="503"/>
      <c r="T24" s="503"/>
      <c r="U24" s="503"/>
      <c r="V24" s="503"/>
      <c r="W24" s="503"/>
      <c r="X24" s="71"/>
      <c r="Y24" s="71"/>
      <c r="Z24" s="503" t="s">
        <v>180</v>
      </c>
      <c r="AA24" s="503"/>
      <c r="AB24" s="503"/>
      <c r="AC24" s="503"/>
      <c r="AD24" s="503"/>
      <c r="AE24" s="503"/>
      <c r="AF24" s="71"/>
      <c r="AG24" s="71"/>
      <c r="AH24" s="503" t="s">
        <v>180</v>
      </c>
      <c r="AI24" s="503"/>
      <c r="AJ24" s="503"/>
      <c r="AK24" s="503"/>
      <c r="AL24" s="503"/>
      <c r="AM24" s="503"/>
      <c r="AN24" s="71"/>
      <c r="AO24" s="71"/>
      <c r="AP24" s="503" t="s">
        <v>180</v>
      </c>
      <c r="AQ24" s="503"/>
      <c r="AR24" s="503"/>
      <c r="AS24" s="503"/>
      <c r="AT24" s="503"/>
      <c r="AU24" s="503"/>
      <c r="AV24" s="71"/>
      <c r="AW24" s="71"/>
      <c r="AX24" s="503" t="s">
        <v>180</v>
      </c>
      <c r="AY24" s="503"/>
      <c r="AZ24" s="503"/>
      <c r="BA24" s="503"/>
      <c r="BB24" s="503"/>
      <c r="BC24" s="503"/>
      <c r="BD24" s="71"/>
      <c r="BE24" s="71"/>
      <c r="BF24" s="503" t="s">
        <v>180</v>
      </c>
      <c r="BG24" s="503"/>
      <c r="BH24" s="503"/>
      <c r="BI24" s="503"/>
      <c r="BJ24" s="503"/>
      <c r="BK24" s="503"/>
      <c r="BL24" s="71"/>
      <c r="BM24" s="71"/>
      <c r="BN24" s="503" t="s">
        <v>180</v>
      </c>
      <c r="BO24" s="503"/>
      <c r="BP24" s="503"/>
      <c r="BQ24" s="503"/>
      <c r="BR24" s="503"/>
      <c r="BS24" s="503"/>
      <c r="BT24" s="71"/>
      <c r="BU24" s="71"/>
      <c r="BV24" s="503" t="s">
        <v>180</v>
      </c>
      <c r="BW24" s="503"/>
      <c r="BX24" s="503"/>
      <c r="BY24" s="503"/>
      <c r="BZ24" s="503"/>
      <c r="CA24" s="503"/>
      <c r="CB24" s="71"/>
      <c r="CC24" s="71"/>
      <c r="CD24" s="503" t="s">
        <v>180</v>
      </c>
      <c r="CE24" s="503"/>
      <c r="CF24" s="503"/>
      <c r="CG24" s="503"/>
      <c r="CH24" s="503"/>
      <c r="CI24" s="503"/>
      <c r="CJ24" s="71"/>
      <c r="CK24" s="71"/>
      <c r="CL24" s="503" t="s">
        <v>180</v>
      </c>
      <c r="CM24" s="503"/>
      <c r="CN24" s="503"/>
      <c r="CO24" s="503"/>
      <c r="CP24" s="503"/>
      <c r="CQ24" s="503"/>
      <c r="CR24" s="71"/>
      <c r="CS24" s="71"/>
      <c r="CT24" s="503" t="s">
        <v>180</v>
      </c>
      <c r="CU24" s="503"/>
      <c r="CV24" s="503"/>
      <c r="CW24" s="503"/>
      <c r="CX24" s="503"/>
      <c r="CY24" s="503"/>
      <c r="CZ24" s="71"/>
      <c r="DA24" s="71"/>
      <c r="DB24" s="503" t="s">
        <v>180</v>
      </c>
      <c r="DC24" s="503"/>
      <c r="DD24" s="503"/>
      <c r="DE24" s="503"/>
      <c r="DF24" s="503"/>
      <c r="DG24" s="503"/>
      <c r="DH24" s="71"/>
      <c r="DI24" s="71"/>
    </row>
    <row r="25" spans="2:113" ht="15" thickBot="1">
      <c r="B25" s="83"/>
      <c r="C25" s="83"/>
      <c r="D25" s="83"/>
      <c r="E25" s="83"/>
      <c r="F25" s="83"/>
      <c r="G25" s="83"/>
      <c r="J25" s="83"/>
      <c r="K25" s="83"/>
      <c r="L25" s="83"/>
      <c r="M25" s="83"/>
      <c r="N25" s="83"/>
      <c r="O25" s="83"/>
      <c r="R25" s="83"/>
      <c r="S25" s="83"/>
      <c r="T25" s="83"/>
      <c r="U25" s="83"/>
      <c r="V25" s="83"/>
      <c r="W25" s="83"/>
      <c r="Z25" s="83"/>
      <c r="AA25" s="83"/>
      <c r="AB25" s="83"/>
      <c r="AC25" s="83"/>
      <c r="AD25" s="83"/>
      <c r="AE25" s="83"/>
      <c r="AH25" s="83"/>
      <c r="AI25" s="83"/>
      <c r="AJ25" s="83"/>
      <c r="AK25" s="83"/>
      <c r="AL25" s="83"/>
      <c r="AM25" s="83"/>
      <c r="AP25" s="83"/>
      <c r="AQ25" s="83"/>
      <c r="AR25" s="83"/>
      <c r="AS25" s="83"/>
      <c r="AT25" s="83"/>
      <c r="AU25" s="83"/>
      <c r="AX25" s="83"/>
      <c r="AY25" s="83"/>
      <c r="AZ25" s="83"/>
      <c r="BA25" s="83"/>
      <c r="BB25" s="83"/>
      <c r="BC25" s="83"/>
      <c r="BF25" s="83"/>
      <c r="BG25" s="83"/>
      <c r="BH25" s="83"/>
      <c r="BI25" s="83"/>
      <c r="BJ25" s="83"/>
      <c r="BK25" s="83"/>
      <c r="BN25" s="83"/>
      <c r="BO25" s="83"/>
      <c r="BP25" s="83"/>
      <c r="BQ25" s="83"/>
      <c r="BR25" s="83"/>
      <c r="BS25" s="83"/>
      <c r="BV25" s="83"/>
      <c r="BW25" s="83"/>
      <c r="BX25" s="83"/>
      <c r="BY25" s="83"/>
      <c r="BZ25" s="83"/>
      <c r="CA25" s="83"/>
      <c r="CD25" s="83"/>
      <c r="CE25" s="83"/>
      <c r="CF25" s="83"/>
      <c r="CG25" s="83"/>
      <c r="CH25" s="83"/>
      <c r="CI25" s="83"/>
      <c r="CL25" s="83"/>
      <c r="CM25" s="83"/>
      <c r="CN25" s="83"/>
      <c r="CO25" s="83"/>
      <c r="CP25" s="83"/>
      <c r="CQ25" s="83"/>
      <c r="CT25" s="83"/>
      <c r="CU25" s="83"/>
      <c r="CV25" s="83"/>
      <c r="CW25" s="83"/>
      <c r="CX25" s="83"/>
      <c r="CY25" s="83"/>
      <c r="DB25" s="83"/>
      <c r="DC25" s="83"/>
      <c r="DD25" s="83"/>
      <c r="DE25" s="83"/>
      <c r="DF25" s="83"/>
      <c r="DG25" s="83"/>
    </row>
    <row r="26" spans="2:113" ht="15" thickBot="1">
      <c r="B26" s="504" t="str">
        <f>cen_atual</f>
        <v>Without IUD-LNG</v>
      </c>
      <c r="C26" s="505"/>
      <c r="D26" s="505"/>
      <c r="E26" s="505"/>
      <c r="F26" s="505"/>
      <c r="G26" s="506"/>
      <c r="J26" s="504" t="str">
        <f>cen_atual</f>
        <v>Without IUD-LNG</v>
      </c>
      <c r="K26" s="505"/>
      <c r="L26" s="505"/>
      <c r="M26" s="505"/>
      <c r="N26" s="505"/>
      <c r="O26" s="506"/>
      <c r="R26" s="504" t="str">
        <f>cen_atual</f>
        <v>Without IUD-LNG</v>
      </c>
      <c r="S26" s="505"/>
      <c r="T26" s="505"/>
      <c r="U26" s="505"/>
      <c r="V26" s="505"/>
      <c r="W26" s="506"/>
      <c r="Z26" s="504" t="str">
        <f>cen_atual</f>
        <v>Without IUD-LNG</v>
      </c>
      <c r="AA26" s="505"/>
      <c r="AB26" s="505"/>
      <c r="AC26" s="505"/>
      <c r="AD26" s="505"/>
      <c r="AE26" s="506"/>
      <c r="AH26" s="504" t="str">
        <f>cen_atual</f>
        <v>Without IUD-LNG</v>
      </c>
      <c r="AI26" s="505"/>
      <c r="AJ26" s="505"/>
      <c r="AK26" s="505"/>
      <c r="AL26" s="505"/>
      <c r="AM26" s="506"/>
      <c r="AP26" s="504" t="str">
        <f>cen_atual</f>
        <v>Without IUD-LNG</v>
      </c>
      <c r="AQ26" s="505"/>
      <c r="AR26" s="505"/>
      <c r="AS26" s="505"/>
      <c r="AT26" s="505"/>
      <c r="AU26" s="506"/>
      <c r="AX26" s="504" t="str">
        <f>cen_atual</f>
        <v>Without IUD-LNG</v>
      </c>
      <c r="AY26" s="505"/>
      <c r="AZ26" s="505"/>
      <c r="BA26" s="505"/>
      <c r="BB26" s="505"/>
      <c r="BC26" s="506"/>
      <c r="BF26" s="504" t="str">
        <f>cen_atual</f>
        <v>Without IUD-LNG</v>
      </c>
      <c r="BG26" s="505"/>
      <c r="BH26" s="505"/>
      <c r="BI26" s="505"/>
      <c r="BJ26" s="505"/>
      <c r="BK26" s="506"/>
      <c r="BN26" s="504" t="str">
        <f>cen_atual</f>
        <v>Without IUD-LNG</v>
      </c>
      <c r="BO26" s="505"/>
      <c r="BP26" s="505"/>
      <c r="BQ26" s="505"/>
      <c r="BR26" s="505"/>
      <c r="BS26" s="506"/>
      <c r="BV26" s="504" t="str">
        <f>cen_atual</f>
        <v>Without IUD-LNG</v>
      </c>
      <c r="BW26" s="505"/>
      <c r="BX26" s="505"/>
      <c r="BY26" s="505"/>
      <c r="BZ26" s="505"/>
      <c r="CA26" s="506"/>
      <c r="CD26" s="504" t="str">
        <f>cen_atual</f>
        <v>Without IUD-LNG</v>
      </c>
      <c r="CE26" s="505"/>
      <c r="CF26" s="505"/>
      <c r="CG26" s="505"/>
      <c r="CH26" s="505"/>
      <c r="CI26" s="506"/>
      <c r="CL26" s="504" t="str">
        <f>cen_atual</f>
        <v>Without IUD-LNG</v>
      </c>
      <c r="CM26" s="505"/>
      <c r="CN26" s="505"/>
      <c r="CO26" s="505"/>
      <c r="CP26" s="505"/>
      <c r="CQ26" s="506"/>
      <c r="CT26" s="504" t="str">
        <f>cen_atual</f>
        <v>Without IUD-LNG</v>
      </c>
      <c r="CU26" s="505"/>
      <c r="CV26" s="505"/>
      <c r="CW26" s="505"/>
      <c r="CX26" s="505"/>
      <c r="CY26" s="506"/>
      <c r="DB26" s="504" t="str">
        <f>cen_atual</f>
        <v>Without IUD-LNG</v>
      </c>
      <c r="DC26" s="505"/>
      <c r="DD26" s="505"/>
      <c r="DE26" s="505"/>
      <c r="DF26" s="505"/>
      <c r="DG26" s="506"/>
    </row>
    <row r="27" spans="2:113">
      <c r="B27" s="84"/>
      <c r="C27" s="101">
        <f>ano_1</f>
        <v>2026</v>
      </c>
      <c r="D27" s="101">
        <f>C27+1</f>
        <v>2027</v>
      </c>
      <c r="E27" s="101">
        <f t="shared" ref="E27:G27" si="0">D27+1</f>
        <v>2028</v>
      </c>
      <c r="F27" s="101">
        <f t="shared" si="0"/>
        <v>2029</v>
      </c>
      <c r="G27" s="102">
        <f t="shared" si="0"/>
        <v>2030</v>
      </c>
      <c r="J27" s="84"/>
      <c r="K27" s="101">
        <f>ano_1</f>
        <v>2026</v>
      </c>
      <c r="L27" s="101">
        <f>K27+1</f>
        <v>2027</v>
      </c>
      <c r="M27" s="101">
        <f t="shared" ref="M27" si="1">L27+1</f>
        <v>2028</v>
      </c>
      <c r="N27" s="101">
        <f t="shared" ref="N27" si="2">M27+1</f>
        <v>2029</v>
      </c>
      <c r="O27" s="102">
        <f t="shared" ref="O27" si="3">N27+1</f>
        <v>2030</v>
      </c>
      <c r="R27" s="84"/>
      <c r="S27" s="101">
        <f>ano_1</f>
        <v>2026</v>
      </c>
      <c r="T27" s="101">
        <f>S27+1</f>
        <v>2027</v>
      </c>
      <c r="U27" s="101">
        <f t="shared" ref="U27" si="4">T27+1</f>
        <v>2028</v>
      </c>
      <c r="V27" s="101">
        <f t="shared" ref="V27" si="5">U27+1</f>
        <v>2029</v>
      </c>
      <c r="W27" s="102">
        <f t="shared" ref="W27" si="6">V27+1</f>
        <v>2030</v>
      </c>
      <c r="Z27" s="84"/>
      <c r="AA27" s="101">
        <f>ano_1</f>
        <v>2026</v>
      </c>
      <c r="AB27" s="101">
        <f>AA27+1</f>
        <v>2027</v>
      </c>
      <c r="AC27" s="101">
        <f t="shared" ref="AC27" si="7">AB27+1</f>
        <v>2028</v>
      </c>
      <c r="AD27" s="101">
        <f t="shared" ref="AD27" si="8">AC27+1</f>
        <v>2029</v>
      </c>
      <c r="AE27" s="102">
        <f t="shared" ref="AE27" si="9">AD27+1</f>
        <v>2030</v>
      </c>
      <c r="AH27" s="84"/>
      <c r="AI27" s="101">
        <f>ano_1</f>
        <v>2026</v>
      </c>
      <c r="AJ27" s="101">
        <f>AI27+1</f>
        <v>2027</v>
      </c>
      <c r="AK27" s="101">
        <f t="shared" ref="AK27" si="10">AJ27+1</f>
        <v>2028</v>
      </c>
      <c r="AL27" s="101">
        <f t="shared" ref="AL27" si="11">AK27+1</f>
        <v>2029</v>
      </c>
      <c r="AM27" s="102">
        <f t="shared" ref="AM27" si="12">AL27+1</f>
        <v>2030</v>
      </c>
      <c r="AP27" s="84"/>
      <c r="AQ27" s="101">
        <f>ano_1</f>
        <v>2026</v>
      </c>
      <c r="AR27" s="101">
        <f>AQ27+1</f>
        <v>2027</v>
      </c>
      <c r="AS27" s="101">
        <f t="shared" ref="AS27" si="13">AR27+1</f>
        <v>2028</v>
      </c>
      <c r="AT27" s="101">
        <f t="shared" ref="AT27" si="14">AS27+1</f>
        <v>2029</v>
      </c>
      <c r="AU27" s="102">
        <f t="shared" ref="AU27" si="15">AT27+1</f>
        <v>2030</v>
      </c>
      <c r="AX27" s="84"/>
      <c r="AY27" s="101">
        <f>ano_1</f>
        <v>2026</v>
      </c>
      <c r="AZ27" s="101">
        <f>AY27+1</f>
        <v>2027</v>
      </c>
      <c r="BA27" s="101">
        <f t="shared" ref="BA27" si="16">AZ27+1</f>
        <v>2028</v>
      </c>
      <c r="BB27" s="101">
        <f t="shared" ref="BB27" si="17">BA27+1</f>
        <v>2029</v>
      </c>
      <c r="BC27" s="102">
        <f t="shared" ref="BC27" si="18">BB27+1</f>
        <v>2030</v>
      </c>
      <c r="BF27" s="84"/>
      <c r="BG27" s="101">
        <f>ano_1</f>
        <v>2026</v>
      </c>
      <c r="BH27" s="101">
        <f>BG27+1</f>
        <v>2027</v>
      </c>
      <c r="BI27" s="101">
        <f t="shared" ref="BI27" si="19">BH27+1</f>
        <v>2028</v>
      </c>
      <c r="BJ27" s="101">
        <f t="shared" ref="BJ27" si="20">BI27+1</f>
        <v>2029</v>
      </c>
      <c r="BK27" s="102">
        <f t="shared" ref="BK27" si="21">BJ27+1</f>
        <v>2030</v>
      </c>
      <c r="BN27" s="84"/>
      <c r="BO27" s="101">
        <f>ano_1</f>
        <v>2026</v>
      </c>
      <c r="BP27" s="101">
        <f>BO27+1</f>
        <v>2027</v>
      </c>
      <c r="BQ27" s="101">
        <f t="shared" ref="BQ27" si="22">BP27+1</f>
        <v>2028</v>
      </c>
      <c r="BR27" s="101">
        <f t="shared" ref="BR27" si="23">BQ27+1</f>
        <v>2029</v>
      </c>
      <c r="BS27" s="102">
        <f t="shared" ref="BS27" si="24">BR27+1</f>
        <v>2030</v>
      </c>
      <c r="BV27" s="84"/>
      <c r="BW27" s="101">
        <f>ano_1</f>
        <v>2026</v>
      </c>
      <c r="BX27" s="101">
        <f>BW27+1</f>
        <v>2027</v>
      </c>
      <c r="BY27" s="101">
        <f t="shared" ref="BY27" si="25">BX27+1</f>
        <v>2028</v>
      </c>
      <c r="BZ27" s="101">
        <f t="shared" ref="BZ27" si="26">BY27+1</f>
        <v>2029</v>
      </c>
      <c r="CA27" s="102">
        <f t="shared" ref="CA27" si="27">BZ27+1</f>
        <v>2030</v>
      </c>
      <c r="CD27" s="84"/>
      <c r="CE27" s="101">
        <f>ano_1</f>
        <v>2026</v>
      </c>
      <c r="CF27" s="101">
        <f>CE27+1</f>
        <v>2027</v>
      </c>
      <c r="CG27" s="101">
        <f t="shared" ref="CG27" si="28">CF27+1</f>
        <v>2028</v>
      </c>
      <c r="CH27" s="101">
        <f t="shared" ref="CH27" si="29">CG27+1</f>
        <v>2029</v>
      </c>
      <c r="CI27" s="102">
        <f t="shared" ref="CI27" si="30">CH27+1</f>
        <v>2030</v>
      </c>
      <c r="CL27" s="84"/>
      <c r="CM27" s="101">
        <f>ano_1</f>
        <v>2026</v>
      </c>
      <c r="CN27" s="101">
        <f>CM27+1</f>
        <v>2027</v>
      </c>
      <c r="CO27" s="101">
        <f t="shared" ref="CO27" si="31">CN27+1</f>
        <v>2028</v>
      </c>
      <c r="CP27" s="101">
        <f t="shared" ref="CP27" si="32">CO27+1</f>
        <v>2029</v>
      </c>
      <c r="CQ27" s="102">
        <f t="shared" ref="CQ27" si="33">CP27+1</f>
        <v>2030</v>
      </c>
      <c r="CT27" s="84"/>
      <c r="CU27" s="101">
        <f>ano_1</f>
        <v>2026</v>
      </c>
      <c r="CV27" s="101">
        <f>CU27+1</f>
        <v>2027</v>
      </c>
      <c r="CW27" s="101">
        <f t="shared" ref="CW27" si="34">CV27+1</f>
        <v>2028</v>
      </c>
      <c r="CX27" s="101">
        <f t="shared" ref="CX27" si="35">CW27+1</f>
        <v>2029</v>
      </c>
      <c r="CY27" s="102">
        <f t="shared" ref="CY27" si="36">CX27+1</f>
        <v>2030</v>
      </c>
      <c r="DB27" s="84"/>
      <c r="DC27" s="101">
        <f>ano_1</f>
        <v>2026</v>
      </c>
      <c r="DD27" s="101">
        <f>DC27+1</f>
        <v>2027</v>
      </c>
      <c r="DE27" s="101">
        <f t="shared" ref="DE27" si="37">DD27+1</f>
        <v>2028</v>
      </c>
      <c r="DF27" s="101">
        <f t="shared" ref="DF27" si="38">DE27+1</f>
        <v>2029</v>
      </c>
      <c r="DG27" s="102">
        <f t="shared" ref="DG27" si="39">DF27+1</f>
        <v>2030</v>
      </c>
    </row>
    <row r="28" spans="2:113">
      <c r="B28" s="87" t="s">
        <v>170</v>
      </c>
      <c r="C28" s="80">
        <f>C$7*'Mkt share'!$C$22</f>
        <v>0</v>
      </c>
      <c r="D28" s="80">
        <f>C$8*'Mkt share'!$C$22</f>
        <v>0</v>
      </c>
      <c r="E28" s="80">
        <f>C$11*'Mkt share'!$C$22</f>
        <v>0</v>
      </c>
      <c r="F28" s="80">
        <f>C$14*'Mkt share'!$C$22</f>
        <v>0</v>
      </c>
      <c r="G28" s="88">
        <f>C$17*'Mkt share'!$C$22</f>
        <v>0</v>
      </c>
      <c r="J28" s="87" t="s">
        <v>170</v>
      </c>
      <c r="K28" s="80">
        <f>K$7*'Mkt share'!$C$23</f>
        <v>0</v>
      </c>
      <c r="L28" s="80">
        <f>K$8*'Mkt share'!$C$23</f>
        <v>0</v>
      </c>
      <c r="M28" s="80">
        <f>K$11*'Mkt share'!$C$23</f>
        <v>0</v>
      </c>
      <c r="N28" s="80">
        <f>K$14*'Mkt share'!$C$23</f>
        <v>0</v>
      </c>
      <c r="O28" s="88">
        <f>K$17*'Mkt share'!$C$23</f>
        <v>0</v>
      </c>
      <c r="R28" s="87" t="s">
        <v>170</v>
      </c>
      <c r="S28" s="80">
        <f>S$7*'Mkt share'!$C$24</f>
        <v>0</v>
      </c>
      <c r="T28" s="80">
        <f>S$8*'Mkt share'!$C$24</f>
        <v>0</v>
      </c>
      <c r="U28" s="80">
        <f>S$11*'Mkt share'!$C$24</f>
        <v>0</v>
      </c>
      <c r="V28" s="80">
        <f>S$14*'Mkt share'!$C$24</f>
        <v>0</v>
      </c>
      <c r="W28" s="88">
        <f>S$17*'Mkt share'!$C$24</f>
        <v>0</v>
      </c>
      <c r="Z28" s="87" t="s">
        <v>170</v>
      </c>
      <c r="AA28" s="80">
        <f>AA$7*'Mkt share'!$C$25</f>
        <v>0</v>
      </c>
      <c r="AB28" s="80">
        <f>AA$8*'Mkt share'!$C$25</f>
        <v>0</v>
      </c>
      <c r="AC28" s="80">
        <f>AA$11*'Mkt share'!$C$25</f>
        <v>0</v>
      </c>
      <c r="AD28" s="80">
        <f>AA$14*'Mkt share'!$C$25</f>
        <v>0</v>
      </c>
      <c r="AE28" s="88">
        <f>AA$17*'Mkt share'!$C$25</f>
        <v>0</v>
      </c>
      <c r="AH28" s="87" t="s">
        <v>170</v>
      </c>
      <c r="AI28" s="80">
        <f>AI$7*'Mkt share'!$C$26</f>
        <v>311080.53998220514</v>
      </c>
      <c r="AJ28" s="80">
        <f>AI$8*'Mkt share'!$C$26</f>
        <v>311080.53998220514</v>
      </c>
      <c r="AK28" s="80">
        <f>AI$11*'Mkt share'!$C$26</f>
        <v>311080.53998220514</v>
      </c>
      <c r="AL28" s="80">
        <f>AI$14*'Mkt share'!$C$26</f>
        <v>311080.53998220514</v>
      </c>
      <c r="AM28" s="88">
        <f>AI$17*'Mkt share'!$C$26</f>
        <v>311080.53998220514</v>
      </c>
      <c r="AP28" s="87" t="s">
        <v>170</v>
      </c>
      <c r="AQ28" s="80">
        <f>AQ$7*'Mkt share'!$C$27</f>
        <v>0</v>
      </c>
      <c r="AR28" s="80">
        <f>AQ$8*'Mkt share'!$C$27</f>
        <v>0</v>
      </c>
      <c r="AS28" s="80">
        <f>AQ$11*'Mkt share'!$C$27</f>
        <v>0</v>
      </c>
      <c r="AT28" s="80">
        <f>AQ$14*'Mkt share'!$C$27</f>
        <v>0</v>
      </c>
      <c r="AU28" s="88">
        <f>AQ$17*'Mkt share'!$C$27</f>
        <v>0</v>
      </c>
      <c r="AX28" s="87" t="s">
        <v>170</v>
      </c>
      <c r="AY28" s="80">
        <f>AY$7*'Mkt share'!$C$28</f>
        <v>0</v>
      </c>
      <c r="AZ28" s="80">
        <f>AY$8*'Mkt share'!$C$28</f>
        <v>0</v>
      </c>
      <c r="BA28" s="80">
        <f>AY$11*'Mkt share'!$C$28</f>
        <v>0</v>
      </c>
      <c r="BB28" s="80">
        <f>AY$14*'Mkt share'!$C$28</f>
        <v>0</v>
      </c>
      <c r="BC28" s="88">
        <f>AY$17*'Mkt share'!$C$28</f>
        <v>0</v>
      </c>
      <c r="BF28" s="87" t="s">
        <v>170</v>
      </c>
      <c r="BG28" s="80">
        <f>BG$7*'Mkt share'!$C$29</f>
        <v>0</v>
      </c>
      <c r="BH28" s="80">
        <f>BG$8*'Mkt share'!$C$29</f>
        <v>0</v>
      </c>
      <c r="BI28" s="80">
        <f>BG$11*'Mkt share'!$C$29</f>
        <v>0</v>
      </c>
      <c r="BJ28" s="80">
        <f>BG$14*'Mkt share'!$C$29</f>
        <v>0</v>
      </c>
      <c r="BK28" s="88">
        <f>BG$17*'Mkt share'!$C$29</f>
        <v>0</v>
      </c>
      <c r="BN28" s="87" t="s">
        <v>170</v>
      </c>
      <c r="BO28" s="80">
        <f>BO$7*'Mkt share'!$C$30</f>
        <v>0</v>
      </c>
      <c r="BP28" s="80">
        <f>BO$8*'Mkt share'!$C$30</f>
        <v>0</v>
      </c>
      <c r="BQ28" s="80">
        <f>BO$11*'Mkt share'!$C$30</f>
        <v>0</v>
      </c>
      <c r="BR28" s="80">
        <f>BO$14*'Mkt share'!$C$30</f>
        <v>0</v>
      </c>
      <c r="BS28" s="88">
        <f>BO$17*'Mkt share'!$C$30</f>
        <v>0</v>
      </c>
      <c r="BV28" s="87" t="s">
        <v>170</v>
      </c>
      <c r="BW28" s="80">
        <f>BW$7*'Mkt share'!$C$31</f>
        <v>0</v>
      </c>
      <c r="BX28" s="80">
        <f>BW$8*'Mkt share'!$C$31</f>
        <v>0</v>
      </c>
      <c r="BY28" s="80">
        <f>BW$11*'Mkt share'!$C$31</f>
        <v>0</v>
      </c>
      <c r="BZ28" s="80">
        <f>BW$14*'Mkt share'!$C$31</f>
        <v>0</v>
      </c>
      <c r="CA28" s="88">
        <f>BW$17*'Mkt share'!$C$31</f>
        <v>0</v>
      </c>
      <c r="CD28" s="87" t="s">
        <v>170</v>
      </c>
      <c r="CE28" s="80">
        <f>CE$7*'Mkt share'!$C$32</f>
        <v>0</v>
      </c>
      <c r="CF28" s="80">
        <f>CE$8*'Mkt share'!$C$32</f>
        <v>0</v>
      </c>
      <c r="CG28" s="80">
        <f>CE$11*'Mkt share'!$C$32</f>
        <v>0</v>
      </c>
      <c r="CH28" s="80">
        <f>CE$14*'Mkt share'!$C$32</f>
        <v>0</v>
      </c>
      <c r="CI28" s="88">
        <f>CE$17*'Mkt share'!$C$32</f>
        <v>0</v>
      </c>
      <c r="CL28" s="87" t="s">
        <v>170</v>
      </c>
      <c r="CM28" s="80">
        <f>CM$7*'Mkt share'!$C$33</f>
        <v>0</v>
      </c>
      <c r="CN28" s="80">
        <f>CM$8*'Mkt share'!$C$33</f>
        <v>0</v>
      </c>
      <c r="CO28" s="80">
        <f>CM$11*'Mkt share'!$C$33</f>
        <v>0</v>
      </c>
      <c r="CP28" s="80">
        <f>CM$14*'Mkt share'!$C$33</f>
        <v>0</v>
      </c>
      <c r="CQ28" s="88">
        <f>CM$17*'Mkt share'!$C$33</f>
        <v>0</v>
      </c>
      <c r="CT28" s="87" t="s">
        <v>170</v>
      </c>
      <c r="CU28" s="80">
        <f>CU$7*'Mkt share'!$C$34</f>
        <v>0</v>
      </c>
      <c r="CV28" s="80">
        <f>CU$8*'Mkt share'!$C$34</f>
        <v>0</v>
      </c>
      <c r="CW28" s="80">
        <f>CU$11*'Mkt share'!$C$34</f>
        <v>0</v>
      </c>
      <c r="CX28" s="80">
        <f>CU$14*'Mkt share'!$C$34</f>
        <v>0</v>
      </c>
      <c r="CY28" s="88">
        <f>CU$17*'Mkt share'!$C$34</f>
        <v>0</v>
      </c>
      <c r="DB28" s="87" t="s">
        <v>170</v>
      </c>
      <c r="DC28" s="80">
        <f>DC$7*'Mkt share'!$C$35</f>
        <v>0</v>
      </c>
      <c r="DD28" s="80">
        <f>DC$8*'Mkt share'!$C$35</f>
        <v>0</v>
      </c>
      <c r="DE28" s="80">
        <f>DC$11*'Mkt share'!$C$35</f>
        <v>0</v>
      </c>
      <c r="DF28" s="80">
        <f>DC$14*'Mkt share'!$C$35</f>
        <v>0</v>
      </c>
      <c r="DG28" s="88">
        <f>DC$17*'Mkt share'!$C$35</f>
        <v>0</v>
      </c>
    </row>
    <row r="29" spans="2:113">
      <c r="B29" s="87" t="s">
        <v>175</v>
      </c>
      <c r="C29" s="105">
        <v>0</v>
      </c>
      <c r="D29" s="80">
        <f>C$10*'Mkt share'!$C$22</f>
        <v>0</v>
      </c>
      <c r="E29" s="80">
        <f>C$13*'Mkt share'!$C$22</f>
        <v>0</v>
      </c>
      <c r="F29" s="80">
        <f>C$16*'Mkt share'!$C$22</f>
        <v>0</v>
      </c>
      <c r="G29" s="88">
        <f>C$19*'Mkt share'!$C$22</f>
        <v>0</v>
      </c>
      <c r="J29" s="87" t="s">
        <v>175</v>
      </c>
      <c r="K29" s="105">
        <v>0</v>
      </c>
      <c r="L29" s="80">
        <f>K$10*'Mkt share'!$C$23</f>
        <v>0</v>
      </c>
      <c r="M29" s="80">
        <f>K$13*'Mkt share'!$C$23</f>
        <v>0</v>
      </c>
      <c r="N29" s="80">
        <f>K$16*'Mkt share'!$C$23</f>
        <v>0</v>
      </c>
      <c r="O29" s="88">
        <f>K$19*'Mkt share'!$C$23</f>
        <v>0</v>
      </c>
      <c r="R29" s="87" t="s">
        <v>175</v>
      </c>
      <c r="S29" s="105">
        <v>0</v>
      </c>
      <c r="T29" s="80">
        <f>S$10*'Mkt share'!$C$24</f>
        <v>0</v>
      </c>
      <c r="U29" s="80">
        <f>S$13*'Mkt share'!$C$24</f>
        <v>0</v>
      </c>
      <c r="V29" s="80">
        <f>S$16*'Mkt share'!$C$24</f>
        <v>0</v>
      </c>
      <c r="W29" s="88">
        <f>S$19*'Mkt share'!$C$24</f>
        <v>0</v>
      </c>
      <c r="Z29" s="87" t="s">
        <v>175</v>
      </c>
      <c r="AA29" s="105">
        <v>0</v>
      </c>
      <c r="AB29" s="80">
        <f>AA$10*'Mkt share'!$C$25</f>
        <v>0</v>
      </c>
      <c r="AC29" s="80">
        <f>AA$13*'Mkt share'!$C$25</f>
        <v>0</v>
      </c>
      <c r="AD29" s="80">
        <f>AA$16*'Mkt share'!$C$25</f>
        <v>0</v>
      </c>
      <c r="AE29" s="88">
        <f>AA$19*'Mkt share'!$C$25</f>
        <v>0</v>
      </c>
      <c r="AH29" s="87" t="s">
        <v>175</v>
      </c>
      <c r="AI29" s="105">
        <v>0</v>
      </c>
      <c r="AJ29" s="80">
        <f>AI$10*'Mkt share'!$C$26</f>
        <v>0</v>
      </c>
      <c r="AK29" s="80">
        <f>AI$13*'Mkt share'!$C$26</f>
        <v>0</v>
      </c>
      <c r="AL29" s="80">
        <f>AI$16*'Mkt share'!$C$26</f>
        <v>0</v>
      </c>
      <c r="AM29" s="88">
        <f>AI$19*'Mkt share'!$C$26</f>
        <v>0</v>
      </c>
      <c r="AP29" s="87" t="s">
        <v>175</v>
      </c>
      <c r="AQ29" s="105">
        <v>0</v>
      </c>
      <c r="AR29" s="80">
        <f>AQ$10*'Mkt share'!$C$27</f>
        <v>0</v>
      </c>
      <c r="AS29" s="80">
        <f>AQ$13*'Mkt share'!$C$27</f>
        <v>0</v>
      </c>
      <c r="AT29" s="80">
        <f>AQ$16*'Mkt share'!$C$27</f>
        <v>0</v>
      </c>
      <c r="AU29" s="88">
        <f>AQ$19*'Mkt share'!$C$27</f>
        <v>0</v>
      </c>
      <c r="AX29" s="87" t="s">
        <v>175</v>
      </c>
      <c r="AY29" s="105">
        <v>0</v>
      </c>
      <c r="AZ29" s="80">
        <f>AY$10*'Mkt share'!$C$28</f>
        <v>0</v>
      </c>
      <c r="BA29" s="80">
        <f>AY$13*'Mkt share'!$C$28</f>
        <v>0</v>
      </c>
      <c r="BB29" s="80">
        <f>AY$16*'Mkt share'!$C$28</f>
        <v>0</v>
      </c>
      <c r="BC29" s="88">
        <f>AY$19*'Mkt share'!$C$28</f>
        <v>0</v>
      </c>
      <c r="BF29" s="87" t="s">
        <v>175</v>
      </c>
      <c r="BG29" s="105">
        <v>0</v>
      </c>
      <c r="BH29" s="80">
        <f>BG$10*'Mkt share'!$C$29</f>
        <v>0</v>
      </c>
      <c r="BI29" s="80">
        <f>BG$13*'Mkt share'!$C$29</f>
        <v>0</v>
      </c>
      <c r="BJ29" s="80">
        <f>BG$16*'Mkt share'!$C$29</f>
        <v>0</v>
      </c>
      <c r="BK29" s="88">
        <f>BG$19*'Mkt share'!$C$29</f>
        <v>0</v>
      </c>
      <c r="BN29" s="87" t="s">
        <v>175</v>
      </c>
      <c r="BO29" s="105">
        <v>0</v>
      </c>
      <c r="BP29" s="80">
        <f>BO$10*'Mkt share'!$C$30</f>
        <v>0</v>
      </c>
      <c r="BQ29" s="80">
        <f>BO$13*'Mkt share'!$C$30</f>
        <v>0</v>
      </c>
      <c r="BR29" s="80">
        <f>BO$16*'Mkt share'!$C$30</f>
        <v>0</v>
      </c>
      <c r="BS29" s="88">
        <f>BO$19*'Mkt share'!$C$30</f>
        <v>0</v>
      </c>
      <c r="BV29" s="87" t="s">
        <v>175</v>
      </c>
      <c r="BW29" s="105">
        <v>0</v>
      </c>
      <c r="BX29" s="80">
        <f>BW$10*'Mkt share'!$C$31</f>
        <v>0</v>
      </c>
      <c r="BY29" s="80">
        <f>BW$13*'Mkt share'!$C$31</f>
        <v>0</v>
      </c>
      <c r="BZ29" s="80">
        <f>BW$16*'Mkt share'!$C$31</f>
        <v>0</v>
      </c>
      <c r="CA29" s="88">
        <f>BW$19*'Mkt share'!$C$31</f>
        <v>0</v>
      </c>
      <c r="CD29" s="87" t="s">
        <v>175</v>
      </c>
      <c r="CE29" s="105">
        <v>0</v>
      </c>
      <c r="CF29" s="80">
        <f>CE$10*'Mkt share'!$C$32</f>
        <v>0</v>
      </c>
      <c r="CG29" s="80">
        <f>CE$13*'Mkt share'!$C$32</f>
        <v>0</v>
      </c>
      <c r="CH29" s="80">
        <f>CE$16*'Mkt share'!$C$32</f>
        <v>0</v>
      </c>
      <c r="CI29" s="88">
        <f>CE$19*'Mkt share'!$C$32</f>
        <v>0</v>
      </c>
      <c r="CL29" s="87" t="s">
        <v>175</v>
      </c>
      <c r="CM29" s="105">
        <v>0</v>
      </c>
      <c r="CN29" s="80">
        <f>CM$10*'Mkt share'!$C$33</f>
        <v>0</v>
      </c>
      <c r="CO29" s="80">
        <f>CM$13*'Mkt share'!$C$33</f>
        <v>0</v>
      </c>
      <c r="CP29" s="80">
        <f>CM$16*'Mkt share'!$C$33</f>
        <v>0</v>
      </c>
      <c r="CQ29" s="88">
        <f>CM$19*'Mkt share'!$C$33</f>
        <v>0</v>
      </c>
      <c r="CT29" s="87" t="s">
        <v>175</v>
      </c>
      <c r="CU29" s="105">
        <v>0</v>
      </c>
      <c r="CV29" s="80">
        <f>CU$10*'Mkt share'!$C$34</f>
        <v>0</v>
      </c>
      <c r="CW29" s="80">
        <f>CU$13*'Mkt share'!$C$34</f>
        <v>0</v>
      </c>
      <c r="CX29" s="80">
        <f>CU$16*'Mkt share'!$C$34</f>
        <v>0</v>
      </c>
      <c r="CY29" s="88">
        <f>CU$19*'Mkt share'!$C$34</f>
        <v>0</v>
      </c>
      <c r="DB29" s="87" t="s">
        <v>175</v>
      </c>
      <c r="DC29" s="105">
        <v>0</v>
      </c>
      <c r="DD29" s="80">
        <f>DC$10*'Mkt share'!$C$35</f>
        <v>0</v>
      </c>
      <c r="DE29" s="80">
        <f>DC$13*'Mkt share'!$C$35</f>
        <v>0</v>
      </c>
      <c r="DF29" s="80">
        <f>DC$16*'Mkt share'!$C$35</f>
        <v>0</v>
      </c>
      <c r="DG29" s="88">
        <f>DC$19*'Mkt share'!$C$35</f>
        <v>0</v>
      </c>
    </row>
    <row r="30" spans="2:113">
      <c r="B30" s="87" t="s">
        <v>171</v>
      </c>
      <c r="C30" s="103"/>
      <c r="D30" s="80">
        <f>D$7*'Mkt share'!$D$22</f>
        <v>0</v>
      </c>
      <c r="E30" s="80">
        <f>D$8*'Mkt share'!$D$22</f>
        <v>0</v>
      </c>
      <c r="F30" s="80">
        <f>D$11*'Mkt share'!$D$22</f>
        <v>0</v>
      </c>
      <c r="G30" s="88">
        <f>D$14*'Mkt share'!$D$22</f>
        <v>0</v>
      </c>
      <c r="J30" s="87" t="s">
        <v>171</v>
      </c>
      <c r="K30" s="103"/>
      <c r="L30" s="80">
        <f>L$7*'Mkt share'!$D$23</f>
        <v>0</v>
      </c>
      <c r="M30" s="80">
        <f>L$8*'Mkt share'!$D$23</f>
        <v>0</v>
      </c>
      <c r="N30" s="80">
        <f>L$11*'Mkt share'!$D$23</f>
        <v>0</v>
      </c>
      <c r="O30" s="88">
        <f>L$14*'Mkt share'!$D$23</f>
        <v>0</v>
      </c>
      <c r="R30" s="87" t="s">
        <v>171</v>
      </c>
      <c r="S30" s="103"/>
      <c r="T30" s="80">
        <f>T$7*'Mkt share'!$D$24</f>
        <v>0</v>
      </c>
      <c r="U30" s="80">
        <f>T$8*'Mkt share'!$D$24</f>
        <v>0</v>
      </c>
      <c r="V30" s="80">
        <f>T$11*'Mkt share'!$D$24</f>
        <v>0</v>
      </c>
      <c r="W30" s="88">
        <f>T$14*'Mkt share'!$D$24</f>
        <v>0</v>
      </c>
      <c r="Z30" s="87" t="s">
        <v>171</v>
      </c>
      <c r="AA30" s="103"/>
      <c r="AB30" s="80">
        <f>AB$7*'Mkt share'!$D$25</f>
        <v>0</v>
      </c>
      <c r="AC30" s="80">
        <f>AB$8*'Mkt share'!$D$25</f>
        <v>0</v>
      </c>
      <c r="AD30" s="80">
        <f>AB$11*'Mkt share'!$D$25</f>
        <v>0</v>
      </c>
      <c r="AE30" s="88">
        <f>AB$14*'Mkt share'!$D$25</f>
        <v>0</v>
      </c>
      <c r="AH30" s="87" t="s">
        <v>171</v>
      </c>
      <c r="AI30" s="103"/>
      <c r="AJ30" s="80">
        <f>AJ$7*'Mkt share'!$D$26</f>
        <v>309959.50471967034</v>
      </c>
      <c r="AK30" s="80">
        <f>AJ$8*'Mkt share'!$D$26</f>
        <v>309959.50471967034</v>
      </c>
      <c r="AL30" s="80">
        <f>AJ$11*'Mkt share'!$D$26</f>
        <v>309959.50471967034</v>
      </c>
      <c r="AM30" s="88">
        <f>AJ$14*'Mkt share'!$D$26</f>
        <v>309959.50471967034</v>
      </c>
      <c r="AP30" s="87" t="s">
        <v>171</v>
      </c>
      <c r="AQ30" s="103"/>
      <c r="AR30" s="80">
        <f>AR$7*'Mkt share'!$D$27</f>
        <v>0</v>
      </c>
      <c r="AS30" s="80">
        <f>AR$8*'Mkt share'!$D$27</f>
        <v>0</v>
      </c>
      <c r="AT30" s="80">
        <f>AR$11*'Mkt share'!$D$27</f>
        <v>0</v>
      </c>
      <c r="AU30" s="88">
        <f>AR$14*'Mkt share'!$D$27</f>
        <v>0</v>
      </c>
      <c r="AX30" s="87" t="s">
        <v>171</v>
      </c>
      <c r="AY30" s="103"/>
      <c r="AZ30" s="80">
        <f>AZ$7*'Mkt share'!$D$28</f>
        <v>0</v>
      </c>
      <c r="BA30" s="80">
        <f>AZ$8*'Mkt share'!$D$28</f>
        <v>0</v>
      </c>
      <c r="BB30" s="80">
        <f>AZ$11*'Mkt share'!$D$28</f>
        <v>0</v>
      </c>
      <c r="BC30" s="88">
        <f>AZ$14*'Mkt share'!$D$28</f>
        <v>0</v>
      </c>
      <c r="BF30" s="87" t="s">
        <v>171</v>
      </c>
      <c r="BG30" s="103"/>
      <c r="BH30" s="80">
        <f>BH$7*'Mkt share'!$D$29</f>
        <v>0</v>
      </c>
      <c r="BI30" s="80">
        <f>BH$8*'Mkt share'!$D$29</f>
        <v>0</v>
      </c>
      <c r="BJ30" s="80">
        <f>BH$11*'Mkt share'!$D$29</f>
        <v>0</v>
      </c>
      <c r="BK30" s="88">
        <f>BH$14*'Mkt share'!$D$29</f>
        <v>0</v>
      </c>
      <c r="BN30" s="87" t="s">
        <v>171</v>
      </c>
      <c r="BO30" s="103"/>
      <c r="BP30" s="80">
        <f>BP$7*'Mkt share'!$D$30</f>
        <v>0</v>
      </c>
      <c r="BQ30" s="80">
        <f>BP$8*'Mkt share'!$D$30</f>
        <v>0</v>
      </c>
      <c r="BR30" s="80">
        <f>BP$11*'Mkt share'!$D$30</f>
        <v>0</v>
      </c>
      <c r="BS30" s="88">
        <f>BP$14*'Mkt share'!$D$30</f>
        <v>0</v>
      </c>
      <c r="BV30" s="87" t="s">
        <v>171</v>
      </c>
      <c r="BW30" s="103"/>
      <c r="BX30" s="80">
        <f>BX$7*'Mkt share'!$D$31</f>
        <v>0</v>
      </c>
      <c r="BY30" s="80">
        <f>BX$8*'Mkt share'!$D$31</f>
        <v>0</v>
      </c>
      <c r="BZ30" s="80">
        <f>BX$11*'Mkt share'!$D$31</f>
        <v>0</v>
      </c>
      <c r="CA30" s="88">
        <f>BX$14*'Mkt share'!$D$31</f>
        <v>0</v>
      </c>
      <c r="CD30" s="87" t="s">
        <v>171</v>
      </c>
      <c r="CE30" s="103"/>
      <c r="CF30" s="80">
        <f>CF$7*'Mkt share'!$D$32</f>
        <v>0</v>
      </c>
      <c r="CG30" s="80">
        <f>CF$8*'Mkt share'!$D$32</f>
        <v>0</v>
      </c>
      <c r="CH30" s="80">
        <f>CF$11*'Mkt share'!$D$32</f>
        <v>0</v>
      </c>
      <c r="CI30" s="88">
        <f>CF$14*'Mkt share'!$D$32</f>
        <v>0</v>
      </c>
      <c r="CL30" s="87" t="s">
        <v>171</v>
      </c>
      <c r="CM30" s="103"/>
      <c r="CN30" s="80">
        <f>CN$7*'Mkt share'!$D$33</f>
        <v>0</v>
      </c>
      <c r="CO30" s="80">
        <f>CN$8*'Mkt share'!$D$33</f>
        <v>0</v>
      </c>
      <c r="CP30" s="80">
        <f>CN$11*'Mkt share'!$D$33</f>
        <v>0</v>
      </c>
      <c r="CQ30" s="88">
        <f>CN$14*'Mkt share'!$D$33</f>
        <v>0</v>
      </c>
      <c r="CT30" s="87" t="s">
        <v>171</v>
      </c>
      <c r="CU30" s="103"/>
      <c r="CV30" s="80">
        <f>CV$7*'Mkt share'!$D$34</f>
        <v>0</v>
      </c>
      <c r="CW30" s="80">
        <f>CV$8*'Mkt share'!$D$34</f>
        <v>0</v>
      </c>
      <c r="CX30" s="80">
        <f>CV$11*'Mkt share'!$D$34</f>
        <v>0</v>
      </c>
      <c r="CY30" s="88">
        <f>CV$14*'Mkt share'!$D$34</f>
        <v>0</v>
      </c>
      <c r="DB30" s="87" t="s">
        <v>171</v>
      </c>
      <c r="DC30" s="103"/>
      <c r="DD30" s="80">
        <f>DD$7*'Mkt share'!$D$35</f>
        <v>0</v>
      </c>
      <c r="DE30" s="80">
        <f>DD$8*'Mkt share'!$D$35</f>
        <v>0</v>
      </c>
      <c r="DF30" s="80">
        <f>DD$11*'Mkt share'!$D$35</f>
        <v>0</v>
      </c>
      <c r="DG30" s="88">
        <f>DD$14*'Mkt share'!$D$35</f>
        <v>0</v>
      </c>
    </row>
    <row r="31" spans="2:113">
      <c r="B31" s="87" t="s">
        <v>176</v>
      </c>
      <c r="C31" s="103"/>
      <c r="D31" s="105">
        <v>0</v>
      </c>
      <c r="E31" s="80">
        <f>D$10*'Mkt share'!$D$22</f>
        <v>0</v>
      </c>
      <c r="F31" s="80">
        <f>D$13*'Mkt share'!$D$22</f>
        <v>0</v>
      </c>
      <c r="G31" s="88">
        <f>D$16*'Mkt share'!$D$22</f>
        <v>0</v>
      </c>
      <c r="J31" s="87" t="s">
        <v>176</v>
      </c>
      <c r="K31" s="103"/>
      <c r="L31" s="105">
        <v>0</v>
      </c>
      <c r="M31" s="80">
        <f>L$10*'Mkt share'!$D$23</f>
        <v>0</v>
      </c>
      <c r="N31" s="80">
        <f>L$13*'Mkt share'!$D$23</f>
        <v>0</v>
      </c>
      <c r="O31" s="88">
        <f>L$16*'Mkt share'!$D$23</f>
        <v>0</v>
      </c>
      <c r="R31" s="87" t="s">
        <v>176</v>
      </c>
      <c r="S31" s="103"/>
      <c r="T31" s="105">
        <v>0</v>
      </c>
      <c r="U31" s="80">
        <f>T$10*'Mkt share'!$D$24</f>
        <v>0</v>
      </c>
      <c r="V31" s="80">
        <f>T$13*'Mkt share'!$D$24</f>
        <v>0</v>
      </c>
      <c r="W31" s="88">
        <f>T$16*'Mkt share'!$D$24</f>
        <v>0</v>
      </c>
      <c r="Z31" s="87" t="s">
        <v>176</v>
      </c>
      <c r="AA31" s="103"/>
      <c r="AB31" s="105">
        <v>0</v>
      </c>
      <c r="AC31" s="80">
        <f>AB$10*'Mkt share'!$D$25</f>
        <v>0</v>
      </c>
      <c r="AD31" s="80">
        <f>AB$13*'Mkt share'!$D$25</f>
        <v>0</v>
      </c>
      <c r="AE31" s="88">
        <f>AB$16*'Mkt share'!$D$25</f>
        <v>0</v>
      </c>
      <c r="AH31" s="87" t="s">
        <v>176</v>
      </c>
      <c r="AI31" s="103"/>
      <c r="AJ31" s="105">
        <v>0</v>
      </c>
      <c r="AK31" s="80">
        <f>AJ$10*'Mkt share'!$D$26</f>
        <v>0</v>
      </c>
      <c r="AL31" s="80">
        <f>AJ$13*'Mkt share'!$D$26</f>
        <v>0</v>
      </c>
      <c r="AM31" s="88">
        <f>AJ$16*'Mkt share'!$D$26</f>
        <v>0</v>
      </c>
      <c r="AP31" s="87" t="s">
        <v>176</v>
      </c>
      <c r="AQ31" s="103"/>
      <c r="AR31" s="105">
        <v>0</v>
      </c>
      <c r="AS31" s="80">
        <f>AR$10*'Mkt share'!$D$27</f>
        <v>0</v>
      </c>
      <c r="AT31" s="80">
        <f>AR$13*'Mkt share'!$D$27</f>
        <v>0</v>
      </c>
      <c r="AU31" s="88">
        <f>AR$16*'Mkt share'!$D$27</f>
        <v>0</v>
      </c>
      <c r="AX31" s="87" t="s">
        <v>176</v>
      </c>
      <c r="AY31" s="103"/>
      <c r="AZ31" s="105">
        <v>0</v>
      </c>
      <c r="BA31" s="80">
        <f>AZ$10*'Mkt share'!$D$28</f>
        <v>0</v>
      </c>
      <c r="BB31" s="80">
        <f>AZ$13*'Mkt share'!$D$28</f>
        <v>0</v>
      </c>
      <c r="BC31" s="88">
        <f>AZ$16*'Mkt share'!$D$28</f>
        <v>0</v>
      </c>
      <c r="BF31" s="87" t="s">
        <v>176</v>
      </c>
      <c r="BG31" s="103"/>
      <c r="BH31" s="105">
        <v>0</v>
      </c>
      <c r="BI31" s="80">
        <f>BH$10*'Mkt share'!$D$29</f>
        <v>0</v>
      </c>
      <c r="BJ31" s="80">
        <f>BH$13*'Mkt share'!$D$29</f>
        <v>0</v>
      </c>
      <c r="BK31" s="88">
        <f>BH$16*'Mkt share'!$D$29</f>
        <v>0</v>
      </c>
      <c r="BN31" s="87" t="s">
        <v>176</v>
      </c>
      <c r="BO31" s="103"/>
      <c r="BP31" s="105">
        <v>0</v>
      </c>
      <c r="BQ31" s="80">
        <f>BP$10*'Mkt share'!$D$30</f>
        <v>0</v>
      </c>
      <c r="BR31" s="80">
        <f>BP$13*'Mkt share'!$D$30</f>
        <v>0</v>
      </c>
      <c r="BS31" s="88">
        <f>BP$16*'Mkt share'!$D$30</f>
        <v>0</v>
      </c>
      <c r="BV31" s="87" t="s">
        <v>176</v>
      </c>
      <c r="BW31" s="103"/>
      <c r="BX31" s="105">
        <v>0</v>
      </c>
      <c r="BY31" s="80">
        <f>BX$10*'Mkt share'!$D$31</f>
        <v>0</v>
      </c>
      <c r="BZ31" s="80">
        <f>BX$13*'Mkt share'!$D$31</f>
        <v>0</v>
      </c>
      <c r="CA31" s="88">
        <f>BX$16*'Mkt share'!$D$31</f>
        <v>0</v>
      </c>
      <c r="CD31" s="87" t="s">
        <v>176</v>
      </c>
      <c r="CE31" s="103"/>
      <c r="CF31" s="105">
        <v>0</v>
      </c>
      <c r="CG31" s="80">
        <f>CF$10*'Mkt share'!$D$32</f>
        <v>0</v>
      </c>
      <c r="CH31" s="80">
        <f>CF$13*'Mkt share'!$D$32</f>
        <v>0</v>
      </c>
      <c r="CI31" s="88">
        <f>CF$16*'Mkt share'!$D$32</f>
        <v>0</v>
      </c>
      <c r="CL31" s="87" t="s">
        <v>176</v>
      </c>
      <c r="CM31" s="103"/>
      <c r="CN31" s="105">
        <v>0</v>
      </c>
      <c r="CO31" s="80">
        <f>CN$10*'Mkt share'!$D$33</f>
        <v>0</v>
      </c>
      <c r="CP31" s="80">
        <f>CN$13*'Mkt share'!$D$33</f>
        <v>0</v>
      </c>
      <c r="CQ31" s="88">
        <f>CN$16*'Mkt share'!$D$33</f>
        <v>0</v>
      </c>
      <c r="CT31" s="87" t="s">
        <v>176</v>
      </c>
      <c r="CU31" s="103"/>
      <c r="CV31" s="105">
        <v>0</v>
      </c>
      <c r="CW31" s="80">
        <f>CV$10*'Mkt share'!$D$34</f>
        <v>0</v>
      </c>
      <c r="CX31" s="80">
        <f>CV$13*'Mkt share'!$D$34</f>
        <v>0</v>
      </c>
      <c r="CY31" s="88">
        <f>CV$16*'Mkt share'!$D$34</f>
        <v>0</v>
      </c>
      <c r="DB31" s="87" t="s">
        <v>176</v>
      </c>
      <c r="DC31" s="103"/>
      <c r="DD31" s="105">
        <v>0</v>
      </c>
      <c r="DE31" s="80">
        <f>DD$10*'Mkt share'!$D$35</f>
        <v>0</v>
      </c>
      <c r="DF31" s="80">
        <f>DD$13*'Mkt share'!$D$35</f>
        <v>0</v>
      </c>
      <c r="DG31" s="88">
        <f>DD$16*'Mkt share'!$D$35</f>
        <v>0</v>
      </c>
    </row>
    <row r="32" spans="2:113">
      <c r="B32" s="87" t="s">
        <v>172</v>
      </c>
      <c r="C32" s="103"/>
      <c r="D32" s="103"/>
      <c r="E32" s="80">
        <f>E$7*'Mkt share'!$E$22</f>
        <v>0</v>
      </c>
      <c r="F32" s="80">
        <f>E$8*'Mkt share'!$E$22</f>
        <v>0</v>
      </c>
      <c r="G32" s="88">
        <f>E$11*'Mkt share'!$E$22</f>
        <v>0</v>
      </c>
      <c r="J32" s="87" t="s">
        <v>172</v>
      </c>
      <c r="K32" s="103"/>
      <c r="L32" s="103"/>
      <c r="M32" s="80">
        <f>M$7*'Mkt share'!$E$23</f>
        <v>0</v>
      </c>
      <c r="N32" s="80">
        <f>M$8*'Mkt share'!$E$23</f>
        <v>0</v>
      </c>
      <c r="O32" s="88">
        <f>M$11*'Mkt share'!$E$23</f>
        <v>0</v>
      </c>
      <c r="R32" s="87" t="s">
        <v>172</v>
      </c>
      <c r="S32" s="103"/>
      <c r="T32" s="103"/>
      <c r="U32" s="80">
        <f>U$7*'Mkt share'!$E$24</f>
        <v>0</v>
      </c>
      <c r="V32" s="80">
        <f>U$8*'Mkt share'!$E$24</f>
        <v>0</v>
      </c>
      <c r="W32" s="88">
        <f>U$11*'Mkt share'!$E$24</f>
        <v>0</v>
      </c>
      <c r="Z32" s="87" t="s">
        <v>172</v>
      </c>
      <c r="AA32" s="103"/>
      <c r="AB32" s="103"/>
      <c r="AC32" s="80">
        <f>AC$7*'Mkt share'!$E$25</f>
        <v>0</v>
      </c>
      <c r="AD32" s="80">
        <f>AC$8*'Mkt share'!$E$25</f>
        <v>0</v>
      </c>
      <c r="AE32" s="88">
        <f>AC$11*'Mkt share'!$E$25</f>
        <v>0</v>
      </c>
      <c r="AH32" s="87" t="s">
        <v>172</v>
      </c>
      <c r="AI32" s="103"/>
      <c r="AJ32" s="103"/>
      <c r="AK32" s="80">
        <f>AK$7*'Mkt share'!$E$26</f>
        <v>308747.1600436939</v>
      </c>
      <c r="AL32" s="80">
        <f>AK$8*'Mkt share'!$E$26</f>
        <v>308747.1600436939</v>
      </c>
      <c r="AM32" s="88">
        <f>AK$11*'Mkt share'!$E$26</f>
        <v>308747.1600436939</v>
      </c>
      <c r="AP32" s="87" t="s">
        <v>172</v>
      </c>
      <c r="AQ32" s="103"/>
      <c r="AR32" s="103"/>
      <c r="AS32" s="80">
        <f>AS$7*'Mkt share'!$E$27</f>
        <v>0</v>
      </c>
      <c r="AT32" s="80">
        <f>AS$8*'Mkt share'!$E$27</f>
        <v>0</v>
      </c>
      <c r="AU32" s="88">
        <f>AS$11*'Mkt share'!$E$27</f>
        <v>0</v>
      </c>
      <c r="AX32" s="87" t="s">
        <v>172</v>
      </c>
      <c r="AY32" s="103"/>
      <c r="AZ32" s="103"/>
      <c r="BA32" s="80">
        <f>BA$7*'Mkt share'!$E$28</f>
        <v>0</v>
      </c>
      <c r="BB32" s="80">
        <f>BA$8*'Mkt share'!$E$28</f>
        <v>0</v>
      </c>
      <c r="BC32" s="88">
        <f>BA$11*'Mkt share'!$E$28</f>
        <v>0</v>
      </c>
      <c r="BF32" s="87" t="s">
        <v>172</v>
      </c>
      <c r="BG32" s="103"/>
      <c r="BH32" s="103"/>
      <c r="BI32" s="80">
        <f>BI$7*'Mkt share'!$E$29</f>
        <v>0</v>
      </c>
      <c r="BJ32" s="80">
        <f>BI$8*'Mkt share'!$E$29</f>
        <v>0</v>
      </c>
      <c r="BK32" s="88">
        <f>BI$11*'Mkt share'!$E$29</f>
        <v>0</v>
      </c>
      <c r="BN32" s="87" t="s">
        <v>172</v>
      </c>
      <c r="BO32" s="103"/>
      <c r="BP32" s="103"/>
      <c r="BQ32" s="80">
        <f>BQ$7*'Mkt share'!$E$30</f>
        <v>0</v>
      </c>
      <c r="BR32" s="80">
        <f>BQ$8*'Mkt share'!$E$30</f>
        <v>0</v>
      </c>
      <c r="BS32" s="88">
        <f>BQ$11*'Mkt share'!$E$30</f>
        <v>0</v>
      </c>
      <c r="BV32" s="87" t="s">
        <v>172</v>
      </c>
      <c r="BW32" s="103"/>
      <c r="BX32" s="103"/>
      <c r="BY32" s="80">
        <f>BY$7*'Mkt share'!$E$31</f>
        <v>0</v>
      </c>
      <c r="BZ32" s="80">
        <f>BY$8*'Mkt share'!$E$31</f>
        <v>0</v>
      </c>
      <c r="CA32" s="88">
        <f>BY$11*'Mkt share'!$E$31</f>
        <v>0</v>
      </c>
      <c r="CD32" s="87" t="s">
        <v>172</v>
      </c>
      <c r="CE32" s="103"/>
      <c r="CF32" s="103"/>
      <c r="CG32" s="80">
        <f>CG$7*'Mkt share'!$E$32</f>
        <v>0</v>
      </c>
      <c r="CH32" s="80">
        <f>CG$8*'Mkt share'!$E$32</f>
        <v>0</v>
      </c>
      <c r="CI32" s="88">
        <f>CG$11*'Mkt share'!$E$32</f>
        <v>0</v>
      </c>
      <c r="CL32" s="87" t="s">
        <v>172</v>
      </c>
      <c r="CM32" s="103"/>
      <c r="CN32" s="103"/>
      <c r="CO32" s="80">
        <f>CO$7*'Mkt share'!$E$33</f>
        <v>0</v>
      </c>
      <c r="CP32" s="80">
        <f>CO$8*'Mkt share'!$E$33</f>
        <v>0</v>
      </c>
      <c r="CQ32" s="88">
        <f>CO$11*'Mkt share'!$E$33</f>
        <v>0</v>
      </c>
      <c r="CT32" s="87" t="s">
        <v>172</v>
      </c>
      <c r="CU32" s="103"/>
      <c r="CV32" s="103"/>
      <c r="CW32" s="80">
        <f>CW$7*'Mkt share'!$E$34</f>
        <v>0</v>
      </c>
      <c r="CX32" s="80">
        <f>CW$8*'Mkt share'!$E$34</f>
        <v>0</v>
      </c>
      <c r="CY32" s="88">
        <f>CW$11*'Mkt share'!$E$34</f>
        <v>0</v>
      </c>
      <c r="DB32" s="87" t="s">
        <v>172</v>
      </c>
      <c r="DC32" s="103"/>
      <c r="DD32" s="103"/>
      <c r="DE32" s="80">
        <f>DE$7*'Mkt share'!$E$35</f>
        <v>0</v>
      </c>
      <c r="DF32" s="80">
        <f>DE$8*'Mkt share'!$E$35</f>
        <v>0</v>
      </c>
      <c r="DG32" s="88">
        <f>DE$11*'Mkt share'!$E$35</f>
        <v>0</v>
      </c>
    </row>
    <row r="33" spans="2:111">
      <c r="B33" s="87" t="s">
        <v>177</v>
      </c>
      <c r="C33" s="103"/>
      <c r="D33" s="103"/>
      <c r="E33" s="105">
        <v>0</v>
      </c>
      <c r="F33" s="80">
        <f>E$10*'Mkt share'!$E$22</f>
        <v>0</v>
      </c>
      <c r="G33" s="88">
        <f>E$13*'Mkt share'!$E$22</f>
        <v>0</v>
      </c>
      <c r="J33" s="87" t="s">
        <v>177</v>
      </c>
      <c r="K33" s="103"/>
      <c r="L33" s="103"/>
      <c r="M33" s="105">
        <v>0</v>
      </c>
      <c r="N33" s="80">
        <f>M$10*'Mkt share'!$E$23</f>
        <v>0</v>
      </c>
      <c r="O33" s="88">
        <f>M$13*'Mkt share'!$E$23</f>
        <v>0</v>
      </c>
      <c r="R33" s="87" t="s">
        <v>177</v>
      </c>
      <c r="S33" s="103"/>
      <c r="T33" s="103"/>
      <c r="U33" s="105">
        <v>0</v>
      </c>
      <c r="V33" s="80">
        <f>U$10*'Mkt share'!$E$24</f>
        <v>0</v>
      </c>
      <c r="W33" s="88">
        <f>U$13*'Mkt share'!$E$24</f>
        <v>0</v>
      </c>
      <c r="Z33" s="87" t="s">
        <v>177</v>
      </c>
      <c r="AA33" s="103"/>
      <c r="AB33" s="103"/>
      <c r="AC33" s="105">
        <v>0</v>
      </c>
      <c r="AD33" s="80">
        <f>AC$10*'Mkt share'!$E$25</f>
        <v>0</v>
      </c>
      <c r="AE33" s="88">
        <f>AC$13*'Mkt share'!$E$25</f>
        <v>0</v>
      </c>
      <c r="AH33" s="87" t="s">
        <v>177</v>
      </c>
      <c r="AI33" s="103"/>
      <c r="AJ33" s="103"/>
      <c r="AK33" s="105">
        <v>0</v>
      </c>
      <c r="AL33" s="80">
        <f>AK$10*'Mkt share'!$E$26</f>
        <v>0</v>
      </c>
      <c r="AM33" s="88">
        <f>AK$13*'Mkt share'!$E$26</f>
        <v>0</v>
      </c>
      <c r="AP33" s="87" t="s">
        <v>177</v>
      </c>
      <c r="AQ33" s="103"/>
      <c r="AR33" s="103"/>
      <c r="AS33" s="105">
        <v>0</v>
      </c>
      <c r="AT33" s="80">
        <f>AS$10*'Mkt share'!$E$27</f>
        <v>0</v>
      </c>
      <c r="AU33" s="88">
        <f>AS$13*'Mkt share'!$E$27</f>
        <v>0</v>
      </c>
      <c r="AX33" s="87" t="s">
        <v>177</v>
      </c>
      <c r="AY33" s="103"/>
      <c r="AZ33" s="103"/>
      <c r="BA33" s="105">
        <v>0</v>
      </c>
      <c r="BB33" s="80">
        <f>BA$10*'Mkt share'!$E$28</f>
        <v>0</v>
      </c>
      <c r="BC33" s="88">
        <f>BA$13*'Mkt share'!$E$28</f>
        <v>0</v>
      </c>
      <c r="BF33" s="87" t="s">
        <v>177</v>
      </c>
      <c r="BG33" s="103"/>
      <c r="BH33" s="103"/>
      <c r="BI33" s="105">
        <v>0</v>
      </c>
      <c r="BJ33" s="80">
        <f>BI$10*'Mkt share'!$E$29</f>
        <v>0</v>
      </c>
      <c r="BK33" s="88">
        <f>BI$13*'Mkt share'!$E$29</f>
        <v>0</v>
      </c>
      <c r="BN33" s="87" t="s">
        <v>177</v>
      </c>
      <c r="BO33" s="103"/>
      <c r="BP33" s="103"/>
      <c r="BQ33" s="105">
        <v>0</v>
      </c>
      <c r="BR33" s="80">
        <f>BQ$10*'Mkt share'!$E$30</f>
        <v>0</v>
      </c>
      <c r="BS33" s="88">
        <f>BQ$13*'Mkt share'!$E$30</f>
        <v>0</v>
      </c>
      <c r="BV33" s="87" t="s">
        <v>177</v>
      </c>
      <c r="BW33" s="103"/>
      <c r="BX33" s="103"/>
      <c r="BY33" s="105">
        <v>0</v>
      </c>
      <c r="BZ33" s="80">
        <f>BY$10*'Mkt share'!$E$31</f>
        <v>0</v>
      </c>
      <c r="CA33" s="88">
        <f>BY$13*'Mkt share'!$E$31</f>
        <v>0</v>
      </c>
      <c r="CD33" s="87" t="s">
        <v>177</v>
      </c>
      <c r="CE33" s="103"/>
      <c r="CF33" s="103"/>
      <c r="CG33" s="105">
        <v>0</v>
      </c>
      <c r="CH33" s="80">
        <f>CG$10*'Mkt share'!$E$32</f>
        <v>0</v>
      </c>
      <c r="CI33" s="88">
        <f>CG$13*'Mkt share'!$E$32</f>
        <v>0</v>
      </c>
      <c r="CL33" s="87" t="s">
        <v>177</v>
      </c>
      <c r="CM33" s="103"/>
      <c r="CN33" s="103"/>
      <c r="CO33" s="105">
        <v>0</v>
      </c>
      <c r="CP33" s="80">
        <f>CO$10*'Mkt share'!$E$33</f>
        <v>0</v>
      </c>
      <c r="CQ33" s="88">
        <f>CO$13*'Mkt share'!$E$33</f>
        <v>0</v>
      </c>
      <c r="CT33" s="87" t="s">
        <v>177</v>
      </c>
      <c r="CU33" s="103"/>
      <c r="CV33" s="103"/>
      <c r="CW33" s="105">
        <v>0</v>
      </c>
      <c r="CX33" s="80">
        <f>CW$10*'Mkt share'!$E$34</f>
        <v>0</v>
      </c>
      <c r="CY33" s="88">
        <f>CW$13*'Mkt share'!$E$34</f>
        <v>0</v>
      </c>
      <c r="DB33" s="87" t="s">
        <v>177</v>
      </c>
      <c r="DC33" s="103"/>
      <c r="DD33" s="103"/>
      <c r="DE33" s="105">
        <v>0</v>
      </c>
      <c r="DF33" s="80">
        <f>DE$10*'Mkt share'!$E$35</f>
        <v>0</v>
      </c>
      <c r="DG33" s="88">
        <f>DE$13*'Mkt share'!$E$35</f>
        <v>0</v>
      </c>
    </row>
    <row r="34" spans="2:111">
      <c r="B34" s="87" t="s">
        <v>173</v>
      </c>
      <c r="C34" s="103"/>
      <c r="D34" s="103"/>
      <c r="E34" s="103"/>
      <c r="F34" s="80">
        <f>F$7*'Mkt share'!$F$22</f>
        <v>0</v>
      </c>
      <c r="G34" s="88">
        <f>F$8*'Mkt share'!$F$22</f>
        <v>0</v>
      </c>
      <c r="J34" s="87" t="s">
        <v>173</v>
      </c>
      <c r="K34" s="103"/>
      <c r="L34" s="103"/>
      <c r="M34" s="103"/>
      <c r="N34" s="80">
        <f>N$7*'Mkt share'!$F$23</f>
        <v>0</v>
      </c>
      <c r="O34" s="88">
        <f>N$8*'Mkt share'!$F$23</f>
        <v>0</v>
      </c>
      <c r="R34" s="87" t="s">
        <v>173</v>
      </c>
      <c r="S34" s="103"/>
      <c r="T34" s="103"/>
      <c r="U34" s="103"/>
      <c r="V34" s="80">
        <f>V$7*'Mkt share'!$F$24</f>
        <v>0</v>
      </c>
      <c r="W34" s="88">
        <f>V$8*'Mkt share'!$F$24</f>
        <v>0</v>
      </c>
      <c r="Z34" s="87" t="s">
        <v>173</v>
      </c>
      <c r="AA34" s="103"/>
      <c r="AB34" s="103"/>
      <c r="AC34" s="103"/>
      <c r="AD34" s="80">
        <f>AD$7*'Mkt share'!$F$25</f>
        <v>0</v>
      </c>
      <c r="AE34" s="88">
        <f>AD$8*'Mkt share'!$F$25</f>
        <v>0</v>
      </c>
      <c r="AH34" s="87" t="s">
        <v>173</v>
      </c>
      <c r="AI34" s="103"/>
      <c r="AJ34" s="103"/>
      <c r="AK34" s="103"/>
      <c r="AL34" s="80">
        <f>AL$7*'Mkt share'!$F$26</f>
        <v>307292.69308336981</v>
      </c>
      <c r="AM34" s="88">
        <f>AL$8*'Mkt share'!$F$26</f>
        <v>307292.69308336981</v>
      </c>
      <c r="AP34" s="87" t="s">
        <v>173</v>
      </c>
      <c r="AQ34" s="103"/>
      <c r="AR34" s="103"/>
      <c r="AS34" s="103"/>
      <c r="AT34" s="80">
        <f>AT$7*'Mkt share'!$F$27</f>
        <v>0</v>
      </c>
      <c r="AU34" s="88">
        <f>AT$8*'Mkt share'!$F$27</f>
        <v>0</v>
      </c>
      <c r="AX34" s="87" t="s">
        <v>173</v>
      </c>
      <c r="AY34" s="103"/>
      <c r="AZ34" s="103"/>
      <c r="BA34" s="103"/>
      <c r="BB34" s="80">
        <f>BB$7*'Mkt share'!$F$28</f>
        <v>0</v>
      </c>
      <c r="BC34" s="88">
        <f>BB$8*'Mkt share'!$F$28</f>
        <v>0</v>
      </c>
      <c r="BF34" s="87" t="s">
        <v>173</v>
      </c>
      <c r="BG34" s="103"/>
      <c r="BH34" s="103"/>
      <c r="BI34" s="103"/>
      <c r="BJ34" s="80">
        <f>BJ$7*'Mkt share'!$F$29</f>
        <v>0</v>
      </c>
      <c r="BK34" s="88">
        <f>BJ$8*'Mkt share'!$F$29</f>
        <v>0</v>
      </c>
      <c r="BN34" s="87" t="s">
        <v>173</v>
      </c>
      <c r="BO34" s="103"/>
      <c r="BP34" s="103"/>
      <c r="BQ34" s="103"/>
      <c r="BR34" s="80">
        <f>BR$7*'Mkt share'!$F$30</f>
        <v>0</v>
      </c>
      <c r="BS34" s="88">
        <f>BR$8*'Mkt share'!$F$30</f>
        <v>0</v>
      </c>
      <c r="BV34" s="87" t="s">
        <v>173</v>
      </c>
      <c r="BW34" s="103"/>
      <c r="BX34" s="103"/>
      <c r="BY34" s="103"/>
      <c r="BZ34" s="80">
        <f>BZ$7*'Mkt share'!$F$31</f>
        <v>0</v>
      </c>
      <c r="CA34" s="88">
        <f>BZ$8*'Mkt share'!$F$31</f>
        <v>0</v>
      </c>
      <c r="CD34" s="87" t="s">
        <v>173</v>
      </c>
      <c r="CE34" s="103"/>
      <c r="CF34" s="103"/>
      <c r="CG34" s="103"/>
      <c r="CH34" s="80">
        <f>CH$7*'Mkt share'!$F$32</f>
        <v>0</v>
      </c>
      <c r="CI34" s="88">
        <f>CH$8*'Mkt share'!$F$32</f>
        <v>0</v>
      </c>
      <c r="CL34" s="87" t="s">
        <v>173</v>
      </c>
      <c r="CM34" s="103"/>
      <c r="CN34" s="103"/>
      <c r="CO34" s="103"/>
      <c r="CP34" s="80">
        <f>CP$7*'Mkt share'!$F$33</f>
        <v>0</v>
      </c>
      <c r="CQ34" s="88">
        <f>CP$8*'Mkt share'!$F$33</f>
        <v>0</v>
      </c>
      <c r="CT34" s="87" t="s">
        <v>173</v>
      </c>
      <c r="CU34" s="103"/>
      <c r="CV34" s="103"/>
      <c r="CW34" s="103"/>
      <c r="CX34" s="80">
        <f>CX$7*'Mkt share'!$F$34</f>
        <v>0</v>
      </c>
      <c r="CY34" s="88">
        <f>CX$8*'Mkt share'!$F$34</f>
        <v>0</v>
      </c>
      <c r="DB34" s="87" t="s">
        <v>173</v>
      </c>
      <c r="DC34" s="103"/>
      <c r="DD34" s="103"/>
      <c r="DE34" s="103"/>
      <c r="DF34" s="80">
        <f>DF$7*'Mkt share'!$F$35</f>
        <v>0</v>
      </c>
      <c r="DG34" s="88">
        <f>DF$8*'Mkt share'!$F$35</f>
        <v>0</v>
      </c>
    </row>
    <row r="35" spans="2:111">
      <c r="B35" s="87" t="s">
        <v>178</v>
      </c>
      <c r="C35" s="103"/>
      <c r="D35" s="103"/>
      <c r="E35" s="103"/>
      <c r="F35" s="105">
        <v>0</v>
      </c>
      <c r="G35" s="88">
        <f>F$10*'Mkt share'!$F$22</f>
        <v>0</v>
      </c>
      <c r="J35" s="87" t="s">
        <v>178</v>
      </c>
      <c r="K35" s="103"/>
      <c r="L35" s="103"/>
      <c r="M35" s="103"/>
      <c r="N35" s="105">
        <v>0</v>
      </c>
      <c r="O35" s="88">
        <f>N$10*'Mkt share'!$F$23</f>
        <v>0</v>
      </c>
      <c r="R35" s="87" t="s">
        <v>178</v>
      </c>
      <c r="S35" s="103"/>
      <c r="T35" s="103"/>
      <c r="U35" s="103"/>
      <c r="V35" s="105">
        <v>0</v>
      </c>
      <c r="W35" s="88">
        <f>V$10*'Mkt share'!$F$24</f>
        <v>0</v>
      </c>
      <c r="Z35" s="87" t="s">
        <v>178</v>
      </c>
      <c r="AA35" s="103"/>
      <c r="AB35" s="103"/>
      <c r="AC35" s="103"/>
      <c r="AD35" s="105">
        <v>0</v>
      </c>
      <c r="AE35" s="88">
        <f>AD$10*'Mkt share'!$F$25</f>
        <v>0</v>
      </c>
      <c r="AH35" s="87" t="s">
        <v>178</v>
      </c>
      <c r="AI35" s="103"/>
      <c r="AJ35" s="103"/>
      <c r="AK35" s="103"/>
      <c r="AL35" s="105">
        <v>0</v>
      </c>
      <c r="AM35" s="88">
        <f>AL$10*'Mkt share'!$F$26</f>
        <v>0</v>
      </c>
      <c r="AP35" s="87" t="s">
        <v>178</v>
      </c>
      <c r="AQ35" s="103"/>
      <c r="AR35" s="103"/>
      <c r="AS35" s="103"/>
      <c r="AT35" s="105">
        <v>0</v>
      </c>
      <c r="AU35" s="88">
        <f>AT$10*'Mkt share'!$F$27</f>
        <v>0</v>
      </c>
      <c r="AX35" s="87" t="s">
        <v>178</v>
      </c>
      <c r="AY35" s="103"/>
      <c r="AZ35" s="103"/>
      <c r="BA35" s="103"/>
      <c r="BB35" s="105">
        <v>0</v>
      </c>
      <c r="BC35" s="88">
        <f>BB$10*'Mkt share'!$F$28</f>
        <v>0</v>
      </c>
      <c r="BF35" s="87" t="s">
        <v>178</v>
      </c>
      <c r="BG35" s="103"/>
      <c r="BH35" s="103"/>
      <c r="BI35" s="103"/>
      <c r="BJ35" s="105">
        <v>0</v>
      </c>
      <c r="BK35" s="88">
        <f>BJ$10*'Mkt share'!$F$29</f>
        <v>0</v>
      </c>
      <c r="BN35" s="87" t="s">
        <v>178</v>
      </c>
      <c r="BO35" s="103"/>
      <c r="BP35" s="103"/>
      <c r="BQ35" s="103"/>
      <c r="BR35" s="105">
        <v>0</v>
      </c>
      <c r="BS35" s="88">
        <f>BR$10*'Mkt share'!$F$30</f>
        <v>0</v>
      </c>
      <c r="BV35" s="87" t="s">
        <v>178</v>
      </c>
      <c r="BW35" s="103"/>
      <c r="BX35" s="103"/>
      <c r="BY35" s="103"/>
      <c r="BZ35" s="105">
        <v>0</v>
      </c>
      <c r="CA35" s="88">
        <f>BZ$10*'Mkt share'!$F$31</f>
        <v>0</v>
      </c>
      <c r="CD35" s="87" t="s">
        <v>178</v>
      </c>
      <c r="CE35" s="103"/>
      <c r="CF35" s="103"/>
      <c r="CG35" s="103"/>
      <c r="CH35" s="105">
        <v>0</v>
      </c>
      <c r="CI35" s="88">
        <f>CH$10*'Mkt share'!$F$32</f>
        <v>0</v>
      </c>
      <c r="CL35" s="87" t="s">
        <v>178</v>
      </c>
      <c r="CM35" s="103"/>
      <c r="CN35" s="103"/>
      <c r="CO35" s="103"/>
      <c r="CP35" s="105">
        <v>0</v>
      </c>
      <c r="CQ35" s="88">
        <f>CP$10*'Mkt share'!$F$33</f>
        <v>0</v>
      </c>
      <c r="CT35" s="87" t="s">
        <v>178</v>
      </c>
      <c r="CU35" s="103"/>
      <c r="CV35" s="103"/>
      <c r="CW35" s="103"/>
      <c r="CX35" s="105">
        <v>0</v>
      </c>
      <c r="CY35" s="88">
        <f>CX$10*'Mkt share'!$F$34</f>
        <v>0</v>
      </c>
      <c r="DB35" s="87" t="s">
        <v>178</v>
      </c>
      <c r="DC35" s="103"/>
      <c r="DD35" s="103"/>
      <c r="DE35" s="103"/>
      <c r="DF35" s="105">
        <v>0</v>
      </c>
      <c r="DG35" s="88">
        <f>DF$10*'Mkt share'!$F$35</f>
        <v>0</v>
      </c>
    </row>
    <row r="36" spans="2:111">
      <c r="B36" s="87" t="s">
        <v>174</v>
      </c>
      <c r="C36" s="103"/>
      <c r="D36" s="103"/>
      <c r="E36" s="103"/>
      <c r="F36" s="103"/>
      <c r="G36" s="88">
        <f>G$7*'Mkt share'!$G$22</f>
        <v>0</v>
      </c>
      <c r="J36" s="87" t="s">
        <v>174</v>
      </c>
      <c r="K36" s="103"/>
      <c r="L36" s="103"/>
      <c r="M36" s="103"/>
      <c r="N36" s="103"/>
      <c r="O36" s="88">
        <f>O$7*'Mkt share'!$G$23</f>
        <v>0</v>
      </c>
      <c r="R36" s="87" t="s">
        <v>174</v>
      </c>
      <c r="S36" s="103"/>
      <c r="T36" s="103"/>
      <c r="U36" s="103"/>
      <c r="V36" s="103"/>
      <c r="W36" s="88">
        <f>W$7*'Mkt share'!$G$24</f>
        <v>0</v>
      </c>
      <c r="Z36" s="87" t="s">
        <v>174</v>
      </c>
      <c r="AA36" s="103"/>
      <c r="AB36" s="103"/>
      <c r="AC36" s="103"/>
      <c r="AD36" s="103"/>
      <c r="AE36" s="88">
        <f>AE$7*'Mkt share'!$G$25</f>
        <v>0</v>
      </c>
      <c r="AH36" s="87" t="s">
        <v>174</v>
      </c>
      <c r="AI36" s="103"/>
      <c r="AJ36" s="103"/>
      <c r="AK36" s="103"/>
      <c r="AL36" s="103"/>
      <c r="AM36" s="88">
        <f>AM$7*'Mkt share'!$G$26</f>
        <v>305462.50005901721</v>
      </c>
      <c r="AP36" s="87" t="s">
        <v>174</v>
      </c>
      <c r="AQ36" s="103"/>
      <c r="AR36" s="103"/>
      <c r="AS36" s="103"/>
      <c r="AT36" s="103"/>
      <c r="AU36" s="88">
        <f>AU$7*'Mkt share'!$G$27</f>
        <v>0</v>
      </c>
      <c r="AX36" s="87" t="s">
        <v>174</v>
      </c>
      <c r="AY36" s="103"/>
      <c r="AZ36" s="103"/>
      <c r="BA36" s="103"/>
      <c r="BB36" s="103"/>
      <c r="BC36" s="88">
        <f>BC$7*'Mkt share'!$G$28</f>
        <v>0</v>
      </c>
      <c r="BF36" s="87" t="s">
        <v>174</v>
      </c>
      <c r="BG36" s="103"/>
      <c r="BH36" s="103"/>
      <c r="BI36" s="103"/>
      <c r="BJ36" s="103"/>
      <c r="BK36" s="88">
        <f>BK$7*'Mkt share'!$G$29</f>
        <v>0</v>
      </c>
      <c r="BN36" s="87" t="s">
        <v>174</v>
      </c>
      <c r="BO36" s="103"/>
      <c r="BP36" s="103"/>
      <c r="BQ36" s="103"/>
      <c r="BR36" s="103"/>
      <c r="BS36" s="88">
        <f>BS$7*'Mkt share'!$G$30</f>
        <v>0</v>
      </c>
      <c r="BV36" s="87" t="s">
        <v>174</v>
      </c>
      <c r="BW36" s="103"/>
      <c r="BX36" s="103"/>
      <c r="BY36" s="103"/>
      <c r="BZ36" s="103"/>
      <c r="CA36" s="88">
        <f>CA$7*'Mkt share'!$G$31</f>
        <v>0</v>
      </c>
      <c r="CD36" s="87" t="s">
        <v>174</v>
      </c>
      <c r="CE36" s="103"/>
      <c r="CF36" s="103"/>
      <c r="CG36" s="103"/>
      <c r="CH36" s="103"/>
      <c r="CI36" s="88">
        <f>CI$7*'Mkt share'!$G$32</f>
        <v>0</v>
      </c>
      <c r="CL36" s="87" t="s">
        <v>174</v>
      </c>
      <c r="CM36" s="103"/>
      <c r="CN36" s="103"/>
      <c r="CO36" s="103"/>
      <c r="CP36" s="103"/>
      <c r="CQ36" s="88">
        <f>CQ$7*'Mkt share'!$G$33</f>
        <v>0</v>
      </c>
      <c r="CT36" s="87" t="s">
        <v>174</v>
      </c>
      <c r="CU36" s="103"/>
      <c r="CV36" s="103"/>
      <c r="CW36" s="103"/>
      <c r="CX36" s="103"/>
      <c r="CY36" s="88">
        <f>CY$7*'Mkt share'!$G$34</f>
        <v>0</v>
      </c>
      <c r="DB36" s="87" t="s">
        <v>174</v>
      </c>
      <c r="DC36" s="103"/>
      <c r="DD36" s="103"/>
      <c r="DE36" s="103"/>
      <c r="DF36" s="103"/>
      <c r="DG36" s="88">
        <f>DG$7*'Mkt share'!$G$35</f>
        <v>0</v>
      </c>
    </row>
    <row r="37" spans="2:111" ht="15" thickBot="1">
      <c r="B37" s="87" t="s">
        <v>179</v>
      </c>
      <c r="C37" s="103"/>
      <c r="D37" s="103"/>
      <c r="E37" s="103"/>
      <c r="F37" s="103"/>
      <c r="G37" s="106">
        <v>0</v>
      </c>
      <c r="J37" s="87" t="s">
        <v>179</v>
      </c>
      <c r="K37" s="103"/>
      <c r="L37" s="103"/>
      <c r="M37" s="103"/>
      <c r="N37" s="103"/>
      <c r="O37" s="106">
        <v>0</v>
      </c>
      <c r="R37" s="87" t="s">
        <v>179</v>
      </c>
      <c r="S37" s="103"/>
      <c r="T37" s="103"/>
      <c r="U37" s="103"/>
      <c r="V37" s="103"/>
      <c r="W37" s="106">
        <v>0</v>
      </c>
      <c r="Z37" s="87" t="s">
        <v>179</v>
      </c>
      <c r="AA37" s="103"/>
      <c r="AB37" s="103"/>
      <c r="AC37" s="103"/>
      <c r="AD37" s="103"/>
      <c r="AE37" s="106">
        <v>0</v>
      </c>
      <c r="AH37" s="87" t="s">
        <v>179</v>
      </c>
      <c r="AI37" s="103"/>
      <c r="AJ37" s="103"/>
      <c r="AK37" s="103"/>
      <c r="AL37" s="103"/>
      <c r="AM37" s="106">
        <v>0</v>
      </c>
      <c r="AP37" s="87" t="s">
        <v>179</v>
      </c>
      <c r="AQ37" s="103"/>
      <c r="AR37" s="103"/>
      <c r="AS37" s="103"/>
      <c r="AT37" s="103"/>
      <c r="AU37" s="106">
        <v>0</v>
      </c>
      <c r="AX37" s="87" t="s">
        <v>179</v>
      </c>
      <c r="AY37" s="103"/>
      <c r="AZ37" s="103"/>
      <c r="BA37" s="103"/>
      <c r="BB37" s="103"/>
      <c r="BC37" s="106">
        <v>0</v>
      </c>
      <c r="BF37" s="87" t="s">
        <v>179</v>
      </c>
      <c r="BG37" s="103"/>
      <c r="BH37" s="103"/>
      <c r="BI37" s="103"/>
      <c r="BJ37" s="103"/>
      <c r="BK37" s="106">
        <v>0</v>
      </c>
      <c r="BN37" s="87" t="s">
        <v>179</v>
      </c>
      <c r="BO37" s="103"/>
      <c r="BP37" s="103"/>
      <c r="BQ37" s="103"/>
      <c r="BR37" s="103"/>
      <c r="BS37" s="106">
        <v>0</v>
      </c>
      <c r="BV37" s="87" t="s">
        <v>179</v>
      </c>
      <c r="BW37" s="103"/>
      <c r="BX37" s="103"/>
      <c r="BY37" s="103"/>
      <c r="BZ37" s="103"/>
      <c r="CA37" s="106">
        <v>0</v>
      </c>
      <c r="CD37" s="87" t="s">
        <v>179</v>
      </c>
      <c r="CE37" s="103"/>
      <c r="CF37" s="103"/>
      <c r="CG37" s="103"/>
      <c r="CH37" s="103"/>
      <c r="CI37" s="106">
        <v>0</v>
      </c>
      <c r="CL37" s="87" t="s">
        <v>179</v>
      </c>
      <c r="CM37" s="103"/>
      <c r="CN37" s="103"/>
      <c r="CO37" s="103"/>
      <c r="CP37" s="103"/>
      <c r="CQ37" s="106">
        <v>0</v>
      </c>
      <c r="CT37" s="87" t="s">
        <v>179</v>
      </c>
      <c r="CU37" s="103"/>
      <c r="CV37" s="103"/>
      <c r="CW37" s="103"/>
      <c r="CX37" s="103"/>
      <c r="CY37" s="106">
        <v>0</v>
      </c>
      <c r="DB37" s="87" t="s">
        <v>179</v>
      </c>
      <c r="DC37" s="103"/>
      <c r="DD37" s="103"/>
      <c r="DE37" s="103"/>
      <c r="DF37" s="103"/>
      <c r="DG37" s="106">
        <v>0</v>
      </c>
    </row>
    <row r="38" spans="2:111" ht="15" thickBot="1">
      <c r="B38" s="89" t="s">
        <v>114</v>
      </c>
      <c r="C38" s="90">
        <f>SUM(C28:C37)</f>
        <v>0</v>
      </c>
      <c r="D38" s="90">
        <f>SUM(D28:D36)</f>
        <v>0</v>
      </c>
      <c r="E38" s="90">
        <f>SUM(E28:E36)</f>
        <v>0</v>
      </c>
      <c r="F38" s="90">
        <f>SUM(F28:F36)</f>
        <v>0</v>
      </c>
      <c r="G38" s="91">
        <f>SUM(G28:G37)</f>
        <v>0</v>
      </c>
      <c r="J38" s="89" t="s">
        <v>114</v>
      </c>
      <c r="K38" s="90">
        <f>SUM(K28:K37)</f>
        <v>0</v>
      </c>
      <c r="L38" s="90">
        <f>SUM(L28:L36)</f>
        <v>0</v>
      </c>
      <c r="M38" s="90">
        <f>SUM(M28:M36)</f>
        <v>0</v>
      </c>
      <c r="N38" s="90">
        <f>SUM(N28:N36)</f>
        <v>0</v>
      </c>
      <c r="O38" s="91">
        <f>SUM(O28:O37)</f>
        <v>0</v>
      </c>
      <c r="R38" s="89" t="s">
        <v>114</v>
      </c>
      <c r="S38" s="90">
        <f>SUM(S28:S37)</f>
        <v>0</v>
      </c>
      <c r="T38" s="90">
        <f>SUM(T28:T36)</f>
        <v>0</v>
      </c>
      <c r="U38" s="90">
        <f>SUM(U28:U36)</f>
        <v>0</v>
      </c>
      <c r="V38" s="90">
        <f>SUM(V28:V36)</f>
        <v>0</v>
      </c>
      <c r="W38" s="91">
        <f>SUM(W28:W37)</f>
        <v>0</v>
      </c>
      <c r="Z38" s="89" t="s">
        <v>114</v>
      </c>
      <c r="AA38" s="90">
        <f>SUM(AA28:AA37)</f>
        <v>0</v>
      </c>
      <c r="AB38" s="90">
        <f>SUM(AB28:AB36)</f>
        <v>0</v>
      </c>
      <c r="AC38" s="90">
        <f>SUM(AC28:AC36)</f>
        <v>0</v>
      </c>
      <c r="AD38" s="90">
        <f>SUM(AD28:AD36)</f>
        <v>0</v>
      </c>
      <c r="AE38" s="91">
        <f>SUM(AE28:AE37)</f>
        <v>0</v>
      </c>
      <c r="AH38" s="89" t="s">
        <v>114</v>
      </c>
      <c r="AI38" s="90">
        <f>SUM(AI28:AI37)</f>
        <v>311080.53998220514</v>
      </c>
      <c r="AJ38" s="90">
        <f>SUM(AJ28:AJ36)</f>
        <v>621040.04470187542</v>
      </c>
      <c r="AK38" s="90">
        <f>SUM(AK28:AK36)</f>
        <v>929787.20474556927</v>
      </c>
      <c r="AL38" s="90">
        <f>SUM(AL28:AL36)</f>
        <v>1237079.8978289391</v>
      </c>
      <c r="AM38" s="91">
        <f>SUM(AM28:AM37)</f>
        <v>1542542.3978879564</v>
      </c>
      <c r="AP38" s="89" t="s">
        <v>114</v>
      </c>
      <c r="AQ38" s="90">
        <f>SUM(AQ28:AQ37)</f>
        <v>0</v>
      </c>
      <c r="AR38" s="90">
        <f>SUM(AR28:AR36)</f>
        <v>0</v>
      </c>
      <c r="AS38" s="90">
        <f>SUM(AS28:AS36)</f>
        <v>0</v>
      </c>
      <c r="AT38" s="90">
        <f>SUM(AT28:AT36)</f>
        <v>0</v>
      </c>
      <c r="AU38" s="91">
        <f>SUM(AU28:AU37)</f>
        <v>0</v>
      </c>
      <c r="AX38" s="89" t="s">
        <v>114</v>
      </c>
      <c r="AY38" s="90">
        <f>SUM(AY28:AY37)</f>
        <v>0</v>
      </c>
      <c r="AZ38" s="90">
        <f>SUM(AZ28:AZ36)</f>
        <v>0</v>
      </c>
      <c r="BA38" s="90">
        <f>SUM(BA28:BA36)</f>
        <v>0</v>
      </c>
      <c r="BB38" s="90">
        <f>SUM(BB28:BB36)</f>
        <v>0</v>
      </c>
      <c r="BC38" s="91">
        <f>SUM(BC28:BC37)</f>
        <v>0</v>
      </c>
      <c r="BF38" s="89" t="s">
        <v>114</v>
      </c>
      <c r="BG38" s="90">
        <f>SUM(BG28:BG37)</f>
        <v>0</v>
      </c>
      <c r="BH38" s="90">
        <f>SUM(BH28:BH36)</f>
        <v>0</v>
      </c>
      <c r="BI38" s="90">
        <f>SUM(BI28:BI36)</f>
        <v>0</v>
      </c>
      <c r="BJ38" s="90">
        <f>SUM(BJ28:BJ36)</f>
        <v>0</v>
      </c>
      <c r="BK38" s="91">
        <f>SUM(BK28:BK37)</f>
        <v>0</v>
      </c>
      <c r="BN38" s="89" t="s">
        <v>114</v>
      </c>
      <c r="BO38" s="90">
        <f>SUM(BO28:BO37)</f>
        <v>0</v>
      </c>
      <c r="BP38" s="90">
        <f>SUM(BP28:BP36)</f>
        <v>0</v>
      </c>
      <c r="BQ38" s="90">
        <f>SUM(BQ28:BQ36)</f>
        <v>0</v>
      </c>
      <c r="BR38" s="90">
        <f>SUM(BR28:BR36)</f>
        <v>0</v>
      </c>
      <c r="BS38" s="91">
        <f>SUM(BS28:BS37)</f>
        <v>0</v>
      </c>
      <c r="BV38" s="89" t="s">
        <v>114</v>
      </c>
      <c r="BW38" s="90">
        <f>SUM(BW28:BW37)</f>
        <v>0</v>
      </c>
      <c r="BX38" s="90">
        <f>SUM(BX28:BX36)</f>
        <v>0</v>
      </c>
      <c r="BY38" s="90">
        <f>SUM(BY28:BY36)</f>
        <v>0</v>
      </c>
      <c r="BZ38" s="90">
        <f>SUM(BZ28:BZ36)</f>
        <v>0</v>
      </c>
      <c r="CA38" s="91">
        <f>SUM(CA28:CA37)</f>
        <v>0</v>
      </c>
      <c r="CD38" s="89" t="s">
        <v>114</v>
      </c>
      <c r="CE38" s="90">
        <f>SUM(CE28:CE37)</f>
        <v>0</v>
      </c>
      <c r="CF38" s="90">
        <f>SUM(CF28:CF36)</f>
        <v>0</v>
      </c>
      <c r="CG38" s="90">
        <f>SUM(CG28:CG36)</f>
        <v>0</v>
      </c>
      <c r="CH38" s="90">
        <f>SUM(CH28:CH36)</f>
        <v>0</v>
      </c>
      <c r="CI38" s="91">
        <f>SUM(CI28:CI37)</f>
        <v>0</v>
      </c>
      <c r="CL38" s="89" t="s">
        <v>114</v>
      </c>
      <c r="CM38" s="90">
        <f>SUM(CM28:CM37)</f>
        <v>0</v>
      </c>
      <c r="CN38" s="90">
        <f>SUM(CN28:CN36)</f>
        <v>0</v>
      </c>
      <c r="CO38" s="90">
        <f>SUM(CO28:CO36)</f>
        <v>0</v>
      </c>
      <c r="CP38" s="90">
        <f>SUM(CP28:CP36)</f>
        <v>0</v>
      </c>
      <c r="CQ38" s="91">
        <f>SUM(CQ28:CQ37)</f>
        <v>0</v>
      </c>
      <c r="CT38" s="89" t="s">
        <v>114</v>
      </c>
      <c r="CU38" s="90">
        <f>SUM(CU28:CU37)</f>
        <v>0</v>
      </c>
      <c r="CV38" s="90">
        <f>SUM(CV28:CV36)</f>
        <v>0</v>
      </c>
      <c r="CW38" s="90">
        <f>SUM(CW28:CW36)</f>
        <v>0</v>
      </c>
      <c r="CX38" s="90">
        <f>SUM(CX28:CX36)</f>
        <v>0</v>
      </c>
      <c r="CY38" s="91">
        <f>SUM(CY28:CY37)</f>
        <v>0</v>
      </c>
      <c r="DB38" s="89" t="s">
        <v>114</v>
      </c>
      <c r="DC38" s="90">
        <f>SUM(DC28:DC37)</f>
        <v>0</v>
      </c>
      <c r="DD38" s="90">
        <f>SUM(DD28:DD36)</f>
        <v>0</v>
      </c>
      <c r="DE38" s="90">
        <f>SUM(DE28:DE36)</f>
        <v>0</v>
      </c>
      <c r="DF38" s="90">
        <f>SUM(DF28:DF36)</f>
        <v>0</v>
      </c>
      <c r="DG38" s="91">
        <f>SUM(DG28:DG37)</f>
        <v>0</v>
      </c>
    </row>
    <row r="39" spans="2:111">
      <c r="B39" s="80" t="s">
        <v>206</v>
      </c>
      <c r="C39" s="92">
        <f>C28+C30+C32+C34+C36</f>
        <v>0</v>
      </c>
      <c r="D39" s="92">
        <f t="shared" ref="D39:G39" si="40">D28+D30+D32+D34+D36</f>
        <v>0</v>
      </c>
      <c r="E39" s="92">
        <f t="shared" si="40"/>
        <v>0</v>
      </c>
      <c r="F39" s="92">
        <f t="shared" si="40"/>
        <v>0</v>
      </c>
      <c r="G39" s="92">
        <f t="shared" si="40"/>
        <v>0</v>
      </c>
      <c r="J39" s="80" t="s">
        <v>206</v>
      </c>
      <c r="K39" s="92">
        <f>K28+K30+K32+K34+K36</f>
        <v>0</v>
      </c>
      <c r="L39" s="92">
        <f t="shared" ref="L39:O39" si="41">L28+L30+L32+L34+L36</f>
        <v>0</v>
      </c>
      <c r="M39" s="92">
        <f t="shared" si="41"/>
        <v>0</v>
      </c>
      <c r="N39" s="92">
        <f t="shared" si="41"/>
        <v>0</v>
      </c>
      <c r="O39" s="92">
        <f t="shared" si="41"/>
        <v>0</v>
      </c>
      <c r="R39" s="80" t="s">
        <v>206</v>
      </c>
      <c r="S39" s="92">
        <f>S28+S30+S32+S34+S36</f>
        <v>0</v>
      </c>
      <c r="T39" s="92">
        <f t="shared" ref="T39:W39" si="42">T28+T30+T32+T34+T36</f>
        <v>0</v>
      </c>
      <c r="U39" s="92">
        <f t="shared" si="42"/>
        <v>0</v>
      </c>
      <c r="V39" s="92">
        <f t="shared" si="42"/>
        <v>0</v>
      </c>
      <c r="W39" s="92">
        <f t="shared" si="42"/>
        <v>0</v>
      </c>
      <c r="Z39" s="80" t="s">
        <v>206</v>
      </c>
      <c r="AA39" s="92">
        <f>AA28+AA30+AA32+AA34+AA36</f>
        <v>0</v>
      </c>
      <c r="AB39" s="92">
        <f t="shared" ref="AB39:AE39" si="43">AB28+AB30+AB32+AB34+AB36</f>
        <v>0</v>
      </c>
      <c r="AC39" s="92">
        <f t="shared" si="43"/>
        <v>0</v>
      </c>
      <c r="AD39" s="92">
        <f t="shared" si="43"/>
        <v>0</v>
      </c>
      <c r="AE39" s="92">
        <f t="shared" si="43"/>
        <v>0</v>
      </c>
      <c r="AH39" s="80" t="s">
        <v>206</v>
      </c>
      <c r="AI39" s="92">
        <f>AI28+AI30+AI32+AI34+AI36</f>
        <v>311080.53998220514</v>
      </c>
      <c r="AJ39" s="92">
        <f t="shared" ref="AJ39:AM39" si="44">AJ28+AJ30+AJ32+AJ34+AJ36</f>
        <v>621040.04470187542</v>
      </c>
      <c r="AK39" s="92">
        <f t="shared" si="44"/>
        <v>929787.20474556927</v>
      </c>
      <c r="AL39" s="92">
        <f t="shared" si="44"/>
        <v>1237079.8978289391</v>
      </c>
      <c r="AM39" s="92">
        <f t="shared" si="44"/>
        <v>1542542.3978879564</v>
      </c>
      <c r="AP39" s="80" t="s">
        <v>206</v>
      </c>
      <c r="AQ39" s="92">
        <f>AQ28+AQ30+AQ32+AQ34+AQ36</f>
        <v>0</v>
      </c>
      <c r="AR39" s="92">
        <f t="shared" ref="AR39:AU39" si="45">AR28+AR30+AR32+AR34+AR36</f>
        <v>0</v>
      </c>
      <c r="AS39" s="92">
        <f t="shared" si="45"/>
        <v>0</v>
      </c>
      <c r="AT39" s="92">
        <f t="shared" si="45"/>
        <v>0</v>
      </c>
      <c r="AU39" s="92">
        <f t="shared" si="45"/>
        <v>0</v>
      </c>
      <c r="AX39" s="80" t="s">
        <v>206</v>
      </c>
      <c r="AY39" s="92">
        <f>AY28+AY30+AY32+AY34+AY36</f>
        <v>0</v>
      </c>
      <c r="AZ39" s="92">
        <f t="shared" ref="AZ39:BC39" si="46">AZ28+AZ30+AZ32+AZ34+AZ36</f>
        <v>0</v>
      </c>
      <c r="BA39" s="92">
        <f t="shared" si="46"/>
        <v>0</v>
      </c>
      <c r="BB39" s="92">
        <f t="shared" si="46"/>
        <v>0</v>
      </c>
      <c r="BC39" s="92">
        <f t="shared" si="46"/>
        <v>0</v>
      </c>
      <c r="BF39" s="80" t="s">
        <v>206</v>
      </c>
      <c r="BG39" s="92">
        <f>BG28+BG30+BG32+BG34+BG36</f>
        <v>0</v>
      </c>
      <c r="BH39" s="92">
        <f t="shared" ref="BH39:BK39" si="47">BH28+BH30+BH32+BH34+BH36</f>
        <v>0</v>
      </c>
      <c r="BI39" s="92">
        <f t="shared" si="47"/>
        <v>0</v>
      </c>
      <c r="BJ39" s="92">
        <f t="shared" si="47"/>
        <v>0</v>
      </c>
      <c r="BK39" s="92">
        <f t="shared" si="47"/>
        <v>0</v>
      </c>
      <c r="BN39" s="80" t="s">
        <v>206</v>
      </c>
      <c r="BO39" s="92">
        <f>BO28+BO30+BO32+BO34+BO36</f>
        <v>0</v>
      </c>
      <c r="BP39" s="92">
        <f t="shared" ref="BP39:BS39" si="48">BP28+BP30+BP32+BP34+BP36</f>
        <v>0</v>
      </c>
      <c r="BQ39" s="92">
        <f t="shared" si="48"/>
        <v>0</v>
      </c>
      <c r="BR39" s="92">
        <f t="shared" si="48"/>
        <v>0</v>
      </c>
      <c r="BS39" s="92">
        <f t="shared" si="48"/>
        <v>0</v>
      </c>
      <c r="BV39" s="80" t="s">
        <v>206</v>
      </c>
      <c r="BW39" s="92">
        <f>BW28+BW30+BW32+BW34+BW36</f>
        <v>0</v>
      </c>
      <c r="BX39" s="92">
        <f t="shared" ref="BX39:CA39" si="49">BX28+BX30+BX32+BX34+BX36</f>
        <v>0</v>
      </c>
      <c r="BY39" s="92">
        <f t="shared" si="49"/>
        <v>0</v>
      </c>
      <c r="BZ39" s="92">
        <f t="shared" si="49"/>
        <v>0</v>
      </c>
      <c r="CA39" s="92">
        <f t="shared" si="49"/>
        <v>0</v>
      </c>
      <c r="CD39" s="80" t="s">
        <v>206</v>
      </c>
      <c r="CE39" s="92">
        <f>CE28+CE30+CE32+CE34+CE36</f>
        <v>0</v>
      </c>
      <c r="CF39" s="92">
        <f t="shared" ref="CF39:CI39" si="50">CF28+CF30+CF32+CF34+CF36</f>
        <v>0</v>
      </c>
      <c r="CG39" s="92">
        <f t="shared" si="50"/>
        <v>0</v>
      </c>
      <c r="CH39" s="92">
        <f t="shared" si="50"/>
        <v>0</v>
      </c>
      <c r="CI39" s="92">
        <f t="shared" si="50"/>
        <v>0</v>
      </c>
      <c r="CL39" s="80" t="s">
        <v>206</v>
      </c>
      <c r="CM39" s="92">
        <f>CM28+CM30+CM32+CM34+CM36</f>
        <v>0</v>
      </c>
      <c r="CN39" s="92">
        <f t="shared" ref="CN39:CQ39" si="51">CN28+CN30+CN32+CN34+CN36</f>
        <v>0</v>
      </c>
      <c r="CO39" s="92">
        <f t="shared" si="51"/>
        <v>0</v>
      </c>
      <c r="CP39" s="92">
        <f t="shared" si="51"/>
        <v>0</v>
      </c>
      <c r="CQ39" s="92">
        <f t="shared" si="51"/>
        <v>0</v>
      </c>
      <c r="CT39" s="80" t="s">
        <v>206</v>
      </c>
      <c r="CU39" s="92">
        <f>CU28+CU30+CU32+CU34+CU36</f>
        <v>0</v>
      </c>
      <c r="CV39" s="92">
        <f t="shared" ref="CV39:CY39" si="52">CV28+CV30+CV32+CV34+CV36</f>
        <v>0</v>
      </c>
      <c r="CW39" s="92">
        <f t="shared" si="52"/>
        <v>0</v>
      </c>
      <c r="CX39" s="92">
        <f t="shared" si="52"/>
        <v>0</v>
      </c>
      <c r="CY39" s="92">
        <f t="shared" si="52"/>
        <v>0</v>
      </c>
      <c r="DB39" s="80" t="s">
        <v>206</v>
      </c>
      <c r="DC39" s="92">
        <f>DC28+DC30+DC32+DC34+DC36</f>
        <v>0</v>
      </c>
      <c r="DD39" s="92">
        <f t="shared" ref="DD39:DG39" si="53">DD28+DD30+DD32+DD34+DD36</f>
        <v>0</v>
      </c>
      <c r="DE39" s="92">
        <f t="shared" si="53"/>
        <v>0</v>
      </c>
      <c r="DF39" s="92">
        <f t="shared" si="53"/>
        <v>0</v>
      </c>
      <c r="DG39" s="92">
        <f t="shared" si="53"/>
        <v>0</v>
      </c>
    </row>
    <row r="40" spans="2:111" ht="15" thickBot="1">
      <c r="B40" s="80" t="s">
        <v>208</v>
      </c>
      <c r="C40" s="92">
        <f>C29+C31+C33+C35+C37</f>
        <v>0</v>
      </c>
      <c r="D40" s="92">
        <f t="shared" ref="D40:G40" si="54">D29+D31+D33+D35+D37</f>
        <v>0</v>
      </c>
      <c r="E40" s="92">
        <f t="shared" si="54"/>
        <v>0</v>
      </c>
      <c r="F40" s="92">
        <f t="shared" si="54"/>
        <v>0</v>
      </c>
      <c r="G40" s="92">
        <f t="shared" si="54"/>
        <v>0</v>
      </c>
      <c r="J40" s="80" t="s">
        <v>208</v>
      </c>
      <c r="K40" s="92">
        <f>K29+K31+K33+K35+K37</f>
        <v>0</v>
      </c>
      <c r="L40" s="92">
        <f t="shared" ref="L40:O40" si="55">L29+L31+L33+L35+L37</f>
        <v>0</v>
      </c>
      <c r="M40" s="92">
        <f t="shared" si="55"/>
        <v>0</v>
      </c>
      <c r="N40" s="92">
        <f t="shared" si="55"/>
        <v>0</v>
      </c>
      <c r="O40" s="92">
        <f t="shared" si="55"/>
        <v>0</v>
      </c>
      <c r="R40" s="80" t="s">
        <v>208</v>
      </c>
      <c r="S40" s="92">
        <f>S29+S31+S33+S35+S37</f>
        <v>0</v>
      </c>
      <c r="T40" s="92">
        <f t="shared" ref="T40:W40" si="56">T29+T31+T33+T35+T37</f>
        <v>0</v>
      </c>
      <c r="U40" s="92">
        <f t="shared" si="56"/>
        <v>0</v>
      </c>
      <c r="V40" s="92">
        <f t="shared" si="56"/>
        <v>0</v>
      </c>
      <c r="W40" s="92">
        <f t="shared" si="56"/>
        <v>0</v>
      </c>
      <c r="Z40" s="80" t="s">
        <v>208</v>
      </c>
      <c r="AA40" s="92">
        <f>AA29+AA31+AA33+AA35+AA37</f>
        <v>0</v>
      </c>
      <c r="AB40" s="92">
        <f t="shared" ref="AB40:AE40" si="57">AB29+AB31+AB33+AB35+AB37</f>
        <v>0</v>
      </c>
      <c r="AC40" s="92">
        <f t="shared" si="57"/>
        <v>0</v>
      </c>
      <c r="AD40" s="92">
        <f t="shared" si="57"/>
        <v>0</v>
      </c>
      <c r="AE40" s="92">
        <f t="shared" si="57"/>
        <v>0</v>
      </c>
      <c r="AH40" s="80" t="s">
        <v>208</v>
      </c>
      <c r="AI40" s="92">
        <f>AI29+AI31+AI33+AI35+AI37</f>
        <v>0</v>
      </c>
      <c r="AJ40" s="92">
        <f t="shared" ref="AJ40:AM40" si="58">AJ29+AJ31+AJ33+AJ35+AJ37</f>
        <v>0</v>
      </c>
      <c r="AK40" s="92">
        <f t="shared" si="58"/>
        <v>0</v>
      </c>
      <c r="AL40" s="92">
        <f t="shared" si="58"/>
        <v>0</v>
      </c>
      <c r="AM40" s="92">
        <f t="shared" si="58"/>
        <v>0</v>
      </c>
      <c r="AP40" s="80" t="s">
        <v>208</v>
      </c>
      <c r="AQ40" s="92">
        <f>AQ29+AQ31+AQ33+AQ35+AQ37</f>
        <v>0</v>
      </c>
      <c r="AR40" s="92">
        <f t="shared" ref="AR40:AU40" si="59">AR29+AR31+AR33+AR35+AR37</f>
        <v>0</v>
      </c>
      <c r="AS40" s="92">
        <f t="shared" si="59"/>
        <v>0</v>
      </c>
      <c r="AT40" s="92">
        <f t="shared" si="59"/>
        <v>0</v>
      </c>
      <c r="AU40" s="92">
        <f t="shared" si="59"/>
        <v>0</v>
      </c>
      <c r="AX40" s="80" t="s">
        <v>208</v>
      </c>
      <c r="AY40" s="92">
        <f>AY29+AY31+AY33+AY35+AY37</f>
        <v>0</v>
      </c>
      <c r="AZ40" s="92">
        <f t="shared" ref="AZ40:BC40" si="60">AZ29+AZ31+AZ33+AZ35+AZ37</f>
        <v>0</v>
      </c>
      <c r="BA40" s="92">
        <f t="shared" si="60"/>
        <v>0</v>
      </c>
      <c r="BB40" s="92">
        <f t="shared" si="60"/>
        <v>0</v>
      </c>
      <c r="BC40" s="92">
        <f t="shared" si="60"/>
        <v>0</v>
      </c>
      <c r="BF40" s="80" t="s">
        <v>208</v>
      </c>
      <c r="BG40" s="92">
        <f>BG29+BG31+BG33+BG35+BG37</f>
        <v>0</v>
      </c>
      <c r="BH40" s="92">
        <f t="shared" ref="BH40:BK40" si="61">BH29+BH31+BH33+BH35+BH37</f>
        <v>0</v>
      </c>
      <c r="BI40" s="92">
        <f t="shared" si="61"/>
        <v>0</v>
      </c>
      <c r="BJ40" s="92">
        <f t="shared" si="61"/>
        <v>0</v>
      </c>
      <c r="BK40" s="92">
        <f t="shared" si="61"/>
        <v>0</v>
      </c>
      <c r="BN40" s="80" t="s">
        <v>208</v>
      </c>
      <c r="BO40" s="92">
        <f>BO29+BO31+BO33+BO35+BO37</f>
        <v>0</v>
      </c>
      <c r="BP40" s="92">
        <f t="shared" ref="BP40:BS40" si="62">BP29+BP31+BP33+BP35+BP37</f>
        <v>0</v>
      </c>
      <c r="BQ40" s="92">
        <f t="shared" si="62"/>
        <v>0</v>
      </c>
      <c r="BR40" s="92">
        <f t="shared" si="62"/>
        <v>0</v>
      </c>
      <c r="BS40" s="92">
        <f t="shared" si="62"/>
        <v>0</v>
      </c>
      <c r="BV40" s="80" t="s">
        <v>208</v>
      </c>
      <c r="BW40" s="92">
        <f>BW29+BW31+BW33+BW35+BW37</f>
        <v>0</v>
      </c>
      <c r="BX40" s="92">
        <f t="shared" ref="BX40:CA40" si="63">BX29+BX31+BX33+BX35+BX37</f>
        <v>0</v>
      </c>
      <c r="BY40" s="92">
        <f t="shared" si="63"/>
        <v>0</v>
      </c>
      <c r="BZ40" s="92">
        <f t="shared" si="63"/>
        <v>0</v>
      </c>
      <c r="CA40" s="92">
        <f t="shared" si="63"/>
        <v>0</v>
      </c>
      <c r="CD40" s="80" t="s">
        <v>208</v>
      </c>
      <c r="CE40" s="92">
        <f>CE29+CE31+CE33+CE35+CE37</f>
        <v>0</v>
      </c>
      <c r="CF40" s="92">
        <f t="shared" ref="CF40:CI40" si="64">CF29+CF31+CF33+CF35+CF37</f>
        <v>0</v>
      </c>
      <c r="CG40" s="92">
        <f t="shared" si="64"/>
        <v>0</v>
      </c>
      <c r="CH40" s="92">
        <f t="shared" si="64"/>
        <v>0</v>
      </c>
      <c r="CI40" s="92">
        <f t="shared" si="64"/>
        <v>0</v>
      </c>
      <c r="CL40" s="80" t="s">
        <v>208</v>
      </c>
      <c r="CM40" s="92">
        <f>CM29+CM31+CM33+CM35+CM37</f>
        <v>0</v>
      </c>
      <c r="CN40" s="92">
        <f t="shared" ref="CN40:CQ40" si="65">CN29+CN31+CN33+CN35+CN37</f>
        <v>0</v>
      </c>
      <c r="CO40" s="92">
        <f t="shared" si="65"/>
        <v>0</v>
      </c>
      <c r="CP40" s="92">
        <f t="shared" si="65"/>
        <v>0</v>
      </c>
      <c r="CQ40" s="92">
        <f t="shared" si="65"/>
        <v>0</v>
      </c>
      <c r="CT40" s="80" t="s">
        <v>208</v>
      </c>
      <c r="CU40" s="92">
        <f>CU29+CU31+CU33+CU35+CU37</f>
        <v>0</v>
      </c>
      <c r="CV40" s="92">
        <f t="shared" ref="CV40:CY40" si="66">CV29+CV31+CV33+CV35+CV37</f>
        <v>0</v>
      </c>
      <c r="CW40" s="92">
        <f t="shared" si="66"/>
        <v>0</v>
      </c>
      <c r="CX40" s="92">
        <f t="shared" si="66"/>
        <v>0</v>
      </c>
      <c r="CY40" s="92">
        <f t="shared" si="66"/>
        <v>0</v>
      </c>
      <c r="DB40" s="80" t="s">
        <v>208</v>
      </c>
      <c r="DC40" s="92">
        <f>DC29+DC31+DC33+DC35+DC37</f>
        <v>0</v>
      </c>
      <c r="DD40" s="92">
        <f t="shared" ref="DD40:DG40" si="67">DD29+DD31+DD33+DD35+DD37</f>
        <v>0</v>
      </c>
      <c r="DE40" s="92">
        <f t="shared" si="67"/>
        <v>0</v>
      </c>
      <c r="DF40" s="92">
        <f t="shared" si="67"/>
        <v>0</v>
      </c>
      <c r="DG40" s="92">
        <f t="shared" si="67"/>
        <v>0</v>
      </c>
    </row>
    <row r="41" spans="2:111" ht="15" thickBot="1">
      <c r="B41" s="507" t="str">
        <f>cen_prop1</f>
        <v>With IUD-LNG 5-25%</v>
      </c>
      <c r="C41" s="508"/>
      <c r="D41" s="508"/>
      <c r="E41" s="508"/>
      <c r="F41" s="508"/>
      <c r="G41" s="509"/>
      <c r="J41" s="507" t="str">
        <f>cen_prop1</f>
        <v>With IUD-LNG 5-25%</v>
      </c>
      <c r="K41" s="508"/>
      <c r="L41" s="508"/>
      <c r="M41" s="508"/>
      <c r="N41" s="508"/>
      <c r="O41" s="509"/>
      <c r="R41" s="507" t="str">
        <f>cen_prop1</f>
        <v>With IUD-LNG 5-25%</v>
      </c>
      <c r="S41" s="508"/>
      <c r="T41" s="508"/>
      <c r="U41" s="508"/>
      <c r="V41" s="508"/>
      <c r="W41" s="509"/>
      <c r="Z41" s="507" t="str">
        <f>cen_prop1</f>
        <v>With IUD-LNG 5-25%</v>
      </c>
      <c r="AA41" s="508"/>
      <c r="AB41" s="508"/>
      <c r="AC41" s="508"/>
      <c r="AD41" s="508"/>
      <c r="AE41" s="509"/>
      <c r="AH41" s="507" t="str">
        <f>cen_prop1</f>
        <v>With IUD-LNG 5-25%</v>
      </c>
      <c r="AI41" s="508"/>
      <c r="AJ41" s="508"/>
      <c r="AK41" s="508"/>
      <c r="AL41" s="508"/>
      <c r="AM41" s="509"/>
      <c r="AP41" s="507" t="str">
        <f>cen_prop1</f>
        <v>With IUD-LNG 5-25%</v>
      </c>
      <c r="AQ41" s="508"/>
      <c r="AR41" s="508"/>
      <c r="AS41" s="508"/>
      <c r="AT41" s="508"/>
      <c r="AU41" s="509"/>
      <c r="AX41" s="507" t="str">
        <f>cen_prop1</f>
        <v>With IUD-LNG 5-25%</v>
      </c>
      <c r="AY41" s="508"/>
      <c r="AZ41" s="508"/>
      <c r="BA41" s="508"/>
      <c r="BB41" s="508"/>
      <c r="BC41" s="509"/>
      <c r="BF41" s="507" t="str">
        <f>cen_prop1</f>
        <v>With IUD-LNG 5-25%</v>
      </c>
      <c r="BG41" s="508"/>
      <c r="BH41" s="508"/>
      <c r="BI41" s="508"/>
      <c r="BJ41" s="508"/>
      <c r="BK41" s="509"/>
      <c r="BN41" s="507" t="str">
        <f>cen_prop1</f>
        <v>With IUD-LNG 5-25%</v>
      </c>
      <c r="BO41" s="508"/>
      <c r="BP41" s="508"/>
      <c r="BQ41" s="508"/>
      <c r="BR41" s="508"/>
      <c r="BS41" s="509"/>
      <c r="BV41" s="507" t="str">
        <f>cen_prop1</f>
        <v>With IUD-LNG 5-25%</v>
      </c>
      <c r="BW41" s="508"/>
      <c r="BX41" s="508"/>
      <c r="BY41" s="508"/>
      <c r="BZ41" s="508"/>
      <c r="CA41" s="509"/>
      <c r="CD41" s="507" t="str">
        <f>cen_prop1</f>
        <v>With IUD-LNG 5-25%</v>
      </c>
      <c r="CE41" s="508"/>
      <c r="CF41" s="508"/>
      <c r="CG41" s="508"/>
      <c r="CH41" s="508"/>
      <c r="CI41" s="509"/>
      <c r="CL41" s="507" t="str">
        <f>cen_prop1</f>
        <v>With IUD-LNG 5-25%</v>
      </c>
      <c r="CM41" s="508"/>
      <c r="CN41" s="508"/>
      <c r="CO41" s="508"/>
      <c r="CP41" s="508"/>
      <c r="CQ41" s="509"/>
      <c r="CT41" s="507" t="str">
        <f>cen_prop1</f>
        <v>With IUD-LNG 5-25%</v>
      </c>
      <c r="CU41" s="508"/>
      <c r="CV41" s="508"/>
      <c r="CW41" s="508"/>
      <c r="CX41" s="508"/>
      <c r="CY41" s="509"/>
      <c r="DB41" s="507" t="str">
        <f>cen_prop1</f>
        <v>With IUD-LNG 5-25%</v>
      </c>
      <c r="DC41" s="508"/>
      <c r="DD41" s="508"/>
      <c r="DE41" s="508"/>
      <c r="DF41" s="508"/>
      <c r="DG41" s="509"/>
    </row>
    <row r="42" spans="2:111">
      <c r="B42" s="84"/>
      <c r="C42" s="101">
        <f>ano_1</f>
        <v>2026</v>
      </c>
      <c r="D42" s="101">
        <f>C42+1</f>
        <v>2027</v>
      </c>
      <c r="E42" s="101">
        <f t="shared" ref="E42:G42" si="68">D42+1</f>
        <v>2028</v>
      </c>
      <c r="F42" s="101">
        <f t="shared" si="68"/>
        <v>2029</v>
      </c>
      <c r="G42" s="102">
        <f t="shared" si="68"/>
        <v>2030</v>
      </c>
      <c r="J42" s="84"/>
      <c r="K42" s="101">
        <f>ano_1</f>
        <v>2026</v>
      </c>
      <c r="L42" s="101">
        <f>K42+1</f>
        <v>2027</v>
      </c>
      <c r="M42" s="101">
        <f t="shared" ref="M42" si="69">L42+1</f>
        <v>2028</v>
      </c>
      <c r="N42" s="101">
        <f t="shared" ref="N42" si="70">M42+1</f>
        <v>2029</v>
      </c>
      <c r="O42" s="102">
        <f t="shared" ref="O42" si="71">N42+1</f>
        <v>2030</v>
      </c>
      <c r="R42" s="84"/>
      <c r="S42" s="101">
        <f>ano_1</f>
        <v>2026</v>
      </c>
      <c r="T42" s="101">
        <f>S42+1</f>
        <v>2027</v>
      </c>
      <c r="U42" s="101">
        <f t="shared" ref="U42" si="72">T42+1</f>
        <v>2028</v>
      </c>
      <c r="V42" s="101">
        <f t="shared" ref="V42" si="73">U42+1</f>
        <v>2029</v>
      </c>
      <c r="W42" s="102">
        <f t="shared" ref="W42" si="74">V42+1</f>
        <v>2030</v>
      </c>
      <c r="Z42" s="84"/>
      <c r="AA42" s="101">
        <f>ano_1</f>
        <v>2026</v>
      </c>
      <c r="AB42" s="101">
        <f>AA42+1</f>
        <v>2027</v>
      </c>
      <c r="AC42" s="101">
        <f t="shared" ref="AC42" si="75">AB42+1</f>
        <v>2028</v>
      </c>
      <c r="AD42" s="101">
        <f t="shared" ref="AD42" si="76">AC42+1</f>
        <v>2029</v>
      </c>
      <c r="AE42" s="102">
        <f t="shared" ref="AE42" si="77">AD42+1</f>
        <v>2030</v>
      </c>
      <c r="AH42" s="84"/>
      <c r="AI42" s="101">
        <f>ano_1</f>
        <v>2026</v>
      </c>
      <c r="AJ42" s="101">
        <f>AI42+1</f>
        <v>2027</v>
      </c>
      <c r="AK42" s="101">
        <f t="shared" ref="AK42" si="78">AJ42+1</f>
        <v>2028</v>
      </c>
      <c r="AL42" s="101">
        <f t="shared" ref="AL42" si="79">AK42+1</f>
        <v>2029</v>
      </c>
      <c r="AM42" s="102">
        <f t="shared" ref="AM42" si="80">AL42+1</f>
        <v>2030</v>
      </c>
      <c r="AP42" s="84"/>
      <c r="AQ42" s="101">
        <f>ano_1</f>
        <v>2026</v>
      </c>
      <c r="AR42" s="101">
        <f>AQ42+1</f>
        <v>2027</v>
      </c>
      <c r="AS42" s="101">
        <f t="shared" ref="AS42" si="81">AR42+1</f>
        <v>2028</v>
      </c>
      <c r="AT42" s="101">
        <f t="shared" ref="AT42" si="82">AS42+1</f>
        <v>2029</v>
      </c>
      <c r="AU42" s="102">
        <f t="shared" ref="AU42" si="83">AT42+1</f>
        <v>2030</v>
      </c>
      <c r="AX42" s="84"/>
      <c r="AY42" s="101">
        <f>ano_1</f>
        <v>2026</v>
      </c>
      <c r="AZ42" s="101">
        <f>AY42+1</f>
        <v>2027</v>
      </c>
      <c r="BA42" s="101">
        <f t="shared" ref="BA42" si="84">AZ42+1</f>
        <v>2028</v>
      </c>
      <c r="BB42" s="101">
        <f t="shared" ref="BB42" si="85">BA42+1</f>
        <v>2029</v>
      </c>
      <c r="BC42" s="102">
        <f t="shared" ref="BC42" si="86">BB42+1</f>
        <v>2030</v>
      </c>
      <c r="BF42" s="84"/>
      <c r="BG42" s="101">
        <f>ano_1</f>
        <v>2026</v>
      </c>
      <c r="BH42" s="101">
        <f>BG42+1</f>
        <v>2027</v>
      </c>
      <c r="BI42" s="101">
        <f t="shared" ref="BI42" si="87">BH42+1</f>
        <v>2028</v>
      </c>
      <c r="BJ42" s="101">
        <f t="shared" ref="BJ42" si="88">BI42+1</f>
        <v>2029</v>
      </c>
      <c r="BK42" s="102">
        <f t="shared" ref="BK42" si="89">BJ42+1</f>
        <v>2030</v>
      </c>
      <c r="BN42" s="84"/>
      <c r="BO42" s="101">
        <f>ano_1</f>
        <v>2026</v>
      </c>
      <c r="BP42" s="101">
        <f>BO42+1</f>
        <v>2027</v>
      </c>
      <c r="BQ42" s="101">
        <f t="shared" ref="BQ42" si="90">BP42+1</f>
        <v>2028</v>
      </c>
      <c r="BR42" s="101">
        <f t="shared" ref="BR42" si="91">BQ42+1</f>
        <v>2029</v>
      </c>
      <c r="BS42" s="102">
        <f t="shared" ref="BS42" si="92">BR42+1</f>
        <v>2030</v>
      </c>
      <c r="BV42" s="84"/>
      <c r="BW42" s="101">
        <f>ano_1</f>
        <v>2026</v>
      </c>
      <c r="BX42" s="101">
        <f>BW42+1</f>
        <v>2027</v>
      </c>
      <c r="BY42" s="101">
        <f t="shared" ref="BY42" si="93">BX42+1</f>
        <v>2028</v>
      </c>
      <c r="BZ42" s="101">
        <f t="shared" ref="BZ42" si="94">BY42+1</f>
        <v>2029</v>
      </c>
      <c r="CA42" s="102">
        <f t="shared" ref="CA42" si="95">BZ42+1</f>
        <v>2030</v>
      </c>
      <c r="CD42" s="84"/>
      <c r="CE42" s="101">
        <f>ano_1</f>
        <v>2026</v>
      </c>
      <c r="CF42" s="101">
        <f>CE42+1</f>
        <v>2027</v>
      </c>
      <c r="CG42" s="101">
        <f t="shared" ref="CG42" si="96">CF42+1</f>
        <v>2028</v>
      </c>
      <c r="CH42" s="101">
        <f t="shared" ref="CH42" si="97">CG42+1</f>
        <v>2029</v>
      </c>
      <c r="CI42" s="102">
        <f t="shared" ref="CI42" si="98">CH42+1</f>
        <v>2030</v>
      </c>
      <c r="CL42" s="84"/>
      <c r="CM42" s="101">
        <f>ano_1</f>
        <v>2026</v>
      </c>
      <c r="CN42" s="101">
        <f>CM42+1</f>
        <v>2027</v>
      </c>
      <c r="CO42" s="101">
        <f t="shared" ref="CO42" si="99">CN42+1</f>
        <v>2028</v>
      </c>
      <c r="CP42" s="101">
        <f t="shared" ref="CP42" si="100">CO42+1</f>
        <v>2029</v>
      </c>
      <c r="CQ42" s="102">
        <f t="shared" ref="CQ42" si="101">CP42+1</f>
        <v>2030</v>
      </c>
      <c r="CT42" s="84"/>
      <c r="CU42" s="101">
        <f>ano_1</f>
        <v>2026</v>
      </c>
      <c r="CV42" s="101">
        <f>CU42+1</f>
        <v>2027</v>
      </c>
      <c r="CW42" s="101">
        <f t="shared" ref="CW42" si="102">CV42+1</f>
        <v>2028</v>
      </c>
      <c r="CX42" s="101">
        <f t="shared" ref="CX42" si="103">CW42+1</f>
        <v>2029</v>
      </c>
      <c r="CY42" s="102">
        <f t="shared" ref="CY42" si="104">CX42+1</f>
        <v>2030</v>
      </c>
      <c r="DB42" s="84"/>
      <c r="DC42" s="101">
        <f>ano_1</f>
        <v>2026</v>
      </c>
      <c r="DD42" s="101">
        <f>DC42+1</f>
        <v>2027</v>
      </c>
      <c r="DE42" s="101">
        <f t="shared" ref="DE42" si="105">DD42+1</f>
        <v>2028</v>
      </c>
      <c r="DF42" s="101">
        <f t="shared" ref="DF42" si="106">DE42+1</f>
        <v>2029</v>
      </c>
      <c r="DG42" s="102">
        <f t="shared" ref="DG42" si="107">DF42+1</f>
        <v>2030</v>
      </c>
    </row>
    <row r="43" spans="2:111">
      <c r="B43" s="87" t="s">
        <v>170</v>
      </c>
      <c r="C43" s="80">
        <f>C$7*'Mkt share'!$C$42</f>
        <v>15554.026999110258</v>
      </c>
      <c r="D43" s="80">
        <f>C$8*'Mkt share'!$C$42</f>
        <v>15554.026999110258</v>
      </c>
      <c r="E43" s="80">
        <f>C$11*'Mkt share'!$C$42</f>
        <v>15554.026999110258</v>
      </c>
      <c r="F43" s="80">
        <f>C$14*'Mkt share'!$C$42</f>
        <v>15554.026999110258</v>
      </c>
      <c r="G43" s="88">
        <f>C$17*'Mkt share'!$C$42</f>
        <v>15554.026999110258</v>
      </c>
      <c r="J43" s="87" t="s">
        <v>170</v>
      </c>
      <c r="K43" s="80">
        <f>K$7*'Mkt share'!$C$43</f>
        <v>0</v>
      </c>
      <c r="L43" s="80">
        <f>K$8*'Mkt share'!$C$43</f>
        <v>0</v>
      </c>
      <c r="M43" s="80">
        <f>K$11*'Mkt share'!$C$43</f>
        <v>0</v>
      </c>
      <c r="N43" s="80">
        <f>K$14*'Mkt share'!$C$43</f>
        <v>0</v>
      </c>
      <c r="O43" s="88">
        <f>K$17*'Mkt share'!$C$43</f>
        <v>0</v>
      </c>
      <c r="R43" s="87" t="s">
        <v>170</v>
      </c>
      <c r="S43" s="80">
        <f>S$7*'Mkt share'!$C$44</f>
        <v>0</v>
      </c>
      <c r="T43" s="80">
        <f>S$8*'Mkt share'!$C$44</f>
        <v>0</v>
      </c>
      <c r="U43" s="80">
        <f>S$11*'Mkt share'!$C$44</f>
        <v>0</v>
      </c>
      <c r="V43" s="80">
        <f>S$14*'Mkt share'!$C$44</f>
        <v>0</v>
      </c>
      <c r="W43" s="88">
        <f>S$17*'Mkt share'!$C$44</f>
        <v>0</v>
      </c>
      <c r="Z43" s="87" t="s">
        <v>170</v>
      </c>
      <c r="AA43" s="80">
        <f>AA$7*'Mkt share'!$C$45</f>
        <v>0</v>
      </c>
      <c r="AB43" s="80">
        <f>AA$8*'Mkt share'!$C$45</f>
        <v>0</v>
      </c>
      <c r="AC43" s="80">
        <f>AA$11*'Mkt share'!$C$45</f>
        <v>0</v>
      </c>
      <c r="AD43" s="80">
        <f>AA$14*'Mkt share'!$C$45</f>
        <v>0</v>
      </c>
      <c r="AE43" s="88">
        <f>AA$17*'Mkt share'!$C$45</f>
        <v>0</v>
      </c>
      <c r="AH43" s="87" t="s">
        <v>170</v>
      </c>
      <c r="AI43" s="80">
        <f>AI$7*'Mkt share'!$C$46</f>
        <v>295526.51298309484</v>
      </c>
      <c r="AJ43" s="80">
        <f>AI$8*'Mkt share'!$C$46</f>
        <v>295526.51298309484</v>
      </c>
      <c r="AK43" s="80">
        <f>AI$11*'Mkt share'!$C$46</f>
        <v>295526.51298309484</v>
      </c>
      <c r="AL43" s="80">
        <f>AI$14*'Mkt share'!$C$46</f>
        <v>295526.51298309484</v>
      </c>
      <c r="AM43" s="88">
        <f>AI$17*'Mkt share'!$C$46</f>
        <v>295526.51298309484</v>
      </c>
      <c r="AP43" s="87" t="s">
        <v>170</v>
      </c>
      <c r="AQ43" s="80">
        <f>AQ$7*'Mkt share'!$C$47</f>
        <v>0</v>
      </c>
      <c r="AR43" s="80">
        <f>AQ$8*'Mkt share'!$C$47</f>
        <v>0</v>
      </c>
      <c r="AS43" s="80">
        <f>AQ$11*'Mkt share'!$C$47</f>
        <v>0</v>
      </c>
      <c r="AT43" s="80">
        <f>AQ$14*'Mkt share'!$C$47</f>
        <v>0</v>
      </c>
      <c r="AU43" s="88">
        <f>AQ$17*'Mkt share'!$C$47</f>
        <v>0</v>
      </c>
      <c r="AX43" s="87" t="s">
        <v>170</v>
      </c>
      <c r="AY43" s="80">
        <f>AY$7*'Mkt share'!$C$48</f>
        <v>0</v>
      </c>
      <c r="AZ43" s="80">
        <f>AY$8*'Mkt share'!$C$48</f>
        <v>0</v>
      </c>
      <c r="BA43" s="80">
        <f>AY$11*'Mkt share'!$C$48</f>
        <v>0</v>
      </c>
      <c r="BB43" s="80">
        <f>AY$14*'Mkt share'!$C$48</f>
        <v>0</v>
      </c>
      <c r="BC43" s="88">
        <f>AY$17*'Mkt share'!$C$48</f>
        <v>0</v>
      </c>
      <c r="BF43" s="87" t="s">
        <v>170</v>
      </c>
      <c r="BG43" s="80">
        <f>BG$7*'Mkt share'!$C$49</f>
        <v>0</v>
      </c>
      <c r="BH43" s="80">
        <f>BG$8*'Mkt share'!$C$49</f>
        <v>0</v>
      </c>
      <c r="BI43" s="80">
        <f>BG$11*'Mkt share'!$C$49</f>
        <v>0</v>
      </c>
      <c r="BJ43" s="80">
        <f>BG$14*'Mkt share'!$C$49</f>
        <v>0</v>
      </c>
      <c r="BK43" s="88">
        <f>BG$17*'Mkt share'!$C$49</f>
        <v>0</v>
      </c>
      <c r="BN43" s="87" t="s">
        <v>170</v>
      </c>
      <c r="BO43" s="80">
        <f>BO$7*'Mkt share'!$C$50</f>
        <v>0</v>
      </c>
      <c r="BP43" s="80">
        <f>BO$8*'Mkt share'!$C$50</f>
        <v>0</v>
      </c>
      <c r="BQ43" s="80">
        <f>BO$11*'Mkt share'!$C$50</f>
        <v>0</v>
      </c>
      <c r="BR43" s="80">
        <f>BO$14*'Mkt share'!$C$50</f>
        <v>0</v>
      </c>
      <c r="BS43" s="88">
        <f>BO$17*'Mkt share'!$C$50</f>
        <v>0</v>
      </c>
      <c r="BV43" s="87" t="s">
        <v>170</v>
      </c>
      <c r="BW43" s="80">
        <f>BW$7*'Mkt share'!$C$51</f>
        <v>0</v>
      </c>
      <c r="BX43" s="80">
        <f>BW$8*'Mkt share'!$C$51</f>
        <v>0</v>
      </c>
      <c r="BY43" s="80">
        <f>BW$11*'Mkt share'!$C$51</f>
        <v>0</v>
      </c>
      <c r="BZ43" s="80">
        <f>BW$14*'Mkt share'!$C$51</f>
        <v>0</v>
      </c>
      <c r="CA43" s="88">
        <f>BW$17*'Mkt share'!$C$51</f>
        <v>0</v>
      </c>
      <c r="CD43" s="87" t="s">
        <v>170</v>
      </c>
      <c r="CE43" s="80">
        <f>CE$7*'Mkt share'!$C$52</f>
        <v>0</v>
      </c>
      <c r="CF43" s="80">
        <f>CE$8*'Mkt share'!$C$52</f>
        <v>0</v>
      </c>
      <c r="CG43" s="80">
        <f>CE$11*'Mkt share'!$C$52</f>
        <v>0</v>
      </c>
      <c r="CH43" s="80">
        <f>CE$14*'Mkt share'!$C$52</f>
        <v>0</v>
      </c>
      <c r="CI43" s="88">
        <f>CE$17*'Mkt share'!$C$52</f>
        <v>0</v>
      </c>
      <c r="CL43" s="87" t="s">
        <v>170</v>
      </c>
      <c r="CM43" s="80">
        <f>CM$7*'Mkt share'!$C$53</f>
        <v>0</v>
      </c>
      <c r="CN43" s="80">
        <f>CM$8*'Mkt share'!$C$53</f>
        <v>0</v>
      </c>
      <c r="CO43" s="80">
        <f>CM$11*'Mkt share'!$C$53</f>
        <v>0</v>
      </c>
      <c r="CP43" s="80">
        <f>CM$14*'Mkt share'!$C$53</f>
        <v>0</v>
      </c>
      <c r="CQ43" s="88">
        <f>CM$17*'Mkt share'!$C$53</f>
        <v>0</v>
      </c>
      <c r="CT43" s="87" t="s">
        <v>170</v>
      </c>
      <c r="CU43" s="80">
        <f>CU$7*'Mkt share'!$C$54</f>
        <v>0</v>
      </c>
      <c r="CV43" s="80">
        <f>CU$8*'Mkt share'!$C$54</f>
        <v>0</v>
      </c>
      <c r="CW43" s="80">
        <f>CU$11*'Mkt share'!$C$54</f>
        <v>0</v>
      </c>
      <c r="CX43" s="80">
        <f>CU$14*'Mkt share'!$C$54</f>
        <v>0</v>
      </c>
      <c r="CY43" s="88">
        <f>CU$17*'Mkt share'!$C$54</f>
        <v>0</v>
      </c>
      <c r="DB43" s="87" t="s">
        <v>170</v>
      </c>
      <c r="DC43" s="80">
        <f>DC$7*'Mkt share'!$C$55</f>
        <v>0</v>
      </c>
      <c r="DD43" s="80">
        <f>DC$8*'Mkt share'!$C$55</f>
        <v>0</v>
      </c>
      <c r="DE43" s="80">
        <f>DC$11*'Mkt share'!$C$55</f>
        <v>0</v>
      </c>
      <c r="DF43" s="80">
        <f>DC$14*'Mkt share'!$C$55</f>
        <v>0</v>
      </c>
      <c r="DG43" s="88">
        <f>DC$17*'Mkt share'!$C$55</f>
        <v>0</v>
      </c>
    </row>
    <row r="44" spans="2:111">
      <c r="B44" s="87" t="s">
        <v>175</v>
      </c>
      <c r="C44" s="105">
        <v>0</v>
      </c>
      <c r="D44" s="80">
        <f>C$10*'Mkt share'!$C$42</f>
        <v>0</v>
      </c>
      <c r="E44" s="80">
        <f>C$13*'Mkt share'!$C$42</f>
        <v>0</v>
      </c>
      <c r="F44" s="80">
        <f>C$16*'Mkt share'!$C$42</f>
        <v>0</v>
      </c>
      <c r="G44" s="88">
        <f>C$19*'Mkt share'!$C$42</f>
        <v>0</v>
      </c>
      <c r="J44" s="87" t="s">
        <v>175</v>
      </c>
      <c r="K44" s="105">
        <v>0</v>
      </c>
      <c r="L44" s="80">
        <f>K$10*'Mkt share'!$C$43</f>
        <v>0</v>
      </c>
      <c r="M44" s="80">
        <f>K$13*'Mkt share'!$C$43</f>
        <v>0</v>
      </c>
      <c r="N44" s="80">
        <f>K$16*'Mkt share'!$C$43</f>
        <v>0</v>
      </c>
      <c r="O44" s="88">
        <f>K$19*'Mkt share'!$C$43</f>
        <v>0</v>
      </c>
      <c r="R44" s="87" t="s">
        <v>175</v>
      </c>
      <c r="S44" s="105">
        <v>0</v>
      </c>
      <c r="T44" s="80">
        <f>S$10*'Mkt share'!$C$44</f>
        <v>0</v>
      </c>
      <c r="U44" s="80">
        <f>S$13*'Mkt share'!$C$44</f>
        <v>0</v>
      </c>
      <c r="V44" s="80">
        <f>S$16*'Mkt share'!$C$44</f>
        <v>0</v>
      </c>
      <c r="W44" s="88">
        <f>S$19*'Mkt share'!$C$44</f>
        <v>0</v>
      </c>
      <c r="Z44" s="87" t="s">
        <v>175</v>
      </c>
      <c r="AA44" s="105">
        <v>0</v>
      </c>
      <c r="AB44" s="80">
        <f>AA$10*'Mkt share'!$C$45</f>
        <v>0</v>
      </c>
      <c r="AC44" s="80">
        <f>AA$13*'Mkt share'!$C$45</f>
        <v>0</v>
      </c>
      <c r="AD44" s="80">
        <f>AA$16*'Mkt share'!$C$45</f>
        <v>0</v>
      </c>
      <c r="AE44" s="88">
        <f>AA$19*'Mkt share'!$C$45</f>
        <v>0</v>
      </c>
      <c r="AH44" s="87" t="s">
        <v>175</v>
      </c>
      <c r="AI44" s="105">
        <v>0</v>
      </c>
      <c r="AJ44" s="80">
        <f>AI$10*'Mkt share'!$C$46</f>
        <v>0</v>
      </c>
      <c r="AK44" s="80">
        <f>AI$13*'Mkt share'!$C$46</f>
        <v>0</v>
      </c>
      <c r="AL44" s="80">
        <f>AI$16*'Mkt share'!$C$46</f>
        <v>0</v>
      </c>
      <c r="AM44" s="88">
        <f>AI$19*'Mkt share'!$C$46</f>
        <v>0</v>
      </c>
      <c r="AP44" s="87" t="s">
        <v>175</v>
      </c>
      <c r="AQ44" s="105">
        <v>0</v>
      </c>
      <c r="AR44" s="80">
        <f>AQ$10*'Mkt share'!$C$47</f>
        <v>0</v>
      </c>
      <c r="AS44" s="80">
        <f>AQ$13*'Mkt share'!$C$47</f>
        <v>0</v>
      </c>
      <c r="AT44" s="80">
        <f>AQ$16*'Mkt share'!$C$47</f>
        <v>0</v>
      </c>
      <c r="AU44" s="88">
        <f>AQ$19*'Mkt share'!$C$47</f>
        <v>0</v>
      </c>
      <c r="AX44" s="87" t="s">
        <v>175</v>
      </c>
      <c r="AY44" s="105">
        <v>0</v>
      </c>
      <c r="AZ44" s="80">
        <f>AY$10*'Mkt share'!$C$48</f>
        <v>0</v>
      </c>
      <c r="BA44" s="80">
        <f>AY$13*'Mkt share'!$C$48</f>
        <v>0</v>
      </c>
      <c r="BB44" s="80">
        <f>AY$16*'Mkt share'!$C$48</f>
        <v>0</v>
      </c>
      <c r="BC44" s="88">
        <f>AY$19*'Mkt share'!$C$48</f>
        <v>0</v>
      </c>
      <c r="BF44" s="87" t="s">
        <v>175</v>
      </c>
      <c r="BG44" s="105">
        <v>0</v>
      </c>
      <c r="BH44" s="80">
        <f>BG$10*'Mkt share'!$C$49</f>
        <v>0</v>
      </c>
      <c r="BI44" s="80">
        <f>BG$13*'Mkt share'!$C$49</f>
        <v>0</v>
      </c>
      <c r="BJ44" s="80">
        <f>BG$16*'Mkt share'!$C$49</f>
        <v>0</v>
      </c>
      <c r="BK44" s="88">
        <f>BG$19*'Mkt share'!$C$49</f>
        <v>0</v>
      </c>
      <c r="BN44" s="87" t="s">
        <v>175</v>
      </c>
      <c r="BO44" s="105">
        <v>0</v>
      </c>
      <c r="BP44" s="80">
        <f>BO$10*'Mkt share'!$C$50</f>
        <v>0</v>
      </c>
      <c r="BQ44" s="80">
        <f>BO$13*'Mkt share'!$C$50</f>
        <v>0</v>
      </c>
      <c r="BR44" s="80">
        <f>BO$16*'Mkt share'!$C$50</f>
        <v>0</v>
      </c>
      <c r="BS44" s="88">
        <f>BO$19*'Mkt share'!$C$50</f>
        <v>0</v>
      </c>
      <c r="BV44" s="87" t="s">
        <v>175</v>
      </c>
      <c r="BW44" s="105">
        <v>0</v>
      </c>
      <c r="BX44" s="80">
        <f>BW$10*'Mkt share'!$C$51</f>
        <v>0</v>
      </c>
      <c r="BY44" s="80">
        <f>BW$13*'Mkt share'!$C$51</f>
        <v>0</v>
      </c>
      <c r="BZ44" s="80">
        <f>BW$16*'Mkt share'!$C$51</f>
        <v>0</v>
      </c>
      <c r="CA44" s="88">
        <f>BW$19*'Mkt share'!$C$51</f>
        <v>0</v>
      </c>
      <c r="CD44" s="87" t="s">
        <v>175</v>
      </c>
      <c r="CE44" s="105">
        <v>0</v>
      </c>
      <c r="CF44" s="80">
        <f>CE$10*'Mkt share'!$C$52</f>
        <v>0</v>
      </c>
      <c r="CG44" s="80">
        <f>CE$13*'Mkt share'!$C$52</f>
        <v>0</v>
      </c>
      <c r="CH44" s="80">
        <f>CE$16*'Mkt share'!$C$52</f>
        <v>0</v>
      </c>
      <c r="CI44" s="88">
        <f>CE$19*'Mkt share'!$C$52</f>
        <v>0</v>
      </c>
      <c r="CL44" s="87" t="s">
        <v>175</v>
      </c>
      <c r="CM44" s="105">
        <v>0</v>
      </c>
      <c r="CN44" s="80">
        <f>CM$10*'Mkt share'!$C$53</f>
        <v>0</v>
      </c>
      <c r="CO44" s="80">
        <f>CM$13*'Mkt share'!$C$53</f>
        <v>0</v>
      </c>
      <c r="CP44" s="80">
        <f>CM$16*'Mkt share'!$C$53</f>
        <v>0</v>
      </c>
      <c r="CQ44" s="88">
        <f>CM$19*'Mkt share'!$C$53</f>
        <v>0</v>
      </c>
      <c r="CT44" s="87" t="s">
        <v>175</v>
      </c>
      <c r="CU44" s="105">
        <v>0</v>
      </c>
      <c r="CV44" s="80">
        <f>CU$10*'Mkt share'!$C$54</f>
        <v>0</v>
      </c>
      <c r="CW44" s="80">
        <f>CU$13*'Mkt share'!$C$54</f>
        <v>0</v>
      </c>
      <c r="CX44" s="80">
        <f>CU$16*'Mkt share'!$C$54</f>
        <v>0</v>
      </c>
      <c r="CY44" s="88">
        <f>CU$19*'Mkt share'!$C$54</f>
        <v>0</v>
      </c>
      <c r="DB44" s="87" t="s">
        <v>175</v>
      </c>
      <c r="DC44" s="105">
        <v>0</v>
      </c>
      <c r="DD44" s="80">
        <f>DC$10*'Mkt share'!$C$55</f>
        <v>0</v>
      </c>
      <c r="DE44" s="80">
        <f>DC$13*'Mkt share'!$C$55</f>
        <v>0</v>
      </c>
      <c r="DF44" s="80">
        <f>DC$16*'Mkt share'!$C$55</f>
        <v>0</v>
      </c>
      <c r="DG44" s="88">
        <f>DC$19*'Mkt share'!$C$55</f>
        <v>0</v>
      </c>
    </row>
    <row r="45" spans="2:111">
      <c r="B45" s="87" t="s">
        <v>171</v>
      </c>
      <c r="C45" s="103"/>
      <c r="D45" s="80">
        <f>D$7*'Mkt share'!$D$42</f>
        <v>30995.950471967037</v>
      </c>
      <c r="E45" s="80">
        <f>D$8*'Mkt share'!$D$42</f>
        <v>30995.950471967037</v>
      </c>
      <c r="F45" s="80">
        <f>D$11*'Mkt share'!$D$42</f>
        <v>30995.950471967037</v>
      </c>
      <c r="G45" s="88">
        <f>D$14*'Mkt share'!$D$42</f>
        <v>30995.950471967037</v>
      </c>
      <c r="J45" s="87" t="s">
        <v>171</v>
      </c>
      <c r="K45" s="103"/>
      <c r="L45" s="80">
        <f>L$7*'Mkt share'!$D$43</f>
        <v>0</v>
      </c>
      <c r="M45" s="80">
        <f>L$8*'Mkt share'!$D$43</f>
        <v>0</v>
      </c>
      <c r="N45" s="80">
        <f>L$11*'Mkt share'!$D$43</f>
        <v>0</v>
      </c>
      <c r="O45" s="88">
        <f>L$14*'Mkt share'!$D$43</f>
        <v>0</v>
      </c>
      <c r="R45" s="87" t="s">
        <v>171</v>
      </c>
      <c r="S45" s="103"/>
      <c r="T45" s="80">
        <f>T$7*'Mkt share'!$D$44</f>
        <v>0</v>
      </c>
      <c r="U45" s="80">
        <f>T$8*'Mkt share'!$D$44</f>
        <v>0</v>
      </c>
      <c r="V45" s="80">
        <f>T$11*'Mkt share'!$D$44</f>
        <v>0</v>
      </c>
      <c r="W45" s="88">
        <f>T$14*'Mkt share'!$D$44</f>
        <v>0</v>
      </c>
      <c r="Z45" s="87" t="s">
        <v>171</v>
      </c>
      <c r="AA45" s="103"/>
      <c r="AB45" s="80">
        <f>AB$7*'Mkt share'!$D$45</f>
        <v>0</v>
      </c>
      <c r="AC45" s="80">
        <f>AB$8*'Mkt share'!$D$45</f>
        <v>0</v>
      </c>
      <c r="AD45" s="80">
        <f>AB$11*'Mkt share'!$D$45</f>
        <v>0</v>
      </c>
      <c r="AE45" s="88">
        <f>AB$14*'Mkt share'!$D$45</f>
        <v>0</v>
      </c>
      <c r="AH45" s="87" t="s">
        <v>171</v>
      </c>
      <c r="AI45" s="103"/>
      <c r="AJ45" s="80">
        <f>AJ$7*'Mkt share'!$D$46</f>
        <v>278963.55424770329</v>
      </c>
      <c r="AK45" s="80">
        <f>AJ$8*'Mkt share'!$D$46</f>
        <v>278963.55424770329</v>
      </c>
      <c r="AL45" s="80">
        <f>AJ$11*'Mkt share'!$D$46</f>
        <v>278963.55424770329</v>
      </c>
      <c r="AM45" s="88">
        <f>AJ$14*'Mkt share'!$D$46</f>
        <v>278963.55424770329</v>
      </c>
      <c r="AP45" s="87" t="s">
        <v>171</v>
      </c>
      <c r="AQ45" s="103"/>
      <c r="AR45" s="80">
        <f>AR$7*'Mkt share'!$D$47</f>
        <v>0</v>
      </c>
      <c r="AS45" s="80">
        <f>AR$8*'Mkt share'!$D$47</f>
        <v>0</v>
      </c>
      <c r="AT45" s="80">
        <f>AR$11*'Mkt share'!$D$47</f>
        <v>0</v>
      </c>
      <c r="AU45" s="88">
        <f>AR$14*'Mkt share'!$D$47</f>
        <v>0</v>
      </c>
      <c r="AX45" s="87" t="s">
        <v>171</v>
      </c>
      <c r="AY45" s="103"/>
      <c r="AZ45" s="80">
        <f>AZ$7*'Mkt share'!$D$48</f>
        <v>0</v>
      </c>
      <c r="BA45" s="80">
        <f>AZ$8*'Mkt share'!$D$48</f>
        <v>0</v>
      </c>
      <c r="BB45" s="80">
        <f>AZ$11*'Mkt share'!$D$48</f>
        <v>0</v>
      </c>
      <c r="BC45" s="88">
        <f>AZ$14*'Mkt share'!$D$48</f>
        <v>0</v>
      </c>
      <c r="BF45" s="87" t="s">
        <v>171</v>
      </c>
      <c r="BG45" s="103"/>
      <c r="BH45" s="80">
        <f>BH$7*'Mkt share'!$D$49</f>
        <v>0</v>
      </c>
      <c r="BI45" s="80">
        <f>BH$8*'Mkt share'!$D$49</f>
        <v>0</v>
      </c>
      <c r="BJ45" s="80">
        <f>BH$11*'Mkt share'!$D$49</f>
        <v>0</v>
      </c>
      <c r="BK45" s="88">
        <f>BH$14*'Mkt share'!$D$49</f>
        <v>0</v>
      </c>
      <c r="BN45" s="87" t="s">
        <v>171</v>
      </c>
      <c r="BO45" s="103"/>
      <c r="BP45" s="80">
        <f>BP$7*'Mkt share'!$D$50</f>
        <v>0</v>
      </c>
      <c r="BQ45" s="80">
        <f>BP$8*'Mkt share'!$D$50</f>
        <v>0</v>
      </c>
      <c r="BR45" s="80">
        <f>BP$11*'Mkt share'!$D$50</f>
        <v>0</v>
      </c>
      <c r="BS45" s="88">
        <f>BP$14*'Mkt share'!$D$50</f>
        <v>0</v>
      </c>
      <c r="BV45" s="87" t="s">
        <v>171</v>
      </c>
      <c r="BW45" s="103"/>
      <c r="BX45" s="80">
        <f>BX$7*'Mkt share'!$D$51</f>
        <v>0</v>
      </c>
      <c r="BY45" s="80">
        <f>BX$8*'Mkt share'!$D$51</f>
        <v>0</v>
      </c>
      <c r="BZ45" s="80">
        <f>BX$11*'Mkt share'!$D$51</f>
        <v>0</v>
      </c>
      <c r="CA45" s="88">
        <f>BX$14*'Mkt share'!$D$51</f>
        <v>0</v>
      </c>
      <c r="CD45" s="87" t="s">
        <v>171</v>
      </c>
      <c r="CE45" s="103"/>
      <c r="CF45" s="80">
        <f>CF$7*'Mkt share'!$D$52</f>
        <v>0</v>
      </c>
      <c r="CG45" s="80">
        <f>CF$8*'Mkt share'!$D$52</f>
        <v>0</v>
      </c>
      <c r="CH45" s="80">
        <f>CF$11*'Mkt share'!$D$52</f>
        <v>0</v>
      </c>
      <c r="CI45" s="88">
        <f>CF$14*'Mkt share'!$D$52</f>
        <v>0</v>
      </c>
      <c r="CL45" s="87" t="s">
        <v>171</v>
      </c>
      <c r="CM45" s="103"/>
      <c r="CN45" s="80">
        <f>CN$7*'Mkt share'!$D$53</f>
        <v>0</v>
      </c>
      <c r="CO45" s="80">
        <f>CN$8*'Mkt share'!$D$53</f>
        <v>0</v>
      </c>
      <c r="CP45" s="80">
        <f>CN$11*'Mkt share'!$D$53</f>
        <v>0</v>
      </c>
      <c r="CQ45" s="88">
        <f>CN$14*'Mkt share'!$D$53</f>
        <v>0</v>
      </c>
      <c r="CT45" s="87" t="s">
        <v>171</v>
      </c>
      <c r="CU45" s="103"/>
      <c r="CV45" s="80">
        <f>CV$7*'Mkt share'!$D$54</f>
        <v>0</v>
      </c>
      <c r="CW45" s="80">
        <f>CV$8*'Mkt share'!$D$54</f>
        <v>0</v>
      </c>
      <c r="CX45" s="80">
        <f>CV$11*'Mkt share'!$D$54</f>
        <v>0</v>
      </c>
      <c r="CY45" s="88">
        <f>CV$14*'Mkt share'!$D$54</f>
        <v>0</v>
      </c>
      <c r="DB45" s="87" t="s">
        <v>171</v>
      </c>
      <c r="DC45" s="103"/>
      <c r="DD45" s="80">
        <f>DD$7*'Mkt share'!$D$55</f>
        <v>0</v>
      </c>
      <c r="DE45" s="80">
        <f>DD$8*'Mkt share'!$D$55</f>
        <v>0</v>
      </c>
      <c r="DF45" s="80">
        <f>DD$11*'Mkt share'!$D$55</f>
        <v>0</v>
      </c>
      <c r="DG45" s="88">
        <f>DD$14*'Mkt share'!$D$55</f>
        <v>0</v>
      </c>
    </row>
    <row r="46" spans="2:111">
      <c r="B46" s="87" t="s">
        <v>176</v>
      </c>
      <c r="C46" s="103"/>
      <c r="D46" s="105">
        <v>0</v>
      </c>
      <c r="E46" s="80">
        <f>D$10*'Mkt share'!$D$42</f>
        <v>0</v>
      </c>
      <c r="F46" s="80">
        <f>D$13*'Mkt share'!$D$42</f>
        <v>0</v>
      </c>
      <c r="G46" s="88">
        <f>D$16*'Mkt share'!$D$42</f>
        <v>0</v>
      </c>
      <c r="J46" s="87" t="s">
        <v>176</v>
      </c>
      <c r="K46" s="103"/>
      <c r="L46" s="105">
        <v>0</v>
      </c>
      <c r="M46" s="80">
        <f>L$10*'Mkt share'!$D$43</f>
        <v>0</v>
      </c>
      <c r="N46" s="80">
        <f>L$13*'Mkt share'!$D$43</f>
        <v>0</v>
      </c>
      <c r="O46" s="88">
        <f>L$16*'Mkt share'!$D$43</f>
        <v>0</v>
      </c>
      <c r="R46" s="87" t="s">
        <v>176</v>
      </c>
      <c r="S46" s="103"/>
      <c r="T46" s="105">
        <v>0</v>
      </c>
      <c r="U46" s="80">
        <f>T$10*'Mkt share'!$D$44</f>
        <v>0</v>
      </c>
      <c r="V46" s="80">
        <f>T$13*'Mkt share'!$D$44</f>
        <v>0</v>
      </c>
      <c r="W46" s="88">
        <f>T$16*'Mkt share'!$D$44</f>
        <v>0</v>
      </c>
      <c r="Z46" s="87" t="s">
        <v>176</v>
      </c>
      <c r="AA46" s="103"/>
      <c r="AB46" s="105">
        <v>0</v>
      </c>
      <c r="AC46" s="80">
        <f>AB$10*'Mkt share'!$D$45</f>
        <v>0</v>
      </c>
      <c r="AD46" s="80">
        <f>AB$13*'Mkt share'!$D$45</f>
        <v>0</v>
      </c>
      <c r="AE46" s="88">
        <f>AB$16*'Mkt share'!$D$45</f>
        <v>0</v>
      </c>
      <c r="AH46" s="87" t="s">
        <v>176</v>
      </c>
      <c r="AI46" s="103"/>
      <c r="AJ46" s="105">
        <v>0</v>
      </c>
      <c r="AK46" s="80">
        <f>AJ$10*'Mkt share'!$D$46</f>
        <v>0</v>
      </c>
      <c r="AL46" s="80">
        <f>AJ$13*'Mkt share'!$D$46</f>
        <v>0</v>
      </c>
      <c r="AM46" s="88">
        <f>AJ$16*'Mkt share'!$D$46</f>
        <v>0</v>
      </c>
      <c r="AP46" s="87" t="s">
        <v>176</v>
      </c>
      <c r="AQ46" s="103"/>
      <c r="AR46" s="105">
        <v>0</v>
      </c>
      <c r="AS46" s="80">
        <f>AR$10*'Mkt share'!$D$47</f>
        <v>0</v>
      </c>
      <c r="AT46" s="80">
        <f>AR$13*'Mkt share'!$D$47</f>
        <v>0</v>
      </c>
      <c r="AU46" s="88">
        <f>AR$16*'Mkt share'!$D$47</f>
        <v>0</v>
      </c>
      <c r="AX46" s="87" t="s">
        <v>176</v>
      </c>
      <c r="AY46" s="103"/>
      <c r="AZ46" s="105">
        <v>0</v>
      </c>
      <c r="BA46" s="80">
        <f>AZ$10*'Mkt share'!$D$48</f>
        <v>0</v>
      </c>
      <c r="BB46" s="80">
        <f>AZ$13*'Mkt share'!$D$48</f>
        <v>0</v>
      </c>
      <c r="BC46" s="88">
        <f>AZ$16*'Mkt share'!$D$48</f>
        <v>0</v>
      </c>
      <c r="BF46" s="87" t="s">
        <v>176</v>
      </c>
      <c r="BG46" s="103"/>
      <c r="BH46" s="105">
        <v>0</v>
      </c>
      <c r="BI46" s="80">
        <f>BH$10*'Mkt share'!$D$49</f>
        <v>0</v>
      </c>
      <c r="BJ46" s="80">
        <f>BH$13*'Mkt share'!$D$49</f>
        <v>0</v>
      </c>
      <c r="BK46" s="88">
        <f>BH$16*'Mkt share'!$D$49</f>
        <v>0</v>
      </c>
      <c r="BN46" s="87" t="s">
        <v>176</v>
      </c>
      <c r="BO46" s="103"/>
      <c r="BP46" s="105">
        <v>0</v>
      </c>
      <c r="BQ46" s="80">
        <f>BP$10*'Mkt share'!$D$50</f>
        <v>0</v>
      </c>
      <c r="BR46" s="80">
        <f>BP$13*'Mkt share'!$D$50</f>
        <v>0</v>
      </c>
      <c r="BS46" s="88">
        <f>BP$16*'Mkt share'!$D$50</f>
        <v>0</v>
      </c>
      <c r="BV46" s="87" t="s">
        <v>176</v>
      </c>
      <c r="BW46" s="103"/>
      <c r="BX46" s="105">
        <v>0</v>
      </c>
      <c r="BY46" s="80">
        <f>BX$10*'Mkt share'!$D$51</f>
        <v>0</v>
      </c>
      <c r="BZ46" s="80">
        <f>BX$13*'Mkt share'!$D$51</f>
        <v>0</v>
      </c>
      <c r="CA46" s="88">
        <f>BX$16*'Mkt share'!$D$51</f>
        <v>0</v>
      </c>
      <c r="CD46" s="87" t="s">
        <v>176</v>
      </c>
      <c r="CE46" s="103"/>
      <c r="CF46" s="105">
        <v>0</v>
      </c>
      <c r="CG46" s="80">
        <f>CF$10*'Mkt share'!$D$52</f>
        <v>0</v>
      </c>
      <c r="CH46" s="80">
        <f>CF$13*'Mkt share'!$D$52</f>
        <v>0</v>
      </c>
      <c r="CI46" s="88">
        <f>CF$16*'Mkt share'!$D$52</f>
        <v>0</v>
      </c>
      <c r="CL46" s="87" t="s">
        <v>176</v>
      </c>
      <c r="CM46" s="103"/>
      <c r="CN46" s="105">
        <v>0</v>
      </c>
      <c r="CO46" s="80">
        <f>CN$10*'Mkt share'!$D$53</f>
        <v>0</v>
      </c>
      <c r="CP46" s="80">
        <f>CN$13*'Mkt share'!$D$53</f>
        <v>0</v>
      </c>
      <c r="CQ46" s="88">
        <f>CN$16*'Mkt share'!$D$53</f>
        <v>0</v>
      </c>
      <c r="CT46" s="87" t="s">
        <v>176</v>
      </c>
      <c r="CU46" s="103"/>
      <c r="CV46" s="105">
        <v>0</v>
      </c>
      <c r="CW46" s="80">
        <f>CV$10*'Mkt share'!$D$54</f>
        <v>0</v>
      </c>
      <c r="CX46" s="80">
        <f>CV$13*'Mkt share'!$D$54</f>
        <v>0</v>
      </c>
      <c r="CY46" s="88">
        <f>CV$16*'Mkt share'!$D$54</f>
        <v>0</v>
      </c>
      <c r="DB46" s="87" t="s">
        <v>176</v>
      </c>
      <c r="DC46" s="103"/>
      <c r="DD46" s="105">
        <v>0</v>
      </c>
      <c r="DE46" s="80">
        <f>DD$10*'Mkt share'!$D$55</f>
        <v>0</v>
      </c>
      <c r="DF46" s="80">
        <f>DD$13*'Mkt share'!$D$55</f>
        <v>0</v>
      </c>
      <c r="DG46" s="88">
        <f>DD$16*'Mkt share'!$D$55</f>
        <v>0</v>
      </c>
    </row>
    <row r="47" spans="2:111">
      <c r="B47" s="87" t="s">
        <v>172</v>
      </c>
      <c r="C47" s="103"/>
      <c r="D47" s="103"/>
      <c r="E47" s="80">
        <f>E$7*'Mkt share'!$E$42</f>
        <v>46312.074006554081</v>
      </c>
      <c r="F47" s="80">
        <f>E$8*'Mkt share'!$E$42</f>
        <v>46312.074006554081</v>
      </c>
      <c r="G47" s="88">
        <f>E$11*'Mkt share'!$E$42</f>
        <v>46312.074006554081</v>
      </c>
      <c r="J47" s="87" t="s">
        <v>172</v>
      </c>
      <c r="K47" s="103"/>
      <c r="L47" s="103"/>
      <c r="M47" s="80">
        <f>M$7*'Mkt share'!$E$43</f>
        <v>0</v>
      </c>
      <c r="N47" s="80">
        <f>M$8*'Mkt share'!$E$43</f>
        <v>0</v>
      </c>
      <c r="O47" s="88">
        <f>M$11*'Mkt share'!$E$43</f>
        <v>0</v>
      </c>
      <c r="R47" s="87" t="s">
        <v>172</v>
      </c>
      <c r="S47" s="103"/>
      <c r="T47" s="103"/>
      <c r="U47" s="80">
        <f>U$7*'Mkt share'!$E$44</f>
        <v>0</v>
      </c>
      <c r="V47" s="80">
        <f>U$8*'Mkt share'!$E$44</f>
        <v>0</v>
      </c>
      <c r="W47" s="88">
        <f>U$11*'Mkt share'!$E$44</f>
        <v>0</v>
      </c>
      <c r="Z47" s="87" t="s">
        <v>172</v>
      </c>
      <c r="AA47" s="103"/>
      <c r="AB47" s="103"/>
      <c r="AC47" s="80">
        <f>AC$7*'Mkt share'!$E$45</f>
        <v>0</v>
      </c>
      <c r="AD47" s="80">
        <f>AC$8*'Mkt share'!$E$45</f>
        <v>0</v>
      </c>
      <c r="AE47" s="88">
        <f>AC$11*'Mkt share'!$E$45</f>
        <v>0</v>
      </c>
      <c r="AH47" s="87" t="s">
        <v>172</v>
      </c>
      <c r="AI47" s="103"/>
      <c r="AJ47" s="103"/>
      <c r="AK47" s="80">
        <f>AK$7*'Mkt share'!$E$46</f>
        <v>262435.08603713982</v>
      </c>
      <c r="AL47" s="80">
        <f>AK$8*'Mkt share'!$E$46</f>
        <v>262435.08603713982</v>
      </c>
      <c r="AM47" s="88">
        <f>AK$11*'Mkt share'!$E$46</f>
        <v>262435.08603713982</v>
      </c>
      <c r="AP47" s="87" t="s">
        <v>172</v>
      </c>
      <c r="AQ47" s="103"/>
      <c r="AR47" s="103"/>
      <c r="AS47" s="80">
        <f>AS$7*'Mkt share'!$E$47</f>
        <v>0</v>
      </c>
      <c r="AT47" s="80">
        <f>AS$8*'Mkt share'!$E$47</f>
        <v>0</v>
      </c>
      <c r="AU47" s="88">
        <f>AS$11*'Mkt share'!$E$47</f>
        <v>0</v>
      </c>
      <c r="AX47" s="87" t="s">
        <v>172</v>
      </c>
      <c r="AY47" s="103"/>
      <c r="AZ47" s="103"/>
      <c r="BA47" s="80">
        <f>BA$7*'Mkt share'!$E$48</f>
        <v>0</v>
      </c>
      <c r="BB47" s="80">
        <f>BA$8*'Mkt share'!$E$48</f>
        <v>0</v>
      </c>
      <c r="BC47" s="88">
        <f>BA$11*'Mkt share'!$E$48</f>
        <v>0</v>
      </c>
      <c r="BF47" s="87" t="s">
        <v>172</v>
      </c>
      <c r="BG47" s="103"/>
      <c r="BH47" s="103"/>
      <c r="BI47" s="80">
        <f>BI$7*'Mkt share'!$E$49</f>
        <v>0</v>
      </c>
      <c r="BJ47" s="80">
        <f>BI$8*'Mkt share'!$E$49</f>
        <v>0</v>
      </c>
      <c r="BK47" s="88">
        <f>BI$11*'Mkt share'!$E$49</f>
        <v>0</v>
      </c>
      <c r="BN47" s="87" t="s">
        <v>172</v>
      </c>
      <c r="BO47" s="103"/>
      <c r="BP47" s="103"/>
      <c r="BQ47" s="80">
        <f>BQ$7*'Mkt share'!$E$50</f>
        <v>0</v>
      </c>
      <c r="BR47" s="80">
        <f>BQ$8*'Mkt share'!$E$50</f>
        <v>0</v>
      </c>
      <c r="BS47" s="88">
        <f>BQ$11*'Mkt share'!$E$50</f>
        <v>0</v>
      </c>
      <c r="BV47" s="87" t="s">
        <v>172</v>
      </c>
      <c r="BW47" s="103"/>
      <c r="BX47" s="103"/>
      <c r="BY47" s="80">
        <f>BY$7*'Mkt share'!$E$51</f>
        <v>0</v>
      </c>
      <c r="BZ47" s="80">
        <f>BY$8*'Mkt share'!$E$51</f>
        <v>0</v>
      </c>
      <c r="CA47" s="88">
        <f>BY$11*'Mkt share'!$E$51</f>
        <v>0</v>
      </c>
      <c r="CD47" s="87" t="s">
        <v>172</v>
      </c>
      <c r="CE47" s="103"/>
      <c r="CF47" s="103"/>
      <c r="CG47" s="80">
        <f>CG$7*'Mkt share'!$E$52</f>
        <v>0</v>
      </c>
      <c r="CH47" s="80">
        <f>CG$8*'Mkt share'!$E$52</f>
        <v>0</v>
      </c>
      <c r="CI47" s="88">
        <f>CG$11*'Mkt share'!$E$52</f>
        <v>0</v>
      </c>
      <c r="CL47" s="87" t="s">
        <v>172</v>
      </c>
      <c r="CM47" s="103"/>
      <c r="CN47" s="103"/>
      <c r="CO47" s="80">
        <f>CO$7*'Mkt share'!$E$53</f>
        <v>0</v>
      </c>
      <c r="CP47" s="80">
        <f>CO$8*'Mkt share'!$E$53</f>
        <v>0</v>
      </c>
      <c r="CQ47" s="88">
        <f>CO$11*'Mkt share'!$E$53</f>
        <v>0</v>
      </c>
      <c r="CT47" s="87" t="s">
        <v>172</v>
      </c>
      <c r="CU47" s="103"/>
      <c r="CV47" s="103"/>
      <c r="CW47" s="80">
        <f>CW$7*'Mkt share'!$E$54</f>
        <v>0</v>
      </c>
      <c r="CX47" s="80">
        <f>CW$8*'Mkt share'!$E$54</f>
        <v>0</v>
      </c>
      <c r="CY47" s="88">
        <f>CW$11*'Mkt share'!$E$54</f>
        <v>0</v>
      </c>
      <c r="DB47" s="87" t="s">
        <v>172</v>
      </c>
      <c r="DC47" s="103"/>
      <c r="DD47" s="103"/>
      <c r="DE47" s="80">
        <f>DE$7*'Mkt share'!$E$55</f>
        <v>0</v>
      </c>
      <c r="DF47" s="80">
        <f>DE$8*'Mkt share'!$E$55</f>
        <v>0</v>
      </c>
      <c r="DG47" s="88">
        <f>DE$11*'Mkt share'!$E$55</f>
        <v>0</v>
      </c>
    </row>
    <row r="48" spans="2:111">
      <c r="B48" s="87" t="s">
        <v>177</v>
      </c>
      <c r="C48" s="103"/>
      <c r="D48" s="103"/>
      <c r="E48" s="105">
        <v>0</v>
      </c>
      <c r="F48" s="80">
        <f>E$10*'Mkt share'!$E$42</f>
        <v>0</v>
      </c>
      <c r="G48" s="88">
        <f>E$13*'Mkt share'!$E$42</f>
        <v>0</v>
      </c>
      <c r="J48" s="87" t="s">
        <v>177</v>
      </c>
      <c r="K48" s="103"/>
      <c r="L48" s="103"/>
      <c r="M48" s="105">
        <v>0</v>
      </c>
      <c r="N48" s="80">
        <f>M$10*'Mkt share'!$E$43</f>
        <v>0</v>
      </c>
      <c r="O48" s="88">
        <f>M$13*'Mkt share'!$E$43</f>
        <v>0</v>
      </c>
      <c r="R48" s="87" t="s">
        <v>177</v>
      </c>
      <c r="S48" s="103"/>
      <c r="T48" s="103"/>
      <c r="U48" s="105">
        <v>0</v>
      </c>
      <c r="V48" s="80">
        <f>U$10*'Mkt share'!$E$44</f>
        <v>0</v>
      </c>
      <c r="W48" s="88">
        <f>U$13*'Mkt share'!$E$44</f>
        <v>0</v>
      </c>
      <c r="Z48" s="87" t="s">
        <v>177</v>
      </c>
      <c r="AA48" s="103"/>
      <c r="AB48" s="103"/>
      <c r="AC48" s="105">
        <v>0</v>
      </c>
      <c r="AD48" s="80">
        <f>AC$10*'Mkt share'!$E$45</f>
        <v>0</v>
      </c>
      <c r="AE48" s="88">
        <f>AC$13*'Mkt share'!$E$45</f>
        <v>0</v>
      </c>
      <c r="AH48" s="87" t="s">
        <v>177</v>
      </c>
      <c r="AI48" s="103"/>
      <c r="AJ48" s="103"/>
      <c r="AK48" s="105">
        <v>0</v>
      </c>
      <c r="AL48" s="80">
        <f>AK$10*'Mkt share'!$E$46</f>
        <v>0</v>
      </c>
      <c r="AM48" s="88">
        <f>AK$13*'Mkt share'!$E$46</f>
        <v>0</v>
      </c>
      <c r="AP48" s="87" t="s">
        <v>177</v>
      </c>
      <c r="AQ48" s="103"/>
      <c r="AR48" s="103"/>
      <c r="AS48" s="105">
        <v>0</v>
      </c>
      <c r="AT48" s="80">
        <f>AS$10*'Mkt share'!$E$47</f>
        <v>0</v>
      </c>
      <c r="AU48" s="88">
        <f>AS$13*'Mkt share'!$E$47</f>
        <v>0</v>
      </c>
      <c r="AX48" s="87" t="s">
        <v>177</v>
      </c>
      <c r="AY48" s="103"/>
      <c r="AZ48" s="103"/>
      <c r="BA48" s="105">
        <v>0</v>
      </c>
      <c r="BB48" s="80">
        <f>BA$10*'Mkt share'!$E$48</f>
        <v>0</v>
      </c>
      <c r="BC48" s="88">
        <f>BA$13*'Mkt share'!$E$48</f>
        <v>0</v>
      </c>
      <c r="BF48" s="87" t="s">
        <v>177</v>
      </c>
      <c r="BG48" s="103"/>
      <c r="BH48" s="103"/>
      <c r="BI48" s="105">
        <v>0</v>
      </c>
      <c r="BJ48" s="80">
        <f>BI$10*'Mkt share'!$E$49</f>
        <v>0</v>
      </c>
      <c r="BK48" s="88">
        <f>BI$13*'Mkt share'!$E$49</f>
        <v>0</v>
      </c>
      <c r="BN48" s="87" t="s">
        <v>177</v>
      </c>
      <c r="BO48" s="103"/>
      <c r="BP48" s="103"/>
      <c r="BQ48" s="105">
        <v>0</v>
      </c>
      <c r="BR48" s="80">
        <f>BQ$10*'Mkt share'!$E$50</f>
        <v>0</v>
      </c>
      <c r="BS48" s="88">
        <f>BQ$13*'Mkt share'!$E$50</f>
        <v>0</v>
      </c>
      <c r="BV48" s="87" t="s">
        <v>177</v>
      </c>
      <c r="BW48" s="103"/>
      <c r="BX48" s="103"/>
      <c r="BY48" s="105">
        <v>0</v>
      </c>
      <c r="BZ48" s="80">
        <f>BY$10*'Mkt share'!$E$51</f>
        <v>0</v>
      </c>
      <c r="CA48" s="88">
        <f>BY$13*'Mkt share'!$E$51</f>
        <v>0</v>
      </c>
      <c r="CD48" s="87" t="s">
        <v>177</v>
      </c>
      <c r="CE48" s="103"/>
      <c r="CF48" s="103"/>
      <c r="CG48" s="105">
        <v>0</v>
      </c>
      <c r="CH48" s="80">
        <f>CG$10*'Mkt share'!$E$52</f>
        <v>0</v>
      </c>
      <c r="CI48" s="88">
        <f>CG$13*'Mkt share'!$E$52</f>
        <v>0</v>
      </c>
      <c r="CL48" s="87" t="s">
        <v>177</v>
      </c>
      <c r="CM48" s="103"/>
      <c r="CN48" s="103"/>
      <c r="CO48" s="105">
        <v>0</v>
      </c>
      <c r="CP48" s="80">
        <f>CO$10*'Mkt share'!$E$53</f>
        <v>0</v>
      </c>
      <c r="CQ48" s="88">
        <f>CO$13*'Mkt share'!$E$53</f>
        <v>0</v>
      </c>
      <c r="CT48" s="87" t="s">
        <v>177</v>
      </c>
      <c r="CU48" s="103"/>
      <c r="CV48" s="103"/>
      <c r="CW48" s="105">
        <v>0</v>
      </c>
      <c r="CX48" s="80">
        <f>CW$10*'Mkt share'!$E$54</f>
        <v>0</v>
      </c>
      <c r="CY48" s="88">
        <f>CW$13*'Mkt share'!$E$54</f>
        <v>0</v>
      </c>
      <c r="DB48" s="87" t="s">
        <v>177</v>
      </c>
      <c r="DC48" s="103"/>
      <c r="DD48" s="103"/>
      <c r="DE48" s="105">
        <v>0</v>
      </c>
      <c r="DF48" s="80">
        <f>DE$10*'Mkt share'!$E$55</f>
        <v>0</v>
      </c>
      <c r="DG48" s="88">
        <f>DE$13*'Mkt share'!$E$55</f>
        <v>0</v>
      </c>
    </row>
    <row r="49" spans="2:111">
      <c r="B49" s="87" t="s">
        <v>173</v>
      </c>
      <c r="C49" s="103"/>
      <c r="D49" s="103"/>
      <c r="E49" s="103"/>
      <c r="F49" s="80">
        <f>F$7*'Mkt share'!$F$42</f>
        <v>61458.538616673963</v>
      </c>
      <c r="G49" s="88">
        <f>F$8*'Mkt share'!$F$42</f>
        <v>61458.538616673963</v>
      </c>
      <c r="J49" s="87" t="s">
        <v>173</v>
      </c>
      <c r="K49" s="103"/>
      <c r="L49" s="103"/>
      <c r="M49" s="103"/>
      <c r="N49" s="80">
        <f>N$7*'Mkt share'!$F$43</f>
        <v>0</v>
      </c>
      <c r="O49" s="88">
        <f>N$8*'Mkt share'!$F$43</f>
        <v>0</v>
      </c>
      <c r="R49" s="87" t="s">
        <v>173</v>
      </c>
      <c r="S49" s="103"/>
      <c r="T49" s="103"/>
      <c r="U49" s="103"/>
      <c r="V49" s="80">
        <f>V$7*'Mkt share'!$F$44</f>
        <v>0</v>
      </c>
      <c r="W49" s="88">
        <f>V$8*'Mkt share'!$F$44</f>
        <v>0</v>
      </c>
      <c r="Z49" s="87" t="s">
        <v>173</v>
      </c>
      <c r="AA49" s="103"/>
      <c r="AB49" s="103"/>
      <c r="AC49" s="103"/>
      <c r="AD49" s="80">
        <f>AD$7*'Mkt share'!$F$45</f>
        <v>0</v>
      </c>
      <c r="AE49" s="88">
        <f>AD$8*'Mkt share'!$F$45</f>
        <v>0</v>
      </c>
      <c r="AH49" s="87" t="s">
        <v>173</v>
      </c>
      <c r="AI49" s="103"/>
      <c r="AJ49" s="103"/>
      <c r="AK49" s="103"/>
      <c r="AL49" s="80">
        <f>AL$7*'Mkt share'!$F$46</f>
        <v>245834.15446669585</v>
      </c>
      <c r="AM49" s="88">
        <f>AL$8*'Mkt share'!$F$46</f>
        <v>245834.15446669585</v>
      </c>
      <c r="AP49" s="87" t="s">
        <v>173</v>
      </c>
      <c r="AQ49" s="103"/>
      <c r="AR49" s="103"/>
      <c r="AS49" s="103"/>
      <c r="AT49" s="80">
        <f>AT$7*'Mkt share'!$F$47</f>
        <v>0</v>
      </c>
      <c r="AU49" s="88">
        <f>AT$8*'Mkt share'!$F$47</f>
        <v>0</v>
      </c>
      <c r="AX49" s="87" t="s">
        <v>173</v>
      </c>
      <c r="AY49" s="103"/>
      <c r="AZ49" s="103"/>
      <c r="BA49" s="103"/>
      <c r="BB49" s="80">
        <f>BB$7*'Mkt share'!$F$48</f>
        <v>0</v>
      </c>
      <c r="BC49" s="88">
        <f>BB$8*'Mkt share'!$F$48</f>
        <v>0</v>
      </c>
      <c r="BF49" s="87" t="s">
        <v>173</v>
      </c>
      <c r="BG49" s="103"/>
      <c r="BH49" s="103"/>
      <c r="BI49" s="103"/>
      <c r="BJ49" s="80">
        <f>BJ$7*'Mkt share'!$F$49</f>
        <v>0</v>
      </c>
      <c r="BK49" s="88">
        <f>BJ$8*'Mkt share'!$F$49</f>
        <v>0</v>
      </c>
      <c r="BN49" s="87" t="s">
        <v>173</v>
      </c>
      <c r="BO49" s="103"/>
      <c r="BP49" s="103"/>
      <c r="BQ49" s="103"/>
      <c r="BR49" s="80">
        <f>BR$7*'Mkt share'!$F$50</f>
        <v>0</v>
      </c>
      <c r="BS49" s="88">
        <f>BR$8*'Mkt share'!$F$50</f>
        <v>0</v>
      </c>
      <c r="BV49" s="87" t="s">
        <v>173</v>
      </c>
      <c r="BW49" s="103"/>
      <c r="BX49" s="103"/>
      <c r="BY49" s="103"/>
      <c r="BZ49" s="80">
        <f>BZ$7*'Mkt share'!$F$51</f>
        <v>0</v>
      </c>
      <c r="CA49" s="88">
        <f>BZ$8*'Mkt share'!$F$51</f>
        <v>0</v>
      </c>
      <c r="CD49" s="87" t="s">
        <v>173</v>
      </c>
      <c r="CE49" s="103"/>
      <c r="CF49" s="103"/>
      <c r="CG49" s="103"/>
      <c r="CH49" s="80">
        <f>CH$7*'Mkt share'!$F$52</f>
        <v>0</v>
      </c>
      <c r="CI49" s="88">
        <f>CH$8*'Mkt share'!$F$52</f>
        <v>0</v>
      </c>
      <c r="CL49" s="87" t="s">
        <v>173</v>
      </c>
      <c r="CM49" s="103"/>
      <c r="CN49" s="103"/>
      <c r="CO49" s="103"/>
      <c r="CP49" s="80">
        <f>CP$7*'Mkt share'!$F$53</f>
        <v>0</v>
      </c>
      <c r="CQ49" s="88">
        <f>CP$8*'Mkt share'!$F$53</f>
        <v>0</v>
      </c>
      <c r="CT49" s="87" t="s">
        <v>173</v>
      </c>
      <c r="CU49" s="103"/>
      <c r="CV49" s="103"/>
      <c r="CW49" s="103"/>
      <c r="CX49" s="80">
        <f>CX$7*'Mkt share'!$F$54</f>
        <v>0</v>
      </c>
      <c r="CY49" s="88">
        <f>CX$8*'Mkt share'!$F$54</f>
        <v>0</v>
      </c>
      <c r="DB49" s="87" t="s">
        <v>173</v>
      </c>
      <c r="DC49" s="103"/>
      <c r="DD49" s="103"/>
      <c r="DE49" s="103"/>
      <c r="DF49" s="80">
        <f>DF$7*'Mkt share'!$F$55</f>
        <v>0</v>
      </c>
      <c r="DG49" s="88">
        <f>DF$8*'Mkt share'!$F$55</f>
        <v>0</v>
      </c>
    </row>
    <row r="50" spans="2:111">
      <c r="B50" s="87" t="s">
        <v>178</v>
      </c>
      <c r="C50" s="103"/>
      <c r="D50" s="103"/>
      <c r="E50" s="103"/>
      <c r="F50" s="105">
        <v>0</v>
      </c>
      <c r="G50" s="88">
        <f>F$10*'Mkt share'!$F$42</f>
        <v>0</v>
      </c>
      <c r="J50" s="87" t="s">
        <v>178</v>
      </c>
      <c r="K50" s="103"/>
      <c r="L50" s="103"/>
      <c r="M50" s="103"/>
      <c r="N50" s="105">
        <v>0</v>
      </c>
      <c r="O50" s="88">
        <f>N$10*'Mkt share'!$F$43</f>
        <v>0</v>
      </c>
      <c r="R50" s="87" t="s">
        <v>178</v>
      </c>
      <c r="S50" s="103"/>
      <c r="T50" s="103"/>
      <c r="U50" s="103"/>
      <c r="V50" s="105">
        <v>0</v>
      </c>
      <c r="W50" s="88">
        <f>V$10*'Mkt share'!$F$44</f>
        <v>0</v>
      </c>
      <c r="Z50" s="87" t="s">
        <v>178</v>
      </c>
      <c r="AA50" s="103"/>
      <c r="AB50" s="103"/>
      <c r="AC50" s="103"/>
      <c r="AD50" s="105">
        <v>0</v>
      </c>
      <c r="AE50" s="88">
        <f>AD$10*'Mkt share'!$F$45</f>
        <v>0</v>
      </c>
      <c r="AH50" s="87" t="s">
        <v>178</v>
      </c>
      <c r="AI50" s="103"/>
      <c r="AJ50" s="103"/>
      <c r="AK50" s="103"/>
      <c r="AL50" s="105">
        <v>0</v>
      </c>
      <c r="AM50" s="88">
        <f>AL$10*'Mkt share'!$F$46</f>
        <v>0</v>
      </c>
      <c r="AP50" s="87" t="s">
        <v>178</v>
      </c>
      <c r="AQ50" s="103"/>
      <c r="AR50" s="103"/>
      <c r="AS50" s="103"/>
      <c r="AT50" s="105">
        <v>0</v>
      </c>
      <c r="AU50" s="88">
        <f>AT$10*'Mkt share'!$F$47</f>
        <v>0</v>
      </c>
      <c r="AX50" s="87" t="s">
        <v>178</v>
      </c>
      <c r="AY50" s="103"/>
      <c r="AZ50" s="103"/>
      <c r="BA50" s="103"/>
      <c r="BB50" s="105">
        <v>0</v>
      </c>
      <c r="BC50" s="88">
        <f>BB$10*'Mkt share'!$F$48</f>
        <v>0</v>
      </c>
      <c r="BF50" s="87" t="s">
        <v>178</v>
      </c>
      <c r="BG50" s="103"/>
      <c r="BH50" s="103"/>
      <c r="BI50" s="103"/>
      <c r="BJ50" s="105">
        <v>0</v>
      </c>
      <c r="BK50" s="88">
        <f>BJ$10*'Mkt share'!$F$49</f>
        <v>0</v>
      </c>
      <c r="BN50" s="87" t="s">
        <v>178</v>
      </c>
      <c r="BO50" s="103"/>
      <c r="BP50" s="103"/>
      <c r="BQ50" s="103"/>
      <c r="BR50" s="105">
        <v>0</v>
      </c>
      <c r="BS50" s="88">
        <f>BR$10*'Mkt share'!$F$50</f>
        <v>0</v>
      </c>
      <c r="BV50" s="87" t="s">
        <v>178</v>
      </c>
      <c r="BW50" s="103"/>
      <c r="BX50" s="103"/>
      <c r="BY50" s="103"/>
      <c r="BZ50" s="105">
        <v>0</v>
      </c>
      <c r="CA50" s="88">
        <f>BZ$10*'Mkt share'!$F$51</f>
        <v>0</v>
      </c>
      <c r="CD50" s="87" t="s">
        <v>178</v>
      </c>
      <c r="CE50" s="103"/>
      <c r="CF50" s="103"/>
      <c r="CG50" s="103"/>
      <c r="CH50" s="105">
        <v>0</v>
      </c>
      <c r="CI50" s="88">
        <f>CH$10*'Mkt share'!$F$52</f>
        <v>0</v>
      </c>
      <c r="CL50" s="87" t="s">
        <v>178</v>
      </c>
      <c r="CM50" s="103"/>
      <c r="CN50" s="103"/>
      <c r="CO50" s="103"/>
      <c r="CP50" s="105">
        <v>0</v>
      </c>
      <c r="CQ50" s="88">
        <f>CP$10*'Mkt share'!$F$53</f>
        <v>0</v>
      </c>
      <c r="CT50" s="87" t="s">
        <v>178</v>
      </c>
      <c r="CU50" s="103"/>
      <c r="CV50" s="103"/>
      <c r="CW50" s="103"/>
      <c r="CX50" s="105">
        <v>0</v>
      </c>
      <c r="CY50" s="88">
        <f>CX$10*'Mkt share'!$F$54</f>
        <v>0</v>
      </c>
      <c r="DB50" s="87" t="s">
        <v>178</v>
      </c>
      <c r="DC50" s="103"/>
      <c r="DD50" s="103"/>
      <c r="DE50" s="103"/>
      <c r="DF50" s="105">
        <v>0</v>
      </c>
      <c r="DG50" s="88">
        <f>DF$10*'Mkt share'!$F$55</f>
        <v>0</v>
      </c>
    </row>
    <row r="51" spans="2:111">
      <c r="B51" s="87" t="s">
        <v>174</v>
      </c>
      <c r="C51" s="103"/>
      <c r="D51" s="103"/>
      <c r="E51" s="103"/>
      <c r="F51" s="103"/>
      <c r="G51" s="88">
        <f>G$7*'Mkt share'!$G$42</f>
        <v>76365.625014754303</v>
      </c>
      <c r="J51" s="87" t="s">
        <v>174</v>
      </c>
      <c r="K51" s="103"/>
      <c r="L51" s="103"/>
      <c r="M51" s="103"/>
      <c r="N51" s="103"/>
      <c r="O51" s="88">
        <f>O$7*'Mkt share'!$G$43</f>
        <v>0</v>
      </c>
      <c r="R51" s="87" t="s">
        <v>174</v>
      </c>
      <c r="S51" s="103"/>
      <c r="T51" s="103"/>
      <c r="U51" s="103"/>
      <c r="V51" s="103"/>
      <c r="W51" s="88">
        <f>W$7*'Mkt share'!$G$44</f>
        <v>0</v>
      </c>
      <c r="Z51" s="87" t="s">
        <v>174</v>
      </c>
      <c r="AA51" s="103"/>
      <c r="AB51" s="103"/>
      <c r="AC51" s="103"/>
      <c r="AD51" s="103"/>
      <c r="AE51" s="88">
        <f>AE$7*'Mkt share'!$G$45</f>
        <v>0</v>
      </c>
      <c r="AH51" s="87" t="s">
        <v>174</v>
      </c>
      <c r="AI51" s="103"/>
      <c r="AJ51" s="103"/>
      <c r="AK51" s="103"/>
      <c r="AL51" s="103"/>
      <c r="AM51" s="88">
        <f>AM$7*'Mkt share'!$G$46</f>
        <v>229096.87504426291</v>
      </c>
      <c r="AP51" s="87" t="s">
        <v>174</v>
      </c>
      <c r="AQ51" s="103"/>
      <c r="AR51" s="103"/>
      <c r="AS51" s="103"/>
      <c r="AT51" s="103"/>
      <c r="AU51" s="88">
        <f>AU$7*'Mkt share'!$G$47</f>
        <v>0</v>
      </c>
      <c r="AX51" s="87" t="s">
        <v>174</v>
      </c>
      <c r="AY51" s="103"/>
      <c r="AZ51" s="103"/>
      <c r="BA51" s="103"/>
      <c r="BB51" s="103"/>
      <c r="BC51" s="88">
        <f>BC$7*'Mkt share'!$G$48</f>
        <v>0</v>
      </c>
      <c r="BF51" s="87" t="s">
        <v>174</v>
      </c>
      <c r="BG51" s="103"/>
      <c r="BH51" s="103"/>
      <c r="BI51" s="103"/>
      <c r="BJ51" s="103"/>
      <c r="BK51" s="88">
        <f>BK$7*'Mkt share'!$G$49</f>
        <v>0</v>
      </c>
      <c r="BN51" s="87" t="s">
        <v>174</v>
      </c>
      <c r="BO51" s="103"/>
      <c r="BP51" s="103"/>
      <c r="BQ51" s="103"/>
      <c r="BR51" s="103"/>
      <c r="BS51" s="88">
        <f>BS$7*'Mkt share'!$G$50</f>
        <v>0</v>
      </c>
      <c r="BV51" s="87" t="s">
        <v>174</v>
      </c>
      <c r="BW51" s="103"/>
      <c r="BX51" s="103"/>
      <c r="BY51" s="103"/>
      <c r="BZ51" s="103"/>
      <c r="CA51" s="88">
        <f>CA$7*'Mkt share'!$G$51</f>
        <v>0</v>
      </c>
      <c r="CD51" s="87" t="s">
        <v>174</v>
      </c>
      <c r="CE51" s="103"/>
      <c r="CF51" s="103"/>
      <c r="CG51" s="103"/>
      <c r="CH51" s="103"/>
      <c r="CI51" s="88">
        <f>CI$7*'Mkt share'!$G$52</f>
        <v>0</v>
      </c>
      <c r="CL51" s="87" t="s">
        <v>174</v>
      </c>
      <c r="CM51" s="103"/>
      <c r="CN51" s="103"/>
      <c r="CO51" s="103"/>
      <c r="CP51" s="103"/>
      <c r="CQ51" s="88">
        <f>CQ$7*'Mkt share'!$G$53</f>
        <v>0</v>
      </c>
      <c r="CT51" s="87" t="s">
        <v>174</v>
      </c>
      <c r="CU51" s="103"/>
      <c r="CV51" s="103"/>
      <c r="CW51" s="103"/>
      <c r="CX51" s="103"/>
      <c r="CY51" s="88">
        <f>CY$7*'Mkt share'!$G$54</f>
        <v>0</v>
      </c>
      <c r="DB51" s="87" t="s">
        <v>174</v>
      </c>
      <c r="DC51" s="103"/>
      <c r="DD51" s="103"/>
      <c r="DE51" s="103"/>
      <c r="DF51" s="103"/>
      <c r="DG51" s="88">
        <f>DG$7*'Mkt share'!$G$55</f>
        <v>0</v>
      </c>
    </row>
    <row r="52" spans="2:111" ht="15" thickBot="1">
      <c r="B52" s="87" t="s">
        <v>179</v>
      </c>
      <c r="C52" s="103"/>
      <c r="D52" s="103"/>
      <c r="E52" s="103"/>
      <c r="F52" s="103"/>
      <c r="G52" s="106">
        <v>0</v>
      </c>
      <c r="J52" s="87" t="s">
        <v>179</v>
      </c>
      <c r="K52" s="103"/>
      <c r="L52" s="103"/>
      <c r="M52" s="103"/>
      <c r="N52" s="103"/>
      <c r="O52" s="106">
        <v>0</v>
      </c>
      <c r="R52" s="87" t="s">
        <v>179</v>
      </c>
      <c r="S52" s="103"/>
      <c r="T52" s="103"/>
      <c r="U52" s="103"/>
      <c r="V52" s="103"/>
      <c r="W52" s="106">
        <v>0</v>
      </c>
      <c r="Z52" s="87" t="s">
        <v>179</v>
      </c>
      <c r="AA52" s="103"/>
      <c r="AB52" s="103"/>
      <c r="AC52" s="103"/>
      <c r="AD52" s="103"/>
      <c r="AE52" s="106">
        <v>0</v>
      </c>
      <c r="AH52" s="87" t="s">
        <v>179</v>
      </c>
      <c r="AI52" s="103"/>
      <c r="AJ52" s="103"/>
      <c r="AK52" s="103"/>
      <c r="AL52" s="103"/>
      <c r="AM52" s="106">
        <v>0</v>
      </c>
      <c r="AP52" s="87" t="s">
        <v>179</v>
      </c>
      <c r="AQ52" s="103"/>
      <c r="AR52" s="103"/>
      <c r="AS52" s="103"/>
      <c r="AT52" s="103"/>
      <c r="AU52" s="106">
        <v>0</v>
      </c>
      <c r="AX52" s="87" t="s">
        <v>179</v>
      </c>
      <c r="AY52" s="103"/>
      <c r="AZ52" s="103"/>
      <c r="BA52" s="103"/>
      <c r="BB52" s="103"/>
      <c r="BC52" s="106">
        <v>0</v>
      </c>
      <c r="BF52" s="87" t="s">
        <v>179</v>
      </c>
      <c r="BG52" s="103"/>
      <c r="BH52" s="103"/>
      <c r="BI52" s="103"/>
      <c r="BJ52" s="103"/>
      <c r="BK52" s="106">
        <v>0</v>
      </c>
      <c r="BN52" s="87" t="s">
        <v>179</v>
      </c>
      <c r="BO52" s="103"/>
      <c r="BP52" s="103"/>
      <c r="BQ52" s="103"/>
      <c r="BR52" s="103"/>
      <c r="BS52" s="106">
        <v>0</v>
      </c>
      <c r="BV52" s="87" t="s">
        <v>179</v>
      </c>
      <c r="BW52" s="103"/>
      <c r="BX52" s="103"/>
      <c r="BY52" s="103"/>
      <c r="BZ52" s="103"/>
      <c r="CA52" s="106">
        <v>0</v>
      </c>
      <c r="CD52" s="87" t="s">
        <v>179</v>
      </c>
      <c r="CE52" s="103"/>
      <c r="CF52" s="103"/>
      <c r="CG52" s="103"/>
      <c r="CH52" s="103"/>
      <c r="CI52" s="106">
        <v>0</v>
      </c>
      <c r="CL52" s="87" t="s">
        <v>179</v>
      </c>
      <c r="CM52" s="103"/>
      <c r="CN52" s="103"/>
      <c r="CO52" s="103"/>
      <c r="CP52" s="103"/>
      <c r="CQ52" s="106">
        <v>0</v>
      </c>
      <c r="CT52" s="87" t="s">
        <v>179</v>
      </c>
      <c r="CU52" s="103"/>
      <c r="CV52" s="103"/>
      <c r="CW52" s="103"/>
      <c r="CX52" s="103"/>
      <c r="CY52" s="106">
        <v>0</v>
      </c>
      <c r="DB52" s="87" t="s">
        <v>179</v>
      </c>
      <c r="DC52" s="103"/>
      <c r="DD52" s="103"/>
      <c r="DE52" s="103"/>
      <c r="DF52" s="103"/>
      <c r="DG52" s="106">
        <v>0</v>
      </c>
    </row>
    <row r="53" spans="2:111" ht="15" thickBot="1">
      <c r="B53" s="89" t="s">
        <v>114</v>
      </c>
      <c r="C53" s="90">
        <f>SUM(C43:C52)</f>
        <v>15554.026999110258</v>
      </c>
      <c r="D53" s="90">
        <f>SUM(D43:D51)</f>
        <v>46549.977471077291</v>
      </c>
      <c r="E53" s="90">
        <f>SUM(E43:E51)</f>
        <v>92862.051477631379</v>
      </c>
      <c r="F53" s="90">
        <f>SUM(F43:F51)</f>
        <v>154320.59009430534</v>
      </c>
      <c r="G53" s="91">
        <f>SUM(G43:G52)</f>
        <v>230686.21510905965</v>
      </c>
      <c r="J53" s="89" t="s">
        <v>114</v>
      </c>
      <c r="K53" s="90">
        <f>SUM(K43:K52)</f>
        <v>0</v>
      </c>
      <c r="L53" s="90">
        <f>SUM(L43:L51)</f>
        <v>0</v>
      </c>
      <c r="M53" s="90">
        <f>SUM(M43:M51)</f>
        <v>0</v>
      </c>
      <c r="N53" s="90">
        <f>SUM(N43:N51)</f>
        <v>0</v>
      </c>
      <c r="O53" s="91">
        <f>SUM(O43:O52)</f>
        <v>0</v>
      </c>
      <c r="R53" s="89" t="s">
        <v>114</v>
      </c>
      <c r="S53" s="90">
        <f>SUM(S43:S52)</f>
        <v>0</v>
      </c>
      <c r="T53" s="90">
        <f>SUM(T43:T51)</f>
        <v>0</v>
      </c>
      <c r="U53" s="90">
        <f>SUM(U43:U51)</f>
        <v>0</v>
      </c>
      <c r="V53" s="90">
        <f>SUM(V43:V51)</f>
        <v>0</v>
      </c>
      <c r="W53" s="91">
        <f>SUM(W43:W52)</f>
        <v>0</v>
      </c>
      <c r="Z53" s="89" t="s">
        <v>114</v>
      </c>
      <c r="AA53" s="90">
        <f>SUM(AA43:AA52)</f>
        <v>0</v>
      </c>
      <c r="AB53" s="90">
        <f>SUM(AB43:AB51)</f>
        <v>0</v>
      </c>
      <c r="AC53" s="90">
        <f>SUM(AC43:AC51)</f>
        <v>0</v>
      </c>
      <c r="AD53" s="90">
        <f>SUM(AD43:AD51)</f>
        <v>0</v>
      </c>
      <c r="AE53" s="91">
        <f>SUM(AE43:AE52)</f>
        <v>0</v>
      </c>
      <c r="AH53" s="89" t="s">
        <v>114</v>
      </c>
      <c r="AI53" s="90">
        <f>SUM(AI43:AI52)</f>
        <v>295526.51298309484</v>
      </c>
      <c r="AJ53" s="90">
        <f>SUM(AJ43:AJ51)</f>
        <v>574490.06723079807</v>
      </c>
      <c r="AK53" s="90">
        <f>SUM(AK43:AK51)</f>
        <v>836925.15326793795</v>
      </c>
      <c r="AL53" s="90">
        <f>SUM(AL43:AL51)</f>
        <v>1082759.3077346338</v>
      </c>
      <c r="AM53" s="91">
        <f>SUM(AM43:AM52)</f>
        <v>1311856.1827788968</v>
      </c>
      <c r="AP53" s="89" t="s">
        <v>114</v>
      </c>
      <c r="AQ53" s="90">
        <f>SUM(AQ43:AQ52)</f>
        <v>0</v>
      </c>
      <c r="AR53" s="90">
        <f>SUM(AR43:AR51)</f>
        <v>0</v>
      </c>
      <c r="AS53" s="90">
        <f>SUM(AS43:AS51)</f>
        <v>0</v>
      </c>
      <c r="AT53" s="90">
        <f>SUM(AT43:AT51)</f>
        <v>0</v>
      </c>
      <c r="AU53" s="91">
        <f>SUM(AU43:AU52)</f>
        <v>0</v>
      </c>
      <c r="AX53" s="89" t="s">
        <v>114</v>
      </c>
      <c r="AY53" s="90">
        <f>SUM(AY43:AY52)</f>
        <v>0</v>
      </c>
      <c r="AZ53" s="90">
        <f>SUM(AZ43:AZ51)</f>
        <v>0</v>
      </c>
      <c r="BA53" s="90">
        <f>SUM(BA43:BA51)</f>
        <v>0</v>
      </c>
      <c r="BB53" s="90">
        <f>SUM(BB43:BB51)</f>
        <v>0</v>
      </c>
      <c r="BC53" s="91">
        <f>SUM(BC43:BC52)</f>
        <v>0</v>
      </c>
      <c r="BF53" s="89" t="s">
        <v>114</v>
      </c>
      <c r="BG53" s="90">
        <f>SUM(BG43:BG52)</f>
        <v>0</v>
      </c>
      <c r="BH53" s="90">
        <f>SUM(BH43:BH51)</f>
        <v>0</v>
      </c>
      <c r="BI53" s="90">
        <f>SUM(BI43:BI51)</f>
        <v>0</v>
      </c>
      <c r="BJ53" s="90">
        <f>SUM(BJ43:BJ51)</f>
        <v>0</v>
      </c>
      <c r="BK53" s="91">
        <f>SUM(BK43:BK52)</f>
        <v>0</v>
      </c>
      <c r="BN53" s="89" t="s">
        <v>114</v>
      </c>
      <c r="BO53" s="90">
        <f>SUM(BO43:BO52)</f>
        <v>0</v>
      </c>
      <c r="BP53" s="90">
        <f>SUM(BP43:BP51)</f>
        <v>0</v>
      </c>
      <c r="BQ53" s="90">
        <f>SUM(BQ43:BQ51)</f>
        <v>0</v>
      </c>
      <c r="BR53" s="90">
        <f>SUM(BR43:BR51)</f>
        <v>0</v>
      </c>
      <c r="BS53" s="91">
        <f>SUM(BS43:BS52)</f>
        <v>0</v>
      </c>
      <c r="BV53" s="89" t="s">
        <v>114</v>
      </c>
      <c r="BW53" s="90">
        <f>SUM(BW43:BW52)</f>
        <v>0</v>
      </c>
      <c r="BX53" s="90">
        <f>SUM(BX43:BX51)</f>
        <v>0</v>
      </c>
      <c r="BY53" s="90">
        <f>SUM(BY43:BY51)</f>
        <v>0</v>
      </c>
      <c r="BZ53" s="90">
        <f>SUM(BZ43:BZ51)</f>
        <v>0</v>
      </c>
      <c r="CA53" s="91">
        <f>SUM(CA43:CA52)</f>
        <v>0</v>
      </c>
      <c r="CD53" s="89" t="s">
        <v>114</v>
      </c>
      <c r="CE53" s="90">
        <f>SUM(CE43:CE52)</f>
        <v>0</v>
      </c>
      <c r="CF53" s="90">
        <f>SUM(CF43:CF51)</f>
        <v>0</v>
      </c>
      <c r="CG53" s="90">
        <f>SUM(CG43:CG51)</f>
        <v>0</v>
      </c>
      <c r="CH53" s="90">
        <f>SUM(CH43:CH51)</f>
        <v>0</v>
      </c>
      <c r="CI53" s="91">
        <f>SUM(CI43:CI52)</f>
        <v>0</v>
      </c>
      <c r="CL53" s="89" t="s">
        <v>114</v>
      </c>
      <c r="CM53" s="90">
        <f>SUM(CM43:CM52)</f>
        <v>0</v>
      </c>
      <c r="CN53" s="90">
        <f>SUM(CN43:CN51)</f>
        <v>0</v>
      </c>
      <c r="CO53" s="90">
        <f>SUM(CO43:CO51)</f>
        <v>0</v>
      </c>
      <c r="CP53" s="90">
        <f>SUM(CP43:CP51)</f>
        <v>0</v>
      </c>
      <c r="CQ53" s="91">
        <f>SUM(CQ43:CQ52)</f>
        <v>0</v>
      </c>
      <c r="CT53" s="89" t="s">
        <v>114</v>
      </c>
      <c r="CU53" s="90">
        <f>SUM(CU43:CU52)</f>
        <v>0</v>
      </c>
      <c r="CV53" s="90">
        <f>SUM(CV43:CV51)</f>
        <v>0</v>
      </c>
      <c r="CW53" s="90">
        <f>SUM(CW43:CW51)</f>
        <v>0</v>
      </c>
      <c r="CX53" s="90">
        <f>SUM(CX43:CX51)</f>
        <v>0</v>
      </c>
      <c r="CY53" s="91">
        <f>SUM(CY43:CY52)</f>
        <v>0</v>
      </c>
      <c r="DB53" s="89" t="s">
        <v>114</v>
      </c>
      <c r="DC53" s="90">
        <f>SUM(DC43:DC52)</f>
        <v>0</v>
      </c>
      <c r="DD53" s="90">
        <f>SUM(DD43:DD51)</f>
        <v>0</v>
      </c>
      <c r="DE53" s="90">
        <f>SUM(DE43:DE51)</f>
        <v>0</v>
      </c>
      <c r="DF53" s="90">
        <f>SUM(DF43:DF51)</f>
        <v>0</v>
      </c>
      <c r="DG53" s="91">
        <f>SUM(DG43:DG52)</f>
        <v>0</v>
      </c>
    </row>
    <row r="54" spans="2:111">
      <c r="B54" s="80" t="s">
        <v>206</v>
      </c>
      <c r="C54" s="92">
        <f>C43+C45+C47+C49+C51</f>
        <v>15554.026999110258</v>
      </c>
      <c r="D54" s="92">
        <f t="shared" ref="D54:G54" si="108">D43+D45+D47+D49+D51</f>
        <v>46549.977471077291</v>
      </c>
      <c r="E54" s="92">
        <f t="shared" si="108"/>
        <v>92862.051477631379</v>
      </c>
      <c r="F54" s="92">
        <f t="shared" si="108"/>
        <v>154320.59009430534</v>
      </c>
      <c r="G54" s="92">
        <f t="shared" si="108"/>
        <v>230686.21510905965</v>
      </c>
      <c r="J54" s="80" t="s">
        <v>206</v>
      </c>
      <c r="K54" s="92">
        <f>K43+K45+K47+K49+K51</f>
        <v>0</v>
      </c>
      <c r="L54" s="92">
        <f t="shared" ref="L54:O54" si="109">L43+L45+L47+L49+L51</f>
        <v>0</v>
      </c>
      <c r="M54" s="92">
        <f t="shared" si="109"/>
        <v>0</v>
      </c>
      <c r="N54" s="92">
        <f t="shared" si="109"/>
        <v>0</v>
      </c>
      <c r="O54" s="92">
        <f t="shared" si="109"/>
        <v>0</v>
      </c>
      <c r="R54" s="80" t="s">
        <v>206</v>
      </c>
      <c r="S54" s="92">
        <f>S43+S45+S47+S49+S51</f>
        <v>0</v>
      </c>
      <c r="T54" s="92">
        <f t="shared" ref="T54:W54" si="110">T43+T45+T47+T49+T51</f>
        <v>0</v>
      </c>
      <c r="U54" s="92">
        <f t="shared" si="110"/>
        <v>0</v>
      </c>
      <c r="V54" s="92">
        <f t="shared" si="110"/>
        <v>0</v>
      </c>
      <c r="W54" s="92">
        <f t="shared" si="110"/>
        <v>0</v>
      </c>
      <c r="Z54" s="80" t="s">
        <v>206</v>
      </c>
      <c r="AA54" s="92">
        <f>AA43+AA45+AA47+AA49+AA51</f>
        <v>0</v>
      </c>
      <c r="AB54" s="92">
        <f t="shared" ref="AB54:AE54" si="111">AB43+AB45+AB47+AB49+AB51</f>
        <v>0</v>
      </c>
      <c r="AC54" s="92">
        <f t="shared" si="111"/>
        <v>0</v>
      </c>
      <c r="AD54" s="92">
        <f t="shared" si="111"/>
        <v>0</v>
      </c>
      <c r="AE54" s="92">
        <f t="shared" si="111"/>
        <v>0</v>
      </c>
      <c r="AH54" s="80" t="s">
        <v>206</v>
      </c>
      <c r="AI54" s="92">
        <f>AI43+AI45+AI47+AI49+AI51</f>
        <v>295526.51298309484</v>
      </c>
      <c r="AJ54" s="92">
        <f t="shared" ref="AJ54:AM54" si="112">AJ43+AJ45+AJ47+AJ49+AJ51</f>
        <v>574490.06723079807</v>
      </c>
      <c r="AK54" s="92">
        <f t="shared" si="112"/>
        <v>836925.15326793795</v>
      </c>
      <c r="AL54" s="92">
        <f t="shared" si="112"/>
        <v>1082759.3077346338</v>
      </c>
      <c r="AM54" s="92">
        <f t="shared" si="112"/>
        <v>1311856.1827788968</v>
      </c>
      <c r="AP54" s="80" t="s">
        <v>206</v>
      </c>
      <c r="AQ54" s="92">
        <f>AQ43+AQ45+AQ47+AQ49+AQ51</f>
        <v>0</v>
      </c>
      <c r="AR54" s="92">
        <f t="shared" ref="AR54:AU54" si="113">AR43+AR45+AR47+AR49+AR51</f>
        <v>0</v>
      </c>
      <c r="AS54" s="92">
        <f t="shared" si="113"/>
        <v>0</v>
      </c>
      <c r="AT54" s="92">
        <f t="shared" si="113"/>
        <v>0</v>
      </c>
      <c r="AU54" s="92">
        <f t="shared" si="113"/>
        <v>0</v>
      </c>
      <c r="AX54" s="80" t="s">
        <v>206</v>
      </c>
      <c r="AY54" s="92">
        <f>AY43+AY45+AY47+AY49+AY51</f>
        <v>0</v>
      </c>
      <c r="AZ54" s="92">
        <f t="shared" ref="AZ54:BC54" si="114">AZ43+AZ45+AZ47+AZ49+AZ51</f>
        <v>0</v>
      </c>
      <c r="BA54" s="92">
        <f t="shared" si="114"/>
        <v>0</v>
      </c>
      <c r="BB54" s="92">
        <f t="shared" si="114"/>
        <v>0</v>
      </c>
      <c r="BC54" s="92">
        <f t="shared" si="114"/>
        <v>0</v>
      </c>
      <c r="BF54" s="80" t="s">
        <v>206</v>
      </c>
      <c r="BG54" s="92">
        <f>BG43+BG45+BG47+BG49+BG51</f>
        <v>0</v>
      </c>
      <c r="BH54" s="92">
        <f t="shared" ref="BH54:BK54" si="115">BH43+BH45+BH47+BH49+BH51</f>
        <v>0</v>
      </c>
      <c r="BI54" s="92">
        <f t="shared" si="115"/>
        <v>0</v>
      </c>
      <c r="BJ54" s="92">
        <f t="shared" si="115"/>
        <v>0</v>
      </c>
      <c r="BK54" s="92">
        <f t="shared" si="115"/>
        <v>0</v>
      </c>
      <c r="BN54" s="80" t="s">
        <v>206</v>
      </c>
      <c r="BO54" s="92">
        <f>BO43+BO45+BO47+BO49+BO51</f>
        <v>0</v>
      </c>
      <c r="BP54" s="92">
        <f t="shared" ref="BP54:BS54" si="116">BP43+BP45+BP47+BP49+BP51</f>
        <v>0</v>
      </c>
      <c r="BQ54" s="92">
        <f t="shared" si="116"/>
        <v>0</v>
      </c>
      <c r="BR54" s="92">
        <f t="shared" si="116"/>
        <v>0</v>
      </c>
      <c r="BS54" s="92">
        <f t="shared" si="116"/>
        <v>0</v>
      </c>
      <c r="BV54" s="80" t="s">
        <v>206</v>
      </c>
      <c r="BW54" s="92">
        <f>BW43+BW45+BW47+BW49+BW51</f>
        <v>0</v>
      </c>
      <c r="BX54" s="92">
        <f t="shared" ref="BX54:CA54" si="117">BX43+BX45+BX47+BX49+BX51</f>
        <v>0</v>
      </c>
      <c r="BY54" s="92">
        <f t="shared" si="117"/>
        <v>0</v>
      </c>
      <c r="BZ54" s="92">
        <f t="shared" si="117"/>
        <v>0</v>
      </c>
      <c r="CA54" s="92">
        <f t="shared" si="117"/>
        <v>0</v>
      </c>
      <c r="CD54" s="80" t="s">
        <v>206</v>
      </c>
      <c r="CE54" s="92">
        <f>CE43+CE45+CE47+CE49+CE51</f>
        <v>0</v>
      </c>
      <c r="CF54" s="92">
        <f t="shared" ref="CF54:CI54" si="118">CF43+CF45+CF47+CF49+CF51</f>
        <v>0</v>
      </c>
      <c r="CG54" s="92">
        <f t="shared" si="118"/>
        <v>0</v>
      </c>
      <c r="CH54" s="92">
        <f t="shared" si="118"/>
        <v>0</v>
      </c>
      <c r="CI54" s="92">
        <f t="shared" si="118"/>
        <v>0</v>
      </c>
      <c r="CL54" s="80" t="s">
        <v>206</v>
      </c>
      <c r="CM54" s="92">
        <f>CM43+CM45+CM47+CM49+CM51</f>
        <v>0</v>
      </c>
      <c r="CN54" s="92">
        <f t="shared" ref="CN54:CQ54" si="119">CN43+CN45+CN47+CN49+CN51</f>
        <v>0</v>
      </c>
      <c r="CO54" s="92">
        <f t="shared" si="119"/>
        <v>0</v>
      </c>
      <c r="CP54" s="92">
        <f t="shared" si="119"/>
        <v>0</v>
      </c>
      <c r="CQ54" s="92">
        <f t="shared" si="119"/>
        <v>0</v>
      </c>
      <c r="CT54" s="80" t="s">
        <v>206</v>
      </c>
      <c r="CU54" s="92">
        <f>CU43+CU45+CU47+CU49+CU51</f>
        <v>0</v>
      </c>
      <c r="CV54" s="92">
        <f t="shared" ref="CV54:CY54" si="120">CV43+CV45+CV47+CV49+CV51</f>
        <v>0</v>
      </c>
      <c r="CW54" s="92">
        <f t="shared" si="120"/>
        <v>0</v>
      </c>
      <c r="CX54" s="92">
        <f t="shared" si="120"/>
        <v>0</v>
      </c>
      <c r="CY54" s="92">
        <f t="shared" si="120"/>
        <v>0</v>
      </c>
      <c r="DB54" s="80" t="s">
        <v>206</v>
      </c>
      <c r="DC54" s="92">
        <f>DC43+DC45+DC47+DC49+DC51</f>
        <v>0</v>
      </c>
      <c r="DD54" s="92">
        <f t="shared" ref="DD54:DG54" si="121">DD43+DD45+DD47+DD49+DD51</f>
        <v>0</v>
      </c>
      <c r="DE54" s="92">
        <f t="shared" si="121"/>
        <v>0</v>
      </c>
      <c r="DF54" s="92">
        <f t="shared" si="121"/>
        <v>0</v>
      </c>
      <c r="DG54" s="92">
        <f t="shared" si="121"/>
        <v>0</v>
      </c>
    </row>
    <row r="55" spans="2:111" ht="15" thickBot="1">
      <c r="B55" s="80" t="s">
        <v>208</v>
      </c>
      <c r="C55" s="92">
        <f>C44+C46+C48+C50+C52</f>
        <v>0</v>
      </c>
      <c r="D55" s="92">
        <f t="shared" ref="D55:G55" si="122">D44+D46+D48+D50+D52</f>
        <v>0</v>
      </c>
      <c r="E55" s="92">
        <f t="shared" si="122"/>
        <v>0</v>
      </c>
      <c r="F55" s="92">
        <f t="shared" si="122"/>
        <v>0</v>
      </c>
      <c r="G55" s="92">
        <f t="shared" si="122"/>
        <v>0</v>
      </c>
      <c r="J55" s="80" t="s">
        <v>208</v>
      </c>
      <c r="K55" s="92">
        <f>K44+K46+K48+K50+K52</f>
        <v>0</v>
      </c>
      <c r="L55" s="92">
        <f t="shared" ref="L55:O55" si="123">L44+L46+L48+L50+L52</f>
        <v>0</v>
      </c>
      <c r="M55" s="92">
        <f t="shared" si="123"/>
        <v>0</v>
      </c>
      <c r="N55" s="92">
        <f t="shared" si="123"/>
        <v>0</v>
      </c>
      <c r="O55" s="92">
        <f t="shared" si="123"/>
        <v>0</v>
      </c>
      <c r="R55" s="80" t="s">
        <v>208</v>
      </c>
      <c r="S55" s="92">
        <f>S44+S46+S48+S50+S52</f>
        <v>0</v>
      </c>
      <c r="T55" s="92">
        <f t="shared" ref="T55:W55" si="124">T44+T46+T48+T50+T52</f>
        <v>0</v>
      </c>
      <c r="U55" s="92">
        <f t="shared" si="124"/>
        <v>0</v>
      </c>
      <c r="V55" s="92">
        <f t="shared" si="124"/>
        <v>0</v>
      </c>
      <c r="W55" s="92">
        <f t="shared" si="124"/>
        <v>0</v>
      </c>
      <c r="Z55" s="80" t="s">
        <v>208</v>
      </c>
      <c r="AA55" s="92">
        <f>AA44+AA46+AA48+AA50+AA52</f>
        <v>0</v>
      </c>
      <c r="AB55" s="92">
        <f t="shared" ref="AB55:AE55" si="125">AB44+AB46+AB48+AB50+AB52</f>
        <v>0</v>
      </c>
      <c r="AC55" s="92">
        <f t="shared" si="125"/>
        <v>0</v>
      </c>
      <c r="AD55" s="92">
        <f t="shared" si="125"/>
        <v>0</v>
      </c>
      <c r="AE55" s="92">
        <f t="shared" si="125"/>
        <v>0</v>
      </c>
      <c r="AH55" s="80" t="s">
        <v>208</v>
      </c>
      <c r="AI55" s="92">
        <f>AI44+AI46+AI48+AI50+AI52</f>
        <v>0</v>
      </c>
      <c r="AJ55" s="92">
        <f t="shared" ref="AJ55:AM55" si="126">AJ44+AJ46+AJ48+AJ50+AJ52</f>
        <v>0</v>
      </c>
      <c r="AK55" s="92">
        <f t="shared" si="126"/>
        <v>0</v>
      </c>
      <c r="AL55" s="92">
        <f t="shared" si="126"/>
        <v>0</v>
      </c>
      <c r="AM55" s="92">
        <f t="shared" si="126"/>
        <v>0</v>
      </c>
      <c r="AP55" s="80" t="s">
        <v>208</v>
      </c>
      <c r="AQ55" s="92">
        <f>AQ44+AQ46+AQ48+AQ50+AQ52</f>
        <v>0</v>
      </c>
      <c r="AR55" s="92">
        <f t="shared" ref="AR55:AU55" si="127">AR44+AR46+AR48+AR50+AR52</f>
        <v>0</v>
      </c>
      <c r="AS55" s="92">
        <f t="shared" si="127"/>
        <v>0</v>
      </c>
      <c r="AT55" s="92">
        <f t="shared" si="127"/>
        <v>0</v>
      </c>
      <c r="AU55" s="92">
        <f t="shared" si="127"/>
        <v>0</v>
      </c>
      <c r="AX55" s="80" t="s">
        <v>208</v>
      </c>
      <c r="AY55" s="92">
        <f>AY44+AY46+AY48+AY50+AY52</f>
        <v>0</v>
      </c>
      <c r="AZ55" s="92">
        <f t="shared" ref="AZ55:BC55" si="128">AZ44+AZ46+AZ48+AZ50+AZ52</f>
        <v>0</v>
      </c>
      <c r="BA55" s="92">
        <f t="shared" si="128"/>
        <v>0</v>
      </c>
      <c r="BB55" s="92">
        <f t="shared" si="128"/>
        <v>0</v>
      </c>
      <c r="BC55" s="92">
        <f t="shared" si="128"/>
        <v>0</v>
      </c>
      <c r="BF55" s="80" t="s">
        <v>208</v>
      </c>
      <c r="BG55" s="92">
        <f>BG44+BG46+BG48+BG50+BG52</f>
        <v>0</v>
      </c>
      <c r="BH55" s="92">
        <f t="shared" ref="BH55:BK55" si="129">BH44+BH46+BH48+BH50+BH52</f>
        <v>0</v>
      </c>
      <c r="BI55" s="92">
        <f t="shared" si="129"/>
        <v>0</v>
      </c>
      <c r="BJ55" s="92">
        <f t="shared" si="129"/>
        <v>0</v>
      </c>
      <c r="BK55" s="92">
        <f t="shared" si="129"/>
        <v>0</v>
      </c>
      <c r="BN55" s="80" t="s">
        <v>208</v>
      </c>
      <c r="BO55" s="92">
        <f>BO44+BO46+BO48+BO50+BO52</f>
        <v>0</v>
      </c>
      <c r="BP55" s="92">
        <f t="shared" ref="BP55:BS55" si="130">BP44+BP46+BP48+BP50+BP52</f>
        <v>0</v>
      </c>
      <c r="BQ55" s="92">
        <f t="shared" si="130"/>
        <v>0</v>
      </c>
      <c r="BR55" s="92">
        <f t="shared" si="130"/>
        <v>0</v>
      </c>
      <c r="BS55" s="92">
        <f t="shared" si="130"/>
        <v>0</v>
      </c>
      <c r="BV55" s="80" t="s">
        <v>208</v>
      </c>
      <c r="BW55" s="92">
        <f>BW44+BW46+BW48+BW50+BW52</f>
        <v>0</v>
      </c>
      <c r="BX55" s="92">
        <f t="shared" ref="BX55:CA55" si="131">BX44+BX46+BX48+BX50+BX52</f>
        <v>0</v>
      </c>
      <c r="BY55" s="92">
        <f t="shared" si="131"/>
        <v>0</v>
      </c>
      <c r="BZ55" s="92">
        <f t="shared" si="131"/>
        <v>0</v>
      </c>
      <c r="CA55" s="92">
        <f t="shared" si="131"/>
        <v>0</v>
      </c>
      <c r="CD55" s="80" t="s">
        <v>208</v>
      </c>
      <c r="CE55" s="92">
        <f>CE44+CE46+CE48+CE50+CE52</f>
        <v>0</v>
      </c>
      <c r="CF55" s="92">
        <f t="shared" ref="CF55:CI55" si="132">CF44+CF46+CF48+CF50+CF52</f>
        <v>0</v>
      </c>
      <c r="CG55" s="92">
        <f t="shared" si="132"/>
        <v>0</v>
      </c>
      <c r="CH55" s="92">
        <f t="shared" si="132"/>
        <v>0</v>
      </c>
      <c r="CI55" s="92">
        <f t="shared" si="132"/>
        <v>0</v>
      </c>
      <c r="CL55" s="80" t="s">
        <v>208</v>
      </c>
      <c r="CM55" s="92">
        <f>CM44+CM46+CM48+CM50+CM52</f>
        <v>0</v>
      </c>
      <c r="CN55" s="92">
        <f t="shared" ref="CN55:CQ55" si="133">CN44+CN46+CN48+CN50+CN52</f>
        <v>0</v>
      </c>
      <c r="CO55" s="92">
        <f t="shared" si="133"/>
        <v>0</v>
      </c>
      <c r="CP55" s="92">
        <f t="shared" si="133"/>
        <v>0</v>
      </c>
      <c r="CQ55" s="92">
        <f t="shared" si="133"/>
        <v>0</v>
      </c>
      <c r="CT55" s="80" t="s">
        <v>208</v>
      </c>
      <c r="CU55" s="92">
        <f>CU44+CU46+CU48+CU50+CU52</f>
        <v>0</v>
      </c>
      <c r="CV55" s="92">
        <f t="shared" ref="CV55:CY55" si="134">CV44+CV46+CV48+CV50+CV52</f>
        <v>0</v>
      </c>
      <c r="CW55" s="92">
        <f t="shared" si="134"/>
        <v>0</v>
      </c>
      <c r="CX55" s="92">
        <f t="shared" si="134"/>
        <v>0</v>
      </c>
      <c r="CY55" s="92">
        <f t="shared" si="134"/>
        <v>0</v>
      </c>
      <c r="DB55" s="80" t="s">
        <v>208</v>
      </c>
      <c r="DC55" s="92">
        <f>DC44+DC46+DC48+DC50+DC52</f>
        <v>0</v>
      </c>
      <c r="DD55" s="92">
        <f t="shared" ref="DD55:DG55" si="135">DD44+DD46+DD48+DD50+DD52</f>
        <v>0</v>
      </c>
      <c r="DE55" s="92">
        <f t="shared" si="135"/>
        <v>0</v>
      </c>
      <c r="DF55" s="92">
        <f t="shared" si="135"/>
        <v>0</v>
      </c>
      <c r="DG55" s="92">
        <f t="shared" si="135"/>
        <v>0</v>
      </c>
    </row>
    <row r="56" spans="2:111" ht="15" thickBot="1">
      <c r="B56" s="507" t="str">
        <f>cen_prop2</f>
        <v>With IUD-LNG 10-50%</v>
      </c>
      <c r="C56" s="508"/>
      <c r="D56" s="508"/>
      <c r="E56" s="508"/>
      <c r="F56" s="508"/>
      <c r="G56" s="509"/>
      <c r="J56" s="507" t="str">
        <f>cen_prop2</f>
        <v>With IUD-LNG 10-50%</v>
      </c>
      <c r="K56" s="508"/>
      <c r="L56" s="508"/>
      <c r="M56" s="508"/>
      <c r="N56" s="508"/>
      <c r="O56" s="509"/>
      <c r="R56" s="507" t="str">
        <f>cen_prop2</f>
        <v>With IUD-LNG 10-50%</v>
      </c>
      <c r="S56" s="508"/>
      <c r="T56" s="508"/>
      <c r="U56" s="508"/>
      <c r="V56" s="508"/>
      <c r="W56" s="509"/>
      <c r="Z56" s="507" t="str">
        <f>cen_prop2</f>
        <v>With IUD-LNG 10-50%</v>
      </c>
      <c r="AA56" s="508"/>
      <c r="AB56" s="508"/>
      <c r="AC56" s="508"/>
      <c r="AD56" s="508"/>
      <c r="AE56" s="509"/>
      <c r="AH56" s="507" t="str">
        <f>cen_prop2</f>
        <v>With IUD-LNG 10-50%</v>
      </c>
      <c r="AI56" s="508"/>
      <c r="AJ56" s="508"/>
      <c r="AK56" s="508"/>
      <c r="AL56" s="508"/>
      <c r="AM56" s="509"/>
      <c r="AP56" s="507" t="str">
        <f>cen_prop2</f>
        <v>With IUD-LNG 10-50%</v>
      </c>
      <c r="AQ56" s="508"/>
      <c r="AR56" s="508"/>
      <c r="AS56" s="508"/>
      <c r="AT56" s="508"/>
      <c r="AU56" s="509"/>
      <c r="AX56" s="507" t="str">
        <f>cen_prop2</f>
        <v>With IUD-LNG 10-50%</v>
      </c>
      <c r="AY56" s="508"/>
      <c r="AZ56" s="508"/>
      <c r="BA56" s="508"/>
      <c r="BB56" s="508"/>
      <c r="BC56" s="509"/>
      <c r="BF56" s="507" t="str">
        <f>cen_prop2</f>
        <v>With IUD-LNG 10-50%</v>
      </c>
      <c r="BG56" s="508"/>
      <c r="BH56" s="508"/>
      <c r="BI56" s="508"/>
      <c r="BJ56" s="508"/>
      <c r="BK56" s="509"/>
      <c r="BN56" s="507" t="str">
        <f>cen_prop2</f>
        <v>With IUD-LNG 10-50%</v>
      </c>
      <c r="BO56" s="508"/>
      <c r="BP56" s="508"/>
      <c r="BQ56" s="508"/>
      <c r="BR56" s="508"/>
      <c r="BS56" s="509"/>
      <c r="BV56" s="507" t="str">
        <f>cen_prop2</f>
        <v>With IUD-LNG 10-50%</v>
      </c>
      <c r="BW56" s="508"/>
      <c r="BX56" s="508"/>
      <c r="BY56" s="508"/>
      <c r="BZ56" s="508"/>
      <c r="CA56" s="509"/>
      <c r="CD56" s="507" t="str">
        <f>cen_prop2</f>
        <v>With IUD-LNG 10-50%</v>
      </c>
      <c r="CE56" s="508"/>
      <c r="CF56" s="508"/>
      <c r="CG56" s="508"/>
      <c r="CH56" s="508"/>
      <c r="CI56" s="509"/>
      <c r="CL56" s="507" t="str">
        <f>cen_prop2</f>
        <v>With IUD-LNG 10-50%</v>
      </c>
      <c r="CM56" s="508"/>
      <c r="CN56" s="508"/>
      <c r="CO56" s="508"/>
      <c r="CP56" s="508"/>
      <c r="CQ56" s="509"/>
      <c r="CT56" s="507" t="str">
        <f>cen_prop2</f>
        <v>With IUD-LNG 10-50%</v>
      </c>
      <c r="CU56" s="508"/>
      <c r="CV56" s="508"/>
      <c r="CW56" s="508"/>
      <c r="CX56" s="508"/>
      <c r="CY56" s="509"/>
      <c r="DB56" s="507" t="str">
        <f>cen_prop2</f>
        <v>With IUD-LNG 10-50%</v>
      </c>
      <c r="DC56" s="508"/>
      <c r="DD56" s="508"/>
      <c r="DE56" s="508"/>
      <c r="DF56" s="508"/>
      <c r="DG56" s="509"/>
    </row>
    <row r="57" spans="2:111">
      <c r="B57" s="84"/>
      <c r="C57" s="101">
        <f>ano_1</f>
        <v>2026</v>
      </c>
      <c r="D57" s="101">
        <f>C57+1</f>
        <v>2027</v>
      </c>
      <c r="E57" s="101">
        <f t="shared" ref="E57:G57" si="136">D57+1</f>
        <v>2028</v>
      </c>
      <c r="F57" s="101">
        <f t="shared" si="136"/>
        <v>2029</v>
      </c>
      <c r="G57" s="102">
        <f t="shared" si="136"/>
        <v>2030</v>
      </c>
      <c r="J57" s="84"/>
      <c r="K57" s="101">
        <f>ano_1</f>
        <v>2026</v>
      </c>
      <c r="L57" s="101">
        <f>K57+1</f>
        <v>2027</v>
      </c>
      <c r="M57" s="101">
        <f t="shared" ref="M57" si="137">L57+1</f>
        <v>2028</v>
      </c>
      <c r="N57" s="101">
        <f t="shared" ref="N57" si="138">M57+1</f>
        <v>2029</v>
      </c>
      <c r="O57" s="102">
        <f t="shared" ref="O57" si="139">N57+1</f>
        <v>2030</v>
      </c>
      <c r="R57" s="84"/>
      <c r="S57" s="101">
        <f>ano_1</f>
        <v>2026</v>
      </c>
      <c r="T57" s="101">
        <f>S57+1</f>
        <v>2027</v>
      </c>
      <c r="U57" s="101">
        <f t="shared" ref="U57" si="140">T57+1</f>
        <v>2028</v>
      </c>
      <c r="V57" s="101">
        <f t="shared" ref="V57" si="141">U57+1</f>
        <v>2029</v>
      </c>
      <c r="W57" s="102">
        <f t="shared" ref="W57" si="142">V57+1</f>
        <v>2030</v>
      </c>
      <c r="Z57" s="84"/>
      <c r="AA57" s="101">
        <f>ano_1</f>
        <v>2026</v>
      </c>
      <c r="AB57" s="101">
        <f>AA57+1</f>
        <v>2027</v>
      </c>
      <c r="AC57" s="101">
        <f t="shared" ref="AC57" si="143">AB57+1</f>
        <v>2028</v>
      </c>
      <c r="AD57" s="101">
        <f t="shared" ref="AD57" si="144">AC57+1</f>
        <v>2029</v>
      </c>
      <c r="AE57" s="102">
        <f t="shared" ref="AE57" si="145">AD57+1</f>
        <v>2030</v>
      </c>
      <c r="AH57" s="84"/>
      <c r="AI57" s="101">
        <f>ano_1</f>
        <v>2026</v>
      </c>
      <c r="AJ57" s="101">
        <f>AI57+1</f>
        <v>2027</v>
      </c>
      <c r="AK57" s="101">
        <f t="shared" ref="AK57" si="146">AJ57+1</f>
        <v>2028</v>
      </c>
      <c r="AL57" s="101">
        <f t="shared" ref="AL57" si="147">AK57+1</f>
        <v>2029</v>
      </c>
      <c r="AM57" s="102">
        <f t="shared" ref="AM57" si="148">AL57+1</f>
        <v>2030</v>
      </c>
      <c r="AP57" s="84"/>
      <c r="AQ57" s="101">
        <f>ano_1</f>
        <v>2026</v>
      </c>
      <c r="AR57" s="101">
        <f>AQ57+1</f>
        <v>2027</v>
      </c>
      <c r="AS57" s="101">
        <f t="shared" ref="AS57" si="149">AR57+1</f>
        <v>2028</v>
      </c>
      <c r="AT57" s="101">
        <f t="shared" ref="AT57" si="150">AS57+1</f>
        <v>2029</v>
      </c>
      <c r="AU57" s="102">
        <f t="shared" ref="AU57" si="151">AT57+1</f>
        <v>2030</v>
      </c>
      <c r="AX57" s="84"/>
      <c r="AY57" s="101">
        <f>ano_1</f>
        <v>2026</v>
      </c>
      <c r="AZ57" s="101">
        <f>AY57+1</f>
        <v>2027</v>
      </c>
      <c r="BA57" s="101">
        <f t="shared" ref="BA57" si="152">AZ57+1</f>
        <v>2028</v>
      </c>
      <c r="BB57" s="101">
        <f t="shared" ref="BB57" si="153">BA57+1</f>
        <v>2029</v>
      </c>
      <c r="BC57" s="102">
        <f t="shared" ref="BC57" si="154">BB57+1</f>
        <v>2030</v>
      </c>
      <c r="BF57" s="84"/>
      <c r="BG57" s="101">
        <f>ano_1</f>
        <v>2026</v>
      </c>
      <c r="BH57" s="101">
        <f>BG57+1</f>
        <v>2027</v>
      </c>
      <c r="BI57" s="101">
        <f t="shared" ref="BI57" si="155">BH57+1</f>
        <v>2028</v>
      </c>
      <c r="BJ57" s="101">
        <f t="shared" ref="BJ57" si="156">BI57+1</f>
        <v>2029</v>
      </c>
      <c r="BK57" s="102">
        <f t="shared" ref="BK57" si="157">BJ57+1</f>
        <v>2030</v>
      </c>
      <c r="BN57" s="84"/>
      <c r="BO57" s="101">
        <f>ano_1</f>
        <v>2026</v>
      </c>
      <c r="BP57" s="101">
        <f>BO57+1</f>
        <v>2027</v>
      </c>
      <c r="BQ57" s="101">
        <f t="shared" ref="BQ57" si="158">BP57+1</f>
        <v>2028</v>
      </c>
      <c r="BR57" s="101">
        <f t="shared" ref="BR57" si="159">BQ57+1</f>
        <v>2029</v>
      </c>
      <c r="BS57" s="102">
        <f t="shared" ref="BS57" si="160">BR57+1</f>
        <v>2030</v>
      </c>
      <c r="BV57" s="84"/>
      <c r="BW57" s="101">
        <f>ano_1</f>
        <v>2026</v>
      </c>
      <c r="BX57" s="101">
        <f>BW57+1</f>
        <v>2027</v>
      </c>
      <c r="BY57" s="101">
        <f t="shared" ref="BY57" si="161">BX57+1</f>
        <v>2028</v>
      </c>
      <c r="BZ57" s="101">
        <f t="shared" ref="BZ57" si="162">BY57+1</f>
        <v>2029</v>
      </c>
      <c r="CA57" s="102">
        <f t="shared" ref="CA57" si="163">BZ57+1</f>
        <v>2030</v>
      </c>
      <c r="CD57" s="84"/>
      <c r="CE57" s="101">
        <f>ano_1</f>
        <v>2026</v>
      </c>
      <c r="CF57" s="101">
        <f>CE57+1</f>
        <v>2027</v>
      </c>
      <c r="CG57" s="101">
        <f t="shared" ref="CG57" si="164">CF57+1</f>
        <v>2028</v>
      </c>
      <c r="CH57" s="101">
        <f t="shared" ref="CH57" si="165">CG57+1</f>
        <v>2029</v>
      </c>
      <c r="CI57" s="102">
        <f t="shared" ref="CI57" si="166">CH57+1</f>
        <v>2030</v>
      </c>
      <c r="CL57" s="84"/>
      <c r="CM57" s="101">
        <f>ano_1</f>
        <v>2026</v>
      </c>
      <c r="CN57" s="101">
        <f>CM57+1</f>
        <v>2027</v>
      </c>
      <c r="CO57" s="101">
        <f t="shared" ref="CO57" si="167">CN57+1</f>
        <v>2028</v>
      </c>
      <c r="CP57" s="101">
        <f t="shared" ref="CP57" si="168">CO57+1</f>
        <v>2029</v>
      </c>
      <c r="CQ57" s="102">
        <f t="shared" ref="CQ57" si="169">CP57+1</f>
        <v>2030</v>
      </c>
      <c r="CT57" s="84"/>
      <c r="CU57" s="101">
        <f>ano_1</f>
        <v>2026</v>
      </c>
      <c r="CV57" s="101">
        <f>CU57+1</f>
        <v>2027</v>
      </c>
      <c r="CW57" s="101">
        <f t="shared" ref="CW57" si="170">CV57+1</f>
        <v>2028</v>
      </c>
      <c r="CX57" s="101">
        <f t="shared" ref="CX57" si="171">CW57+1</f>
        <v>2029</v>
      </c>
      <c r="CY57" s="102">
        <f t="shared" ref="CY57" si="172">CX57+1</f>
        <v>2030</v>
      </c>
      <c r="DB57" s="84"/>
      <c r="DC57" s="101">
        <f>ano_1</f>
        <v>2026</v>
      </c>
      <c r="DD57" s="101">
        <f>DC57+1</f>
        <v>2027</v>
      </c>
      <c r="DE57" s="101">
        <f t="shared" ref="DE57" si="173">DD57+1</f>
        <v>2028</v>
      </c>
      <c r="DF57" s="101">
        <f t="shared" ref="DF57" si="174">DE57+1</f>
        <v>2029</v>
      </c>
      <c r="DG57" s="102">
        <f t="shared" ref="DG57" si="175">DF57+1</f>
        <v>2030</v>
      </c>
    </row>
    <row r="58" spans="2:111">
      <c r="B58" s="87" t="s">
        <v>170</v>
      </c>
      <c r="C58" s="80">
        <f>C$7*'Mkt share'!$C$62</f>
        <v>31108.053998220515</v>
      </c>
      <c r="D58" s="80">
        <f>C$8*'Mkt share'!$C$62</f>
        <v>31108.053998220515</v>
      </c>
      <c r="E58" s="80">
        <f>C$11*'Mkt share'!$C$62</f>
        <v>31108.053998220515</v>
      </c>
      <c r="F58" s="80">
        <f>C$14*'Mkt share'!$C$62</f>
        <v>31108.053998220515</v>
      </c>
      <c r="G58" s="88">
        <f>C$17*'Mkt share'!$C$62</f>
        <v>31108.053998220515</v>
      </c>
      <c r="J58" s="87" t="s">
        <v>170</v>
      </c>
      <c r="K58" s="80">
        <f>K$7*'Mkt share'!$C$63</f>
        <v>0</v>
      </c>
      <c r="L58" s="80">
        <f>K$8*'Mkt share'!$C$63</f>
        <v>0</v>
      </c>
      <c r="M58" s="80">
        <f>K$11*'Mkt share'!$C$63</f>
        <v>0</v>
      </c>
      <c r="N58" s="80">
        <f>K$14*'Mkt share'!$C$63</f>
        <v>0</v>
      </c>
      <c r="O58" s="88">
        <f>K$17*'Mkt share'!$C$63</f>
        <v>0</v>
      </c>
      <c r="R58" s="87" t="s">
        <v>170</v>
      </c>
      <c r="S58" s="80">
        <f>S$7*'Mkt share'!$C$64</f>
        <v>0</v>
      </c>
      <c r="T58" s="80">
        <f>S$8*'Mkt share'!$C$64</f>
        <v>0</v>
      </c>
      <c r="U58" s="80">
        <f>S$11*'Mkt share'!$C$64</f>
        <v>0</v>
      </c>
      <c r="V58" s="80">
        <f>S$14*'Mkt share'!$C$64</f>
        <v>0</v>
      </c>
      <c r="W58" s="88">
        <f>S$17*'Mkt share'!$C$64</f>
        <v>0</v>
      </c>
      <c r="Z58" s="87" t="s">
        <v>170</v>
      </c>
      <c r="AA58" s="80">
        <f>AA$7*'Mkt share'!$C$65</f>
        <v>0</v>
      </c>
      <c r="AB58" s="80">
        <f>AA$8*'Mkt share'!$C$65</f>
        <v>0</v>
      </c>
      <c r="AC58" s="80">
        <f>AA$11*'Mkt share'!$C$65</f>
        <v>0</v>
      </c>
      <c r="AD58" s="80">
        <f>AA$14*'Mkt share'!$C$65</f>
        <v>0</v>
      </c>
      <c r="AE58" s="88">
        <f>AA$17*'Mkt share'!$C$65</f>
        <v>0</v>
      </c>
      <c r="AH58" s="87" t="s">
        <v>170</v>
      </c>
      <c r="AI58" s="80">
        <f>AI$7*'Mkt share'!$C$66</f>
        <v>279972.48598398466</v>
      </c>
      <c r="AJ58" s="80">
        <f>AI$8*'Mkt share'!$C$66</f>
        <v>279972.48598398466</v>
      </c>
      <c r="AK58" s="80">
        <f>AI$11*'Mkt share'!$C$66</f>
        <v>279972.48598398466</v>
      </c>
      <c r="AL58" s="80">
        <f>AI$14*'Mkt share'!$C$66</f>
        <v>279972.48598398466</v>
      </c>
      <c r="AM58" s="88">
        <f>AI$17*'Mkt share'!$C$66</f>
        <v>279972.48598398466</v>
      </c>
      <c r="AP58" s="87" t="s">
        <v>170</v>
      </c>
      <c r="AQ58" s="80">
        <f>AQ$7*'Mkt share'!$C$67</f>
        <v>0</v>
      </c>
      <c r="AR58" s="80">
        <f>AQ$8*'Mkt share'!$C$67</f>
        <v>0</v>
      </c>
      <c r="AS58" s="80">
        <f>AQ$11*'Mkt share'!$C$67</f>
        <v>0</v>
      </c>
      <c r="AT58" s="80">
        <f>AQ$14*'Mkt share'!$C$67</f>
        <v>0</v>
      </c>
      <c r="AU58" s="88">
        <f>AQ$17*'Mkt share'!$C$67</f>
        <v>0</v>
      </c>
      <c r="AX58" s="87" t="s">
        <v>170</v>
      </c>
      <c r="AY58" s="80">
        <f>AY$7*'Mkt share'!$C$68</f>
        <v>0</v>
      </c>
      <c r="AZ58" s="80">
        <f>AY$8*'Mkt share'!$C$68</f>
        <v>0</v>
      </c>
      <c r="BA58" s="80">
        <f>AY$11*'Mkt share'!$C$68</f>
        <v>0</v>
      </c>
      <c r="BB58" s="80">
        <f>AY$14*'Mkt share'!$C$68</f>
        <v>0</v>
      </c>
      <c r="BC58" s="88">
        <f>AY$17*'Mkt share'!$C$68</f>
        <v>0</v>
      </c>
      <c r="BF58" s="87" t="s">
        <v>170</v>
      </c>
      <c r="BG58" s="80">
        <f>BG$7*'Mkt share'!$C$69</f>
        <v>0</v>
      </c>
      <c r="BH58" s="80">
        <f>BG$8*'Mkt share'!$C$69</f>
        <v>0</v>
      </c>
      <c r="BI58" s="80">
        <f>BG$11*'Mkt share'!$C$69</f>
        <v>0</v>
      </c>
      <c r="BJ58" s="80">
        <f>BG$14*'Mkt share'!$C$69</f>
        <v>0</v>
      </c>
      <c r="BK58" s="88">
        <f>BG$17*'Mkt share'!$C$69</f>
        <v>0</v>
      </c>
      <c r="BN58" s="87" t="s">
        <v>170</v>
      </c>
      <c r="BO58" s="80">
        <f>BO$7*'Mkt share'!$C$70</f>
        <v>0</v>
      </c>
      <c r="BP58" s="80">
        <f>BO$8*'Mkt share'!$C$70</f>
        <v>0</v>
      </c>
      <c r="BQ58" s="80">
        <f>BO$11*'Mkt share'!$C$70</f>
        <v>0</v>
      </c>
      <c r="BR58" s="80">
        <f>BO$14*'Mkt share'!$C$70</f>
        <v>0</v>
      </c>
      <c r="BS58" s="88">
        <f>BO$17*'Mkt share'!$C$70</f>
        <v>0</v>
      </c>
      <c r="BV58" s="87" t="s">
        <v>170</v>
      </c>
      <c r="BW58" s="80">
        <f>BW$7*'Mkt share'!$C$71</f>
        <v>0</v>
      </c>
      <c r="BX58" s="80">
        <f>BW$8*'Mkt share'!$C$71</f>
        <v>0</v>
      </c>
      <c r="BY58" s="80">
        <f>BW$11*'Mkt share'!$C$71</f>
        <v>0</v>
      </c>
      <c r="BZ58" s="80">
        <f>BW$14*'Mkt share'!$C$71</f>
        <v>0</v>
      </c>
      <c r="CA58" s="88">
        <f>BW$17*'Mkt share'!$C$71</f>
        <v>0</v>
      </c>
      <c r="CD58" s="87" t="s">
        <v>170</v>
      </c>
      <c r="CE58" s="80">
        <f>CE$7*'Mkt share'!$C$72</f>
        <v>0</v>
      </c>
      <c r="CF58" s="80">
        <f>CE$8*'Mkt share'!$C$72</f>
        <v>0</v>
      </c>
      <c r="CG58" s="80">
        <f>CE$11*'Mkt share'!$C$72</f>
        <v>0</v>
      </c>
      <c r="CH58" s="80">
        <f>CE$14*'Mkt share'!$C$72</f>
        <v>0</v>
      </c>
      <c r="CI58" s="88">
        <f>CE$17*'Mkt share'!$C$72</f>
        <v>0</v>
      </c>
      <c r="CL58" s="87" t="s">
        <v>170</v>
      </c>
      <c r="CM58" s="80">
        <f>CM$7*'Mkt share'!$C$73</f>
        <v>0</v>
      </c>
      <c r="CN58" s="80">
        <f>CM$8*'Mkt share'!$C$73</f>
        <v>0</v>
      </c>
      <c r="CO58" s="80">
        <f>CM$11*'Mkt share'!$C$73</f>
        <v>0</v>
      </c>
      <c r="CP58" s="80">
        <f>CM$14*'Mkt share'!$C$73</f>
        <v>0</v>
      </c>
      <c r="CQ58" s="88">
        <f>CM$17*'Mkt share'!$C$73</f>
        <v>0</v>
      </c>
      <c r="CT58" s="87" t="s">
        <v>170</v>
      </c>
      <c r="CU58" s="80">
        <f>CU$7*'Mkt share'!$C$74</f>
        <v>0</v>
      </c>
      <c r="CV58" s="80">
        <f>CU$8*'Mkt share'!$C$74</f>
        <v>0</v>
      </c>
      <c r="CW58" s="80">
        <f>CU$11*'Mkt share'!$C$74</f>
        <v>0</v>
      </c>
      <c r="CX58" s="80">
        <f>CU$14*'Mkt share'!$C$74</f>
        <v>0</v>
      </c>
      <c r="CY58" s="88">
        <f>CU$17*'Mkt share'!$C$74</f>
        <v>0</v>
      </c>
      <c r="DB58" s="87" t="s">
        <v>170</v>
      </c>
      <c r="DC58" s="80">
        <f>DC$7*'Mkt share'!$C$75</f>
        <v>0</v>
      </c>
      <c r="DD58" s="80">
        <f>DC$8*'Mkt share'!$C$75</f>
        <v>0</v>
      </c>
      <c r="DE58" s="80">
        <f>DC$11*'Mkt share'!$C$75</f>
        <v>0</v>
      </c>
      <c r="DF58" s="80">
        <f>DC$14*'Mkt share'!$C$75</f>
        <v>0</v>
      </c>
      <c r="DG58" s="88">
        <f>DC$17*'Mkt share'!$C$75</f>
        <v>0</v>
      </c>
    </row>
    <row r="59" spans="2:111">
      <c r="B59" s="87" t="s">
        <v>175</v>
      </c>
      <c r="C59" s="105">
        <v>0</v>
      </c>
      <c r="D59" s="80">
        <f>C$10*'Mkt share'!$C$62</f>
        <v>0</v>
      </c>
      <c r="E59" s="80">
        <f>C$13*'Mkt share'!$C$62</f>
        <v>0</v>
      </c>
      <c r="F59" s="80">
        <f>C$16*'Mkt share'!$C$62</f>
        <v>0</v>
      </c>
      <c r="G59" s="88">
        <f>C$19*'Mkt share'!$C$62</f>
        <v>0</v>
      </c>
      <c r="J59" s="87" t="s">
        <v>175</v>
      </c>
      <c r="K59" s="105">
        <v>0</v>
      </c>
      <c r="L59" s="80">
        <f>K$10*'Mkt share'!$C$63</f>
        <v>0</v>
      </c>
      <c r="M59" s="80">
        <f>K$13*'Mkt share'!$C$63</f>
        <v>0</v>
      </c>
      <c r="N59" s="80">
        <f>K$16*'Mkt share'!$C$63</f>
        <v>0</v>
      </c>
      <c r="O59" s="88">
        <f>K$19*'Mkt share'!$C$63</f>
        <v>0</v>
      </c>
      <c r="R59" s="87" t="s">
        <v>175</v>
      </c>
      <c r="S59" s="105">
        <v>0</v>
      </c>
      <c r="T59" s="80">
        <f>S$10*'Mkt share'!$C$64</f>
        <v>0</v>
      </c>
      <c r="U59" s="80">
        <f>S$13*'Mkt share'!$C$64</f>
        <v>0</v>
      </c>
      <c r="V59" s="80">
        <f>S$16*'Mkt share'!$C$64</f>
        <v>0</v>
      </c>
      <c r="W59" s="88">
        <f>S$19*'Mkt share'!$C$64</f>
        <v>0</v>
      </c>
      <c r="Z59" s="87" t="s">
        <v>175</v>
      </c>
      <c r="AA59" s="105">
        <v>0</v>
      </c>
      <c r="AB59" s="80">
        <f>AA$10*'Mkt share'!$C$65</f>
        <v>0</v>
      </c>
      <c r="AC59" s="80">
        <f>AA$13*'Mkt share'!$C$65</f>
        <v>0</v>
      </c>
      <c r="AD59" s="80">
        <f>AA$16*'Mkt share'!$C$65</f>
        <v>0</v>
      </c>
      <c r="AE59" s="88">
        <f>AA$19*'Mkt share'!$C$65</f>
        <v>0</v>
      </c>
      <c r="AH59" s="87" t="s">
        <v>175</v>
      </c>
      <c r="AI59" s="105">
        <v>0</v>
      </c>
      <c r="AJ59" s="80">
        <f>AI$10*'Mkt share'!$C$66</f>
        <v>0</v>
      </c>
      <c r="AK59" s="80">
        <f>AI$13*'Mkt share'!$C$66</f>
        <v>0</v>
      </c>
      <c r="AL59" s="80">
        <f>AI$16*'Mkt share'!$C$66</f>
        <v>0</v>
      </c>
      <c r="AM59" s="88">
        <f>AI$19*'Mkt share'!$C$66</f>
        <v>0</v>
      </c>
      <c r="AP59" s="87" t="s">
        <v>175</v>
      </c>
      <c r="AQ59" s="105">
        <v>0</v>
      </c>
      <c r="AR59" s="80">
        <f>AQ$10*'Mkt share'!$C$67</f>
        <v>0</v>
      </c>
      <c r="AS59" s="80">
        <f>AQ$13*'Mkt share'!$C$67</f>
        <v>0</v>
      </c>
      <c r="AT59" s="80">
        <f>AQ$16*'Mkt share'!$C$67</f>
        <v>0</v>
      </c>
      <c r="AU59" s="88">
        <f>AQ$19*'Mkt share'!$C$67</f>
        <v>0</v>
      </c>
      <c r="AX59" s="87" t="s">
        <v>175</v>
      </c>
      <c r="AY59" s="105">
        <v>0</v>
      </c>
      <c r="AZ59" s="80">
        <f>AY$10*'Mkt share'!$C$68</f>
        <v>0</v>
      </c>
      <c r="BA59" s="80">
        <f>AY$13*'Mkt share'!$C$68</f>
        <v>0</v>
      </c>
      <c r="BB59" s="80">
        <f>AY$16*'Mkt share'!$C$68</f>
        <v>0</v>
      </c>
      <c r="BC59" s="88">
        <f>AY$19*'Mkt share'!$C$68</f>
        <v>0</v>
      </c>
      <c r="BF59" s="87" t="s">
        <v>175</v>
      </c>
      <c r="BG59" s="105">
        <v>0</v>
      </c>
      <c r="BH59" s="80">
        <f>BG$10*'Mkt share'!$C$69</f>
        <v>0</v>
      </c>
      <c r="BI59" s="80">
        <f>BG$13*'Mkt share'!$C$69</f>
        <v>0</v>
      </c>
      <c r="BJ59" s="80">
        <f>BG$16*'Mkt share'!$C$69</f>
        <v>0</v>
      </c>
      <c r="BK59" s="88">
        <f>BG$19*'Mkt share'!$C$69</f>
        <v>0</v>
      </c>
      <c r="BN59" s="87" t="s">
        <v>175</v>
      </c>
      <c r="BO59" s="105">
        <v>0</v>
      </c>
      <c r="BP59" s="80">
        <f>BO$10*'Mkt share'!$C$70</f>
        <v>0</v>
      </c>
      <c r="BQ59" s="80">
        <f>BO$13*'Mkt share'!$C$70</f>
        <v>0</v>
      </c>
      <c r="BR59" s="80">
        <f>BO$16*'Mkt share'!$C$70</f>
        <v>0</v>
      </c>
      <c r="BS59" s="88">
        <f>BO$19*'Mkt share'!$C$70</f>
        <v>0</v>
      </c>
      <c r="BV59" s="87" t="s">
        <v>175</v>
      </c>
      <c r="BW59" s="105">
        <v>0</v>
      </c>
      <c r="BX59" s="80">
        <f>BW$10*'Mkt share'!$C$71</f>
        <v>0</v>
      </c>
      <c r="BY59" s="80">
        <f>BW$13*'Mkt share'!$C$71</f>
        <v>0</v>
      </c>
      <c r="BZ59" s="80">
        <f>BW$16*'Mkt share'!$C$71</f>
        <v>0</v>
      </c>
      <c r="CA59" s="88">
        <f>BW$19*'Mkt share'!$C$71</f>
        <v>0</v>
      </c>
      <c r="CD59" s="87" t="s">
        <v>175</v>
      </c>
      <c r="CE59" s="105">
        <v>0</v>
      </c>
      <c r="CF59" s="80">
        <f>CE$10*'Mkt share'!$C$72</f>
        <v>0</v>
      </c>
      <c r="CG59" s="80">
        <f>CE$13*'Mkt share'!$C$72</f>
        <v>0</v>
      </c>
      <c r="CH59" s="80">
        <f>CE$16*'Mkt share'!$C$72</f>
        <v>0</v>
      </c>
      <c r="CI59" s="88">
        <f>CE$19*'Mkt share'!$C$72</f>
        <v>0</v>
      </c>
      <c r="CL59" s="87" t="s">
        <v>175</v>
      </c>
      <c r="CM59" s="105">
        <v>0</v>
      </c>
      <c r="CN59" s="80">
        <f>CM$10*'Mkt share'!$C$73</f>
        <v>0</v>
      </c>
      <c r="CO59" s="80">
        <f>CM$13*'Mkt share'!$C$73</f>
        <v>0</v>
      </c>
      <c r="CP59" s="80">
        <f>CM$16*'Mkt share'!$C$73</f>
        <v>0</v>
      </c>
      <c r="CQ59" s="88">
        <f>CM$19*'Mkt share'!$C$73</f>
        <v>0</v>
      </c>
      <c r="CT59" s="87" t="s">
        <v>175</v>
      </c>
      <c r="CU59" s="105">
        <v>0</v>
      </c>
      <c r="CV59" s="80">
        <f>CU$10*'Mkt share'!$C$74</f>
        <v>0</v>
      </c>
      <c r="CW59" s="80">
        <f>CU$13*'Mkt share'!$C$74</f>
        <v>0</v>
      </c>
      <c r="CX59" s="80">
        <f>CU$16*'Mkt share'!$C$74</f>
        <v>0</v>
      </c>
      <c r="CY59" s="88">
        <f>CU$19*'Mkt share'!$C$74</f>
        <v>0</v>
      </c>
      <c r="DB59" s="87" t="s">
        <v>175</v>
      </c>
      <c r="DC59" s="105">
        <v>0</v>
      </c>
      <c r="DD59" s="80">
        <f>DC$10*'Mkt share'!$C$75</f>
        <v>0</v>
      </c>
      <c r="DE59" s="80">
        <f>DC$13*'Mkt share'!$C$75</f>
        <v>0</v>
      </c>
      <c r="DF59" s="80">
        <f>DC$16*'Mkt share'!$C$75</f>
        <v>0</v>
      </c>
      <c r="DG59" s="88">
        <f>DC$19*'Mkt share'!$C$75</f>
        <v>0</v>
      </c>
    </row>
    <row r="60" spans="2:111">
      <c r="B60" s="87" t="s">
        <v>171</v>
      </c>
      <c r="C60" s="103"/>
      <c r="D60" s="80">
        <f>D$7*'Mkt share'!$D$62</f>
        <v>61991.900943934073</v>
      </c>
      <c r="E60" s="80">
        <f>D$8*'Mkt share'!$D$62</f>
        <v>61991.900943934073</v>
      </c>
      <c r="F60" s="80">
        <f>D$11*'Mkt share'!$D$62</f>
        <v>61991.900943934073</v>
      </c>
      <c r="G60" s="88">
        <f>D$14*'Mkt share'!$D$62</f>
        <v>61991.900943934073</v>
      </c>
      <c r="J60" s="87" t="s">
        <v>171</v>
      </c>
      <c r="K60" s="103"/>
      <c r="L60" s="80">
        <f>L$7*'Mkt share'!$D$63</f>
        <v>0</v>
      </c>
      <c r="M60" s="80">
        <f>L$8*'Mkt share'!$D$63</f>
        <v>0</v>
      </c>
      <c r="N60" s="80">
        <f>L$11*'Mkt share'!$D$63</f>
        <v>0</v>
      </c>
      <c r="O60" s="88">
        <f>L$14*'Mkt share'!$D$63</f>
        <v>0</v>
      </c>
      <c r="R60" s="87" t="s">
        <v>171</v>
      </c>
      <c r="S60" s="103"/>
      <c r="T60" s="80">
        <f>T$7*'Mkt share'!$D$64</f>
        <v>0</v>
      </c>
      <c r="U60" s="80">
        <f>T$8*'Mkt share'!$D$64</f>
        <v>0</v>
      </c>
      <c r="V60" s="80">
        <f>T$11*'Mkt share'!$D$64</f>
        <v>0</v>
      </c>
      <c r="W60" s="88">
        <f>T$14*'Mkt share'!$D$64</f>
        <v>0</v>
      </c>
      <c r="Z60" s="87" t="s">
        <v>171</v>
      </c>
      <c r="AA60" s="103"/>
      <c r="AB60" s="80">
        <f>AB$7*'Mkt share'!$D$65</f>
        <v>0</v>
      </c>
      <c r="AC60" s="80">
        <f>AB$8*'Mkt share'!$D$65</f>
        <v>0</v>
      </c>
      <c r="AD60" s="80">
        <f>AB$11*'Mkt share'!$D$65</f>
        <v>0</v>
      </c>
      <c r="AE60" s="88">
        <f>AB$14*'Mkt share'!$D$65</f>
        <v>0</v>
      </c>
      <c r="AH60" s="87" t="s">
        <v>171</v>
      </c>
      <c r="AI60" s="103"/>
      <c r="AJ60" s="80">
        <f>AJ$7*'Mkt share'!$D$66</f>
        <v>247967.60377573629</v>
      </c>
      <c r="AK60" s="80">
        <f>AJ$8*'Mkt share'!$D$66</f>
        <v>247967.60377573629</v>
      </c>
      <c r="AL60" s="80">
        <f>AJ$11*'Mkt share'!$D$66</f>
        <v>247967.60377573629</v>
      </c>
      <c r="AM60" s="88">
        <f>AJ$14*'Mkt share'!$D$66</f>
        <v>247967.60377573629</v>
      </c>
      <c r="AP60" s="87" t="s">
        <v>171</v>
      </c>
      <c r="AQ60" s="103"/>
      <c r="AR60" s="80">
        <f>AR$7*'Mkt share'!$D$67</f>
        <v>0</v>
      </c>
      <c r="AS60" s="80">
        <f>AR$8*'Mkt share'!$D$67</f>
        <v>0</v>
      </c>
      <c r="AT60" s="80">
        <f>AR$11*'Mkt share'!$D$67</f>
        <v>0</v>
      </c>
      <c r="AU60" s="88">
        <f>AR$14*'Mkt share'!$D$67</f>
        <v>0</v>
      </c>
      <c r="AX60" s="87" t="s">
        <v>171</v>
      </c>
      <c r="AY60" s="103"/>
      <c r="AZ60" s="80">
        <f>AZ$7*'Mkt share'!$D$68</f>
        <v>0</v>
      </c>
      <c r="BA60" s="80">
        <f>AZ$8*'Mkt share'!$D$68</f>
        <v>0</v>
      </c>
      <c r="BB60" s="80">
        <f>AZ$11*'Mkt share'!$D$68</f>
        <v>0</v>
      </c>
      <c r="BC60" s="88">
        <f>AZ$14*'Mkt share'!$D$68</f>
        <v>0</v>
      </c>
      <c r="BF60" s="87" t="s">
        <v>171</v>
      </c>
      <c r="BG60" s="103"/>
      <c r="BH60" s="80">
        <f>BH$7*'Mkt share'!$D$69</f>
        <v>0</v>
      </c>
      <c r="BI60" s="80">
        <f>BH$8*'Mkt share'!$D$69</f>
        <v>0</v>
      </c>
      <c r="BJ60" s="80">
        <f>BH$11*'Mkt share'!$D$69</f>
        <v>0</v>
      </c>
      <c r="BK60" s="88">
        <f>BH$14*'Mkt share'!$D$69</f>
        <v>0</v>
      </c>
      <c r="BN60" s="87" t="s">
        <v>171</v>
      </c>
      <c r="BO60" s="103"/>
      <c r="BP60" s="80">
        <f>BP$7*'Mkt share'!$D$70</f>
        <v>0</v>
      </c>
      <c r="BQ60" s="80">
        <f>BP$8*'Mkt share'!$D$70</f>
        <v>0</v>
      </c>
      <c r="BR60" s="80">
        <f>BP$11*'Mkt share'!$D$70</f>
        <v>0</v>
      </c>
      <c r="BS60" s="88">
        <f>BP$14*'Mkt share'!$D$70</f>
        <v>0</v>
      </c>
      <c r="BV60" s="87" t="s">
        <v>171</v>
      </c>
      <c r="BW60" s="103"/>
      <c r="BX60" s="80">
        <f>BX$7*'Mkt share'!$D$71</f>
        <v>0</v>
      </c>
      <c r="BY60" s="80">
        <f>BX$8*'Mkt share'!$D$71</f>
        <v>0</v>
      </c>
      <c r="BZ60" s="80">
        <f>BX$11*'Mkt share'!$D$71</f>
        <v>0</v>
      </c>
      <c r="CA60" s="88">
        <f>BX$14*'Mkt share'!$D$71</f>
        <v>0</v>
      </c>
      <c r="CD60" s="87" t="s">
        <v>171</v>
      </c>
      <c r="CE60" s="103"/>
      <c r="CF60" s="80">
        <f>CF$7*'Mkt share'!$D$72</f>
        <v>0</v>
      </c>
      <c r="CG60" s="80">
        <f>CF$8*'Mkt share'!$D$72</f>
        <v>0</v>
      </c>
      <c r="CH60" s="80">
        <f>CF$11*'Mkt share'!$D$72</f>
        <v>0</v>
      </c>
      <c r="CI60" s="88">
        <f>CF$14*'Mkt share'!$D$72</f>
        <v>0</v>
      </c>
      <c r="CL60" s="87" t="s">
        <v>171</v>
      </c>
      <c r="CM60" s="103"/>
      <c r="CN60" s="80">
        <f>CN$7*'Mkt share'!$D$73</f>
        <v>0</v>
      </c>
      <c r="CO60" s="80">
        <f>CN$8*'Mkt share'!$D$73</f>
        <v>0</v>
      </c>
      <c r="CP60" s="80">
        <f>CN$11*'Mkt share'!$D$73</f>
        <v>0</v>
      </c>
      <c r="CQ60" s="88">
        <f>CN$14*'Mkt share'!$D$73</f>
        <v>0</v>
      </c>
      <c r="CT60" s="87" t="s">
        <v>171</v>
      </c>
      <c r="CU60" s="103"/>
      <c r="CV60" s="80">
        <f>CV$7*'Mkt share'!$D$74</f>
        <v>0</v>
      </c>
      <c r="CW60" s="80">
        <f>CV$8*'Mkt share'!$D$74</f>
        <v>0</v>
      </c>
      <c r="CX60" s="80">
        <f>CV$11*'Mkt share'!$D$74</f>
        <v>0</v>
      </c>
      <c r="CY60" s="88">
        <f>CV$14*'Mkt share'!$D$74</f>
        <v>0</v>
      </c>
      <c r="DB60" s="87" t="s">
        <v>171</v>
      </c>
      <c r="DC60" s="103"/>
      <c r="DD60" s="80">
        <f>DD$7*'Mkt share'!$D$75</f>
        <v>0</v>
      </c>
      <c r="DE60" s="80">
        <f>DD$8*'Mkt share'!$D$75</f>
        <v>0</v>
      </c>
      <c r="DF60" s="80">
        <f>DD$11*'Mkt share'!$D$75</f>
        <v>0</v>
      </c>
      <c r="DG60" s="88">
        <f>DD$14*'Mkt share'!$D$75</f>
        <v>0</v>
      </c>
    </row>
    <row r="61" spans="2:111">
      <c r="B61" s="87" t="s">
        <v>176</v>
      </c>
      <c r="C61" s="103"/>
      <c r="D61" s="105">
        <v>0</v>
      </c>
      <c r="E61" s="80">
        <f>D$10*'Mkt share'!$D$62</f>
        <v>0</v>
      </c>
      <c r="F61" s="80">
        <f>D$13*'Mkt share'!$D$62</f>
        <v>0</v>
      </c>
      <c r="G61" s="88">
        <f>D$16*'Mkt share'!$D$62</f>
        <v>0</v>
      </c>
      <c r="J61" s="87" t="s">
        <v>176</v>
      </c>
      <c r="K61" s="103"/>
      <c r="L61" s="105">
        <v>0</v>
      </c>
      <c r="M61" s="80">
        <f>L$10*'Mkt share'!$D$63</f>
        <v>0</v>
      </c>
      <c r="N61" s="80">
        <f>L$13*'Mkt share'!$D$63</f>
        <v>0</v>
      </c>
      <c r="O61" s="88">
        <f>L$16*'Mkt share'!$D$63</f>
        <v>0</v>
      </c>
      <c r="R61" s="87" t="s">
        <v>176</v>
      </c>
      <c r="S61" s="103"/>
      <c r="T61" s="105">
        <v>0</v>
      </c>
      <c r="U61" s="80">
        <f>T$10*'Mkt share'!$D$64</f>
        <v>0</v>
      </c>
      <c r="V61" s="80">
        <f>T$13*'Mkt share'!$D$64</f>
        <v>0</v>
      </c>
      <c r="W61" s="88">
        <f>T$16*'Mkt share'!$D$64</f>
        <v>0</v>
      </c>
      <c r="Z61" s="87" t="s">
        <v>176</v>
      </c>
      <c r="AA61" s="103"/>
      <c r="AB61" s="105">
        <v>0</v>
      </c>
      <c r="AC61" s="80">
        <f>AB$10*'Mkt share'!$D$65</f>
        <v>0</v>
      </c>
      <c r="AD61" s="80">
        <f>AB$13*'Mkt share'!$D$65</f>
        <v>0</v>
      </c>
      <c r="AE61" s="88">
        <f>AB$16*'Mkt share'!$D$65</f>
        <v>0</v>
      </c>
      <c r="AH61" s="87" t="s">
        <v>176</v>
      </c>
      <c r="AI61" s="103"/>
      <c r="AJ61" s="105">
        <v>0</v>
      </c>
      <c r="AK61" s="80">
        <f>AJ$10*'Mkt share'!$D$66</f>
        <v>0</v>
      </c>
      <c r="AL61" s="80">
        <f>AJ$13*'Mkt share'!$D$66</f>
        <v>0</v>
      </c>
      <c r="AM61" s="88">
        <f>AJ$16*'Mkt share'!$D$66</f>
        <v>0</v>
      </c>
      <c r="AP61" s="87" t="s">
        <v>176</v>
      </c>
      <c r="AQ61" s="103"/>
      <c r="AR61" s="105">
        <v>0</v>
      </c>
      <c r="AS61" s="80">
        <f>AR$10*'Mkt share'!$D$67</f>
        <v>0</v>
      </c>
      <c r="AT61" s="80">
        <f>AR$13*'Mkt share'!$D$67</f>
        <v>0</v>
      </c>
      <c r="AU61" s="88">
        <f>AR$16*'Mkt share'!$D$67</f>
        <v>0</v>
      </c>
      <c r="AX61" s="87" t="s">
        <v>176</v>
      </c>
      <c r="AY61" s="103"/>
      <c r="AZ61" s="105">
        <v>0</v>
      </c>
      <c r="BA61" s="80">
        <f>AZ$10*'Mkt share'!$D$68</f>
        <v>0</v>
      </c>
      <c r="BB61" s="80">
        <f>AZ$13*'Mkt share'!$D$68</f>
        <v>0</v>
      </c>
      <c r="BC61" s="88">
        <f>AZ$16*'Mkt share'!$D$68</f>
        <v>0</v>
      </c>
      <c r="BF61" s="87" t="s">
        <v>176</v>
      </c>
      <c r="BG61" s="103"/>
      <c r="BH61" s="105">
        <v>0</v>
      </c>
      <c r="BI61" s="80">
        <f>BH$10*'Mkt share'!$D$69</f>
        <v>0</v>
      </c>
      <c r="BJ61" s="80">
        <f>BH$13*'Mkt share'!$D$69</f>
        <v>0</v>
      </c>
      <c r="BK61" s="88">
        <f>BH$16*'Mkt share'!$D$69</f>
        <v>0</v>
      </c>
      <c r="BN61" s="87" t="s">
        <v>176</v>
      </c>
      <c r="BO61" s="103"/>
      <c r="BP61" s="105">
        <v>0</v>
      </c>
      <c r="BQ61" s="80">
        <f>BP$10*'Mkt share'!$D$70</f>
        <v>0</v>
      </c>
      <c r="BR61" s="80">
        <f>BP$13*'Mkt share'!$D$70</f>
        <v>0</v>
      </c>
      <c r="BS61" s="88">
        <f>BP$16*'Mkt share'!$D$70</f>
        <v>0</v>
      </c>
      <c r="BV61" s="87" t="s">
        <v>176</v>
      </c>
      <c r="BW61" s="103"/>
      <c r="BX61" s="105">
        <v>0</v>
      </c>
      <c r="BY61" s="80">
        <f>BX$10*'Mkt share'!$D$71</f>
        <v>0</v>
      </c>
      <c r="BZ61" s="80">
        <f>BX$13*'Mkt share'!$D$71</f>
        <v>0</v>
      </c>
      <c r="CA61" s="88">
        <f>BX$16*'Mkt share'!$D$71</f>
        <v>0</v>
      </c>
      <c r="CD61" s="87" t="s">
        <v>176</v>
      </c>
      <c r="CE61" s="103"/>
      <c r="CF61" s="105">
        <v>0</v>
      </c>
      <c r="CG61" s="80">
        <f>CF$10*'Mkt share'!$D$72</f>
        <v>0</v>
      </c>
      <c r="CH61" s="80">
        <f>CF$13*'Mkt share'!$D$72</f>
        <v>0</v>
      </c>
      <c r="CI61" s="88">
        <f>CF$16*'Mkt share'!$D$72</f>
        <v>0</v>
      </c>
      <c r="CL61" s="87" t="s">
        <v>176</v>
      </c>
      <c r="CM61" s="103"/>
      <c r="CN61" s="105">
        <v>0</v>
      </c>
      <c r="CO61" s="80">
        <f>CN$10*'Mkt share'!$D$73</f>
        <v>0</v>
      </c>
      <c r="CP61" s="80">
        <f>CN$13*'Mkt share'!$D$73</f>
        <v>0</v>
      </c>
      <c r="CQ61" s="88">
        <f>CN$16*'Mkt share'!$D$73</f>
        <v>0</v>
      </c>
      <c r="CT61" s="87" t="s">
        <v>176</v>
      </c>
      <c r="CU61" s="103"/>
      <c r="CV61" s="105">
        <v>0</v>
      </c>
      <c r="CW61" s="80">
        <f>CV$10*'Mkt share'!$D$74</f>
        <v>0</v>
      </c>
      <c r="CX61" s="80">
        <f>CV$13*'Mkt share'!$D$74</f>
        <v>0</v>
      </c>
      <c r="CY61" s="88">
        <f>CV$16*'Mkt share'!$D$74</f>
        <v>0</v>
      </c>
      <c r="DB61" s="87" t="s">
        <v>176</v>
      </c>
      <c r="DC61" s="103"/>
      <c r="DD61" s="105">
        <v>0</v>
      </c>
      <c r="DE61" s="80">
        <f>DD$10*'Mkt share'!$D$75</f>
        <v>0</v>
      </c>
      <c r="DF61" s="80">
        <f>DD$13*'Mkt share'!$D$75</f>
        <v>0</v>
      </c>
      <c r="DG61" s="88">
        <f>DD$16*'Mkt share'!$D$75</f>
        <v>0</v>
      </c>
    </row>
    <row r="62" spans="2:111">
      <c r="B62" s="87" t="s">
        <v>172</v>
      </c>
      <c r="C62" s="103"/>
      <c r="D62" s="103"/>
      <c r="E62" s="80">
        <f>E$7*'Mkt share'!$E$62</f>
        <v>92624.148013108163</v>
      </c>
      <c r="F62" s="80">
        <f>E$8*'Mkt share'!$E$62</f>
        <v>92624.148013108163</v>
      </c>
      <c r="G62" s="88">
        <f>E$11*'Mkt share'!$E$62</f>
        <v>92624.148013108163</v>
      </c>
      <c r="J62" s="87" t="s">
        <v>172</v>
      </c>
      <c r="K62" s="103"/>
      <c r="L62" s="103"/>
      <c r="M62" s="80">
        <f>M$7*'Mkt share'!$E$63</f>
        <v>0</v>
      </c>
      <c r="N62" s="80">
        <f>M$8*'Mkt share'!$E$63</f>
        <v>0</v>
      </c>
      <c r="O62" s="88">
        <f>M$11*'Mkt share'!$E$63</f>
        <v>0</v>
      </c>
      <c r="R62" s="87" t="s">
        <v>172</v>
      </c>
      <c r="S62" s="103"/>
      <c r="T62" s="103"/>
      <c r="U62" s="80">
        <f>U$7*'Mkt share'!$E$64</f>
        <v>0</v>
      </c>
      <c r="V62" s="80">
        <f>U$8*'Mkt share'!$E$64</f>
        <v>0</v>
      </c>
      <c r="W62" s="88">
        <f>U$11*'Mkt share'!$E$64</f>
        <v>0</v>
      </c>
      <c r="Z62" s="87" t="s">
        <v>172</v>
      </c>
      <c r="AA62" s="103"/>
      <c r="AB62" s="103"/>
      <c r="AC62" s="80">
        <f>AC$7*'Mkt share'!$E$65</f>
        <v>0</v>
      </c>
      <c r="AD62" s="80">
        <f>AC$8*'Mkt share'!$E$65</f>
        <v>0</v>
      </c>
      <c r="AE62" s="88">
        <f>AC$11*'Mkt share'!$E$65</f>
        <v>0</v>
      </c>
      <c r="AH62" s="87" t="s">
        <v>172</v>
      </c>
      <c r="AI62" s="103"/>
      <c r="AJ62" s="103"/>
      <c r="AK62" s="80">
        <f>AK$7*'Mkt share'!$E$66</f>
        <v>216123.01203058573</v>
      </c>
      <c r="AL62" s="80">
        <f>AK$8*'Mkt share'!$E$66</f>
        <v>216123.01203058573</v>
      </c>
      <c r="AM62" s="88">
        <f>AK$11*'Mkt share'!$E$66</f>
        <v>216123.01203058573</v>
      </c>
      <c r="AP62" s="87" t="s">
        <v>172</v>
      </c>
      <c r="AQ62" s="103"/>
      <c r="AR62" s="103"/>
      <c r="AS62" s="80">
        <f>AS$7*'Mkt share'!$E$67</f>
        <v>0</v>
      </c>
      <c r="AT62" s="80">
        <f>AS$8*'Mkt share'!$E$67</f>
        <v>0</v>
      </c>
      <c r="AU62" s="88">
        <f>AS$11*'Mkt share'!$E$67</f>
        <v>0</v>
      </c>
      <c r="AX62" s="87" t="s">
        <v>172</v>
      </c>
      <c r="AY62" s="103"/>
      <c r="AZ62" s="103"/>
      <c r="BA62" s="80">
        <f>BA$7*'Mkt share'!$E$68</f>
        <v>0</v>
      </c>
      <c r="BB62" s="80">
        <f>BA$8*'Mkt share'!$E$68</f>
        <v>0</v>
      </c>
      <c r="BC62" s="88">
        <f>BA$11*'Mkt share'!$E$68</f>
        <v>0</v>
      </c>
      <c r="BF62" s="87" t="s">
        <v>172</v>
      </c>
      <c r="BG62" s="103"/>
      <c r="BH62" s="103"/>
      <c r="BI62" s="80">
        <f>BI$7*'Mkt share'!$E$69</f>
        <v>0</v>
      </c>
      <c r="BJ62" s="80">
        <f>BI$8*'Mkt share'!$E$69</f>
        <v>0</v>
      </c>
      <c r="BK62" s="88">
        <f>BI$11*'Mkt share'!$E$69</f>
        <v>0</v>
      </c>
      <c r="BN62" s="87" t="s">
        <v>172</v>
      </c>
      <c r="BO62" s="103"/>
      <c r="BP62" s="103"/>
      <c r="BQ62" s="80">
        <f>BQ$7*'Mkt share'!$E$70</f>
        <v>0</v>
      </c>
      <c r="BR62" s="80">
        <f>BQ$8*'Mkt share'!$E$70</f>
        <v>0</v>
      </c>
      <c r="BS62" s="88">
        <f>BQ$11*'Mkt share'!$E$70</f>
        <v>0</v>
      </c>
      <c r="BV62" s="87" t="s">
        <v>172</v>
      </c>
      <c r="BW62" s="103"/>
      <c r="BX62" s="103"/>
      <c r="BY62" s="80">
        <f>BY$7*'Mkt share'!$E$71</f>
        <v>0</v>
      </c>
      <c r="BZ62" s="80">
        <f>BY$8*'Mkt share'!$E$71</f>
        <v>0</v>
      </c>
      <c r="CA62" s="88">
        <f>BY$11*'Mkt share'!$E$71</f>
        <v>0</v>
      </c>
      <c r="CD62" s="87" t="s">
        <v>172</v>
      </c>
      <c r="CE62" s="103"/>
      <c r="CF62" s="103"/>
      <c r="CG62" s="80">
        <f>CG$7*'Mkt share'!$E$72</f>
        <v>0</v>
      </c>
      <c r="CH62" s="80">
        <f>CG$8*'Mkt share'!$E$72</f>
        <v>0</v>
      </c>
      <c r="CI62" s="88">
        <f>CG$11*'Mkt share'!$E$72</f>
        <v>0</v>
      </c>
      <c r="CL62" s="87" t="s">
        <v>172</v>
      </c>
      <c r="CM62" s="103"/>
      <c r="CN62" s="103"/>
      <c r="CO62" s="80">
        <f>CO$7*'Mkt share'!$E$73</f>
        <v>0</v>
      </c>
      <c r="CP62" s="80">
        <f>CO$8*'Mkt share'!$E$73</f>
        <v>0</v>
      </c>
      <c r="CQ62" s="88">
        <f>CO$11*'Mkt share'!$E$73</f>
        <v>0</v>
      </c>
      <c r="CT62" s="87" t="s">
        <v>172</v>
      </c>
      <c r="CU62" s="103"/>
      <c r="CV62" s="103"/>
      <c r="CW62" s="80">
        <f>CW$7*'Mkt share'!$E$74</f>
        <v>0</v>
      </c>
      <c r="CX62" s="80">
        <f>CW$8*'Mkt share'!$E$74</f>
        <v>0</v>
      </c>
      <c r="CY62" s="88">
        <f>CW$11*'Mkt share'!$E$74</f>
        <v>0</v>
      </c>
      <c r="DB62" s="87" t="s">
        <v>172</v>
      </c>
      <c r="DC62" s="103"/>
      <c r="DD62" s="103"/>
      <c r="DE62" s="80">
        <f>DE$7*'Mkt share'!$E$75</f>
        <v>0</v>
      </c>
      <c r="DF62" s="80">
        <f>DE$8*'Mkt share'!$E$75</f>
        <v>0</v>
      </c>
      <c r="DG62" s="88">
        <f>DE$11*'Mkt share'!$E$75</f>
        <v>0</v>
      </c>
    </row>
    <row r="63" spans="2:111">
      <c r="B63" s="87" t="s">
        <v>177</v>
      </c>
      <c r="C63" s="103"/>
      <c r="D63" s="103"/>
      <c r="E63" s="105">
        <v>0</v>
      </c>
      <c r="F63" s="80">
        <f>E$10*'Mkt share'!$E$62</f>
        <v>0</v>
      </c>
      <c r="G63" s="88">
        <f>E$13*'Mkt share'!$E$62</f>
        <v>0</v>
      </c>
      <c r="J63" s="87" t="s">
        <v>177</v>
      </c>
      <c r="K63" s="103"/>
      <c r="L63" s="103"/>
      <c r="M63" s="105">
        <v>0</v>
      </c>
      <c r="N63" s="80">
        <f>M$10*'Mkt share'!$E$63</f>
        <v>0</v>
      </c>
      <c r="O63" s="88">
        <f>M$13*'Mkt share'!$E$63</f>
        <v>0</v>
      </c>
      <c r="R63" s="87" t="s">
        <v>177</v>
      </c>
      <c r="S63" s="103"/>
      <c r="T63" s="103"/>
      <c r="U63" s="105">
        <v>0</v>
      </c>
      <c r="V63" s="80">
        <f>U$10*'Mkt share'!$E$64</f>
        <v>0</v>
      </c>
      <c r="W63" s="88">
        <f>U$13*'Mkt share'!$E$64</f>
        <v>0</v>
      </c>
      <c r="Z63" s="87" t="s">
        <v>177</v>
      </c>
      <c r="AA63" s="103"/>
      <c r="AB63" s="103"/>
      <c r="AC63" s="105">
        <v>0</v>
      </c>
      <c r="AD63" s="80">
        <f>AC$10*'Mkt share'!$E$65</f>
        <v>0</v>
      </c>
      <c r="AE63" s="88">
        <f>AC$13*'Mkt share'!$E$65</f>
        <v>0</v>
      </c>
      <c r="AH63" s="87" t="s">
        <v>177</v>
      </c>
      <c r="AI63" s="103"/>
      <c r="AJ63" s="103"/>
      <c r="AK63" s="105">
        <v>0</v>
      </c>
      <c r="AL63" s="80">
        <f>AK$10*'Mkt share'!$E$66</f>
        <v>0</v>
      </c>
      <c r="AM63" s="88">
        <f>AK$13*'Mkt share'!$E$66</f>
        <v>0</v>
      </c>
      <c r="AP63" s="87" t="s">
        <v>177</v>
      </c>
      <c r="AQ63" s="103"/>
      <c r="AR63" s="103"/>
      <c r="AS63" s="105">
        <v>0</v>
      </c>
      <c r="AT63" s="80">
        <f>AS$10*'Mkt share'!$E$67</f>
        <v>0</v>
      </c>
      <c r="AU63" s="88">
        <f>AS$13*'Mkt share'!$E$67</f>
        <v>0</v>
      </c>
      <c r="AX63" s="87" t="s">
        <v>177</v>
      </c>
      <c r="AY63" s="103"/>
      <c r="AZ63" s="103"/>
      <c r="BA63" s="105">
        <v>0</v>
      </c>
      <c r="BB63" s="80">
        <f>BA$10*'Mkt share'!$E$68</f>
        <v>0</v>
      </c>
      <c r="BC63" s="88">
        <f>BA$13*'Mkt share'!$E$68</f>
        <v>0</v>
      </c>
      <c r="BF63" s="87" t="s">
        <v>177</v>
      </c>
      <c r="BG63" s="103"/>
      <c r="BH63" s="103"/>
      <c r="BI63" s="105">
        <v>0</v>
      </c>
      <c r="BJ63" s="80">
        <f>BI$10*'Mkt share'!$E$69</f>
        <v>0</v>
      </c>
      <c r="BK63" s="88">
        <f>BI$13*'Mkt share'!$E$69</f>
        <v>0</v>
      </c>
      <c r="BN63" s="87" t="s">
        <v>177</v>
      </c>
      <c r="BO63" s="103"/>
      <c r="BP63" s="103"/>
      <c r="BQ63" s="105">
        <v>0</v>
      </c>
      <c r="BR63" s="80">
        <f>BQ$10*'Mkt share'!$E$70</f>
        <v>0</v>
      </c>
      <c r="BS63" s="88">
        <f>BQ$13*'Mkt share'!$E$70</f>
        <v>0</v>
      </c>
      <c r="BV63" s="87" t="s">
        <v>177</v>
      </c>
      <c r="BW63" s="103"/>
      <c r="BX63" s="103"/>
      <c r="BY63" s="105">
        <v>0</v>
      </c>
      <c r="BZ63" s="80">
        <f>BY$10*'Mkt share'!$E$71</f>
        <v>0</v>
      </c>
      <c r="CA63" s="88">
        <f>BY$13*'Mkt share'!$E$71</f>
        <v>0</v>
      </c>
      <c r="CD63" s="87" t="s">
        <v>177</v>
      </c>
      <c r="CE63" s="103"/>
      <c r="CF63" s="103"/>
      <c r="CG63" s="105">
        <v>0</v>
      </c>
      <c r="CH63" s="80">
        <f>CG$10*'Mkt share'!$E$72</f>
        <v>0</v>
      </c>
      <c r="CI63" s="88">
        <f>CG$13*'Mkt share'!$E$72</f>
        <v>0</v>
      </c>
      <c r="CL63" s="87" t="s">
        <v>177</v>
      </c>
      <c r="CM63" s="103"/>
      <c r="CN63" s="103"/>
      <c r="CO63" s="105">
        <v>0</v>
      </c>
      <c r="CP63" s="80">
        <f>CO$10*'Mkt share'!$E$73</f>
        <v>0</v>
      </c>
      <c r="CQ63" s="88">
        <f>CO$13*'Mkt share'!$E$73</f>
        <v>0</v>
      </c>
      <c r="CT63" s="87" t="s">
        <v>177</v>
      </c>
      <c r="CU63" s="103"/>
      <c r="CV63" s="103"/>
      <c r="CW63" s="105">
        <v>0</v>
      </c>
      <c r="CX63" s="80">
        <f>CW$10*'Mkt share'!$E$74</f>
        <v>0</v>
      </c>
      <c r="CY63" s="88">
        <f>CW$13*'Mkt share'!$E$74</f>
        <v>0</v>
      </c>
      <c r="DB63" s="87" t="s">
        <v>177</v>
      </c>
      <c r="DC63" s="103"/>
      <c r="DD63" s="103"/>
      <c r="DE63" s="105">
        <v>0</v>
      </c>
      <c r="DF63" s="80">
        <f>DE$10*'Mkt share'!$E$75</f>
        <v>0</v>
      </c>
      <c r="DG63" s="88">
        <f>DE$13*'Mkt share'!$E$75</f>
        <v>0</v>
      </c>
    </row>
    <row r="64" spans="2:111">
      <c r="B64" s="87" t="s">
        <v>173</v>
      </c>
      <c r="C64" s="103"/>
      <c r="D64" s="103"/>
      <c r="E64" s="103"/>
      <c r="F64" s="80">
        <f>F$7*'Mkt share'!$F$62</f>
        <v>122917.07723334793</v>
      </c>
      <c r="G64" s="88">
        <f>F$8*'Mkt share'!$F$62</f>
        <v>122917.07723334793</v>
      </c>
      <c r="J64" s="87" t="s">
        <v>173</v>
      </c>
      <c r="K64" s="103"/>
      <c r="L64" s="103"/>
      <c r="M64" s="103"/>
      <c r="N64" s="80">
        <f>N$7*'Mkt share'!$F$63</f>
        <v>0</v>
      </c>
      <c r="O64" s="88">
        <f>N$8*'Mkt share'!$F$63</f>
        <v>0</v>
      </c>
      <c r="R64" s="87" t="s">
        <v>173</v>
      </c>
      <c r="S64" s="103"/>
      <c r="T64" s="103"/>
      <c r="U64" s="103"/>
      <c r="V64" s="80">
        <f>V$7*'Mkt share'!$F$64</f>
        <v>0</v>
      </c>
      <c r="W64" s="88">
        <f>V$8*'Mkt share'!$F$64</f>
        <v>0</v>
      </c>
      <c r="Z64" s="87" t="s">
        <v>173</v>
      </c>
      <c r="AA64" s="103"/>
      <c r="AB64" s="103"/>
      <c r="AC64" s="103"/>
      <c r="AD64" s="80">
        <f>AD$7*'Mkt share'!$F$65</f>
        <v>0</v>
      </c>
      <c r="AE64" s="88">
        <f>AD$8*'Mkt share'!$F$65</f>
        <v>0</v>
      </c>
      <c r="AH64" s="87" t="s">
        <v>173</v>
      </c>
      <c r="AI64" s="103"/>
      <c r="AJ64" s="103"/>
      <c r="AK64" s="103"/>
      <c r="AL64" s="80">
        <f>AL$7*'Mkt share'!$F$66</f>
        <v>184375.61585002189</v>
      </c>
      <c r="AM64" s="88">
        <f>AL$8*'Mkt share'!$F$66</f>
        <v>184375.61585002189</v>
      </c>
      <c r="AP64" s="87" t="s">
        <v>173</v>
      </c>
      <c r="AQ64" s="103"/>
      <c r="AR64" s="103"/>
      <c r="AS64" s="103"/>
      <c r="AT64" s="80">
        <f>AT$7*'Mkt share'!$F$67</f>
        <v>0</v>
      </c>
      <c r="AU64" s="88">
        <f>AT$8*'Mkt share'!$F$67</f>
        <v>0</v>
      </c>
      <c r="AX64" s="87" t="s">
        <v>173</v>
      </c>
      <c r="AY64" s="103"/>
      <c r="AZ64" s="103"/>
      <c r="BA64" s="103"/>
      <c r="BB64" s="80">
        <f>BB$7*'Mkt share'!$F$68</f>
        <v>0</v>
      </c>
      <c r="BC64" s="88">
        <f>BB$8*'Mkt share'!$F$68</f>
        <v>0</v>
      </c>
      <c r="BF64" s="87" t="s">
        <v>173</v>
      </c>
      <c r="BG64" s="103"/>
      <c r="BH64" s="103"/>
      <c r="BI64" s="103"/>
      <c r="BJ64" s="80">
        <f>BJ$7*'Mkt share'!$F$69</f>
        <v>0</v>
      </c>
      <c r="BK64" s="88">
        <f>BJ$8*'Mkt share'!$F$69</f>
        <v>0</v>
      </c>
      <c r="BN64" s="87" t="s">
        <v>173</v>
      </c>
      <c r="BO64" s="103"/>
      <c r="BP64" s="103"/>
      <c r="BQ64" s="103"/>
      <c r="BR64" s="80">
        <f>BR$7*'Mkt share'!$F$70</f>
        <v>0</v>
      </c>
      <c r="BS64" s="88">
        <f>BR$8*'Mkt share'!$F$70</f>
        <v>0</v>
      </c>
      <c r="BV64" s="87" t="s">
        <v>173</v>
      </c>
      <c r="BW64" s="103"/>
      <c r="BX64" s="103"/>
      <c r="BY64" s="103"/>
      <c r="BZ64" s="80">
        <f>BZ$7*'Mkt share'!$F$71</f>
        <v>0</v>
      </c>
      <c r="CA64" s="88">
        <f>BZ$8*'Mkt share'!$F$71</f>
        <v>0</v>
      </c>
      <c r="CD64" s="87" t="s">
        <v>173</v>
      </c>
      <c r="CE64" s="103"/>
      <c r="CF64" s="103"/>
      <c r="CG64" s="103"/>
      <c r="CH64" s="80">
        <f>CH$7*'Mkt share'!$F$72</f>
        <v>0</v>
      </c>
      <c r="CI64" s="88">
        <f>CH$8*'Mkt share'!$F$72</f>
        <v>0</v>
      </c>
      <c r="CL64" s="87" t="s">
        <v>173</v>
      </c>
      <c r="CM64" s="103"/>
      <c r="CN64" s="103"/>
      <c r="CO64" s="103"/>
      <c r="CP64" s="80">
        <f>CP$7*'Mkt share'!$F$73</f>
        <v>0</v>
      </c>
      <c r="CQ64" s="88">
        <f>CP$8*'Mkt share'!$F$73</f>
        <v>0</v>
      </c>
      <c r="CT64" s="87" t="s">
        <v>173</v>
      </c>
      <c r="CU64" s="103"/>
      <c r="CV64" s="103"/>
      <c r="CW64" s="103"/>
      <c r="CX64" s="80">
        <f>CX$7*'Mkt share'!$F$74</f>
        <v>0</v>
      </c>
      <c r="CY64" s="88">
        <f>CX$8*'Mkt share'!$F$74</f>
        <v>0</v>
      </c>
      <c r="DB64" s="87" t="s">
        <v>173</v>
      </c>
      <c r="DC64" s="103"/>
      <c r="DD64" s="103"/>
      <c r="DE64" s="103"/>
      <c r="DF64" s="80">
        <f>DF$7*'Mkt share'!$F$75</f>
        <v>0</v>
      </c>
      <c r="DG64" s="88">
        <f>DF$8*'Mkt share'!$F$75</f>
        <v>0</v>
      </c>
    </row>
    <row r="65" spans="2:111">
      <c r="B65" s="87" t="s">
        <v>178</v>
      </c>
      <c r="C65" s="103"/>
      <c r="D65" s="103"/>
      <c r="E65" s="103"/>
      <c r="F65" s="105">
        <v>0</v>
      </c>
      <c r="G65" s="88">
        <f>F$10*'Mkt share'!$F$62</f>
        <v>0</v>
      </c>
      <c r="J65" s="87" t="s">
        <v>178</v>
      </c>
      <c r="K65" s="103"/>
      <c r="L65" s="103"/>
      <c r="M65" s="103"/>
      <c r="N65" s="105">
        <v>0</v>
      </c>
      <c r="O65" s="88">
        <f>N$10*'Mkt share'!$F$63</f>
        <v>0</v>
      </c>
      <c r="R65" s="87" t="s">
        <v>178</v>
      </c>
      <c r="S65" s="103"/>
      <c r="T65" s="103"/>
      <c r="U65" s="103"/>
      <c r="V65" s="105">
        <v>0</v>
      </c>
      <c r="W65" s="88">
        <f>V$10*'Mkt share'!$F$64</f>
        <v>0</v>
      </c>
      <c r="Z65" s="87" t="s">
        <v>178</v>
      </c>
      <c r="AA65" s="103"/>
      <c r="AB65" s="103"/>
      <c r="AC65" s="103"/>
      <c r="AD65" s="105">
        <v>0</v>
      </c>
      <c r="AE65" s="88">
        <f>AD$10*'Mkt share'!$F$65</f>
        <v>0</v>
      </c>
      <c r="AH65" s="87" t="s">
        <v>178</v>
      </c>
      <c r="AI65" s="103"/>
      <c r="AJ65" s="103"/>
      <c r="AK65" s="103"/>
      <c r="AL65" s="105">
        <v>0</v>
      </c>
      <c r="AM65" s="88">
        <f>AL$10*'Mkt share'!$F$66</f>
        <v>0</v>
      </c>
      <c r="AP65" s="87" t="s">
        <v>178</v>
      </c>
      <c r="AQ65" s="103"/>
      <c r="AR65" s="103"/>
      <c r="AS65" s="103"/>
      <c r="AT65" s="105">
        <v>0</v>
      </c>
      <c r="AU65" s="88">
        <f>AT$10*'Mkt share'!$F$67</f>
        <v>0</v>
      </c>
      <c r="AX65" s="87" t="s">
        <v>178</v>
      </c>
      <c r="AY65" s="103"/>
      <c r="AZ65" s="103"/>
      <c r="BA65" s="103"/>
      <c r="BB65" s="105">
        <v>0</v>
      </c>
      <c r="BC65" s="88">
        <f>BB$10*'Mkt share'!$F$68</f>
        <v>0</v>
      </c>
      <c r="BF65" s="87" t="s">
        <v>178</v>
      </c>
      <c r="BG65" s="103"/>
      <c r="BH65" s="103"/>
      <c r="BI65" s="103"/>
      <c r="BJ65" s="105">
        <v>0</v>
      </c>
      <c r="BK65" s="88">
        <f>BJ$10*'Mkt share'!$F$69</f>
        <v>0</v>
      </c>
      <c r="BN65" s="87" t="s">
        <v>178</v>
      </c>
      <c r="BO65" s="103"/>
      <c r="BP65" s="103"/>
      <c r="BQ65" s="103"/>
      <c r="BR65" s="105">
        <v>0</v>
      </c>
      <c r="BS65" s="88">
        <f>BR$10*'Mkt share'!$F$70</f>
        <v>0</v>
      </c>
      <c r="BV65" s="87" t="s">
        <v>178</v>
      </c>
      <c r="BW65" s="103"/>
      <c r="BX65" s="103"/>
      <c r="BY65" s="103"/>
      <c r="BZ65" s="105">
        <v>0</v>
      </c>
      <c r="CA65" s="88">
        <f>BZ$10*'Mkt share'!$F$71</f>
        <v>0</v>
      </c>
      <c r="CD65" s="87" t="s">
        <v>178</v>
      </c>
      <c r="CE65" s="103"/>
      <c r="CF65" s="103"/>
      <c r="CG65" s="103"/>
      <c r="CH65" s="105">
        <v>0</v>
      </c>
      <c r="CI65" s="88">
        <f>CH$10*'Mkt share'!$F$72</f>
        <v>0</v>
      </c>
      <c r="CL65" s="87" t="s">
        <v>178</v>
      </c>
      <c r="CM65" s="103"/>
      <c r="CN65" s="103"/>
      <c r="CO65" s="103"/>
      <c r="CP65" s="105">
        <v>0</v>
      </c>
      <c r="CQ65" s="88">
        <f>CP$10*'Mkt share'!$F$73</f>
        <v>0</v>
      </c>
      <c r="CT65" s="87" t="s">
        <v>178</v>
      </c>
      <c r="CU65" s="103"/>
      <c r="CV65" s="103"/>
      <c r="CW65" s="103"/>
      <c r="CX65" s="105">
        <v>0</v>
      </c>
      <c r="CY65" s="88">
        <f>CX$10*'Mkt share'!$F$74</f>
        <v>0</v>
      </c>
      <c r="DB65" s="87" t="s">
        <v>178</v>
      </c>
      <c r="DC65" s="103"/>
      <c r="DD65" s="103"/>
      <c r="DE65" s="103"/>
      <c r="DF65" s="105">
        <v>0</v>
      </c>
      <c r="DG65" s="88">
        <f>DF$10*'Mkt share'!$F$75</f>
        <v>0</v>
      </c>
    </row>
    <row r="66" spans="2:111">
      <c r="B66" s="87" t="s">
        <v>174</v>
      </c>
      <c r="C66" s="103"/>
      <c r="D66" s="103"/>
      <c r="E66" s="103"/>
      <c r="F66" s="103"/>
      <c r="G66" s="88">
        <f>G$7*'Mkt share'!$G$62</f>
        <v>152731.25002950861</v>
      </c>
      <c r="J66" s="87" t="s">
        <v>174</v>
      </c>
      <c r="K66" s="103"/>
      <c r="L66" s="103"/>
      <c r="M66" s="103"/>
      <c r="N66" s="103"/>
      <c r="O66" s="88">
        <f>O$7*'Mkt share'!$G$63</f>
        <v>0</v>
      </c>
      <c r="R66" s="87" t="s">
        <v>174</v>
      </c>
      <c r="S66" s="103"/>
      <c r="T66" s="103"/>
      <c r="U66" s="103"/>
      <c r="V66" s="103"/>
      <c r="W66" s="88">
        <f>W$7*'Mkt share'!$G$64</f>
        <v>0</v>
      </c>
      <c r="Z66" s="87" t="s">
        <v>174</v>
      </c>
      <c r="AA66" s="103"/>
      <c r="AB66" s="103"/>
      <c r="AC66" s="103"/>
      <c r="AD66" s="103"/>
      <c r="AE66" s="88">
        <f>AE$7*'Mkt share'!$G$65</f>
        <v>0</v>
      </c>
      <c r="AH66" s="87" t="s">
        <v>174</v>
      </c>
      <c r="AI66" s="103"/>
      <c r="AJ66" s="103"/>
      <c r="AK66" s="103"/>
      <c r="AL66" s="103"/>
      <c r="AM66" s="88">
        <f>AM$7*'Mkt share'!$G$66</f>
        <v>152731.25002950861</v>
      </c>
      <c r="AP66" s="87" t="s">
        <v>174</v>
      </c>
      <c r="AQ66" s="103"/>
      <c r="AR66" s="103"/>
      <c r="AS66" s="103"/>
      <c r="AT66" s="103"/>
      <c r="AU66" s="88">
        <f>AU$7*'Mkt share'!$G$67</f>
        <v>0</v>
      </c>
      <c r="AX66" s="87" t="s">
        <v>174</v>
      </c>
      <c r="AY66" s="103"/>
      <c r="AZ66" s="103"/>
      <c r="BA66" s="103"/>
      <c r="BB66" s="103"/>
      <c r="BC66" s="88">
        <f>BC$7*'Mkt share'!$G$68</f>
        <v>0</v>
      </c>
      <c r="BF66" s="87" t="s">
        <v>174</v>
      </c>
      <c r="BG66" s="103"/>
      <c r="BH66" s="103"/>
      <c r="BI66" s="103"/>
      <c r="BJ66" s="103"/>
      <c r="BK66" s="88">
        <f>BK$7*'Mkt share'!$G$69</f>
        <v>0</v>
      </c>
      <c r="BN66" s="87" t="s">
        <v>174</v>
      </c>
      <c r="BO66" s="103"/>
      <c r="BP66" s="103"/>
      <c r="BQ66" s="103"/>
      <c r="BR66" s="103"/>
      <c r="BS66" s="88">
        <f>BS$7*'Mkt share'!$G$70</f>
        <v>0</v>
      </c>
      <c r="BV66" s="87" t="s">
        <v>174</v>
      </c>
      <c r="BW66" s="103"/>
      <c r="BX66" s="103"/>
      <c r="BY66" s="103"/>
      <c r="BZ66" s="103"/>
      <c r="CA66" s="88">
        <f>CA$7*'Mkt share'!$G$71</f>
        <v>0</v>
      </c>
      <c r="CD66" s="87" t="s">
        <v>174</v>
      </c>
      <c r="CE66" s="103"/>
      <c r="CF66" s="103"/>
      <c r="CG66" s="103"/>
      <c r="CH66" s="103"/>
      <c r="CI66" s="88">
        <f>CI$7*'Mkt share'!$G$72</f>
        <v>0</v>
      </c>
      <c r="CL66" s="87" t="s">
        <v>174</v>
      </c>
      <c r="CM66" s="103"/>
      <c r="CN66" s="103"/>
      <c r="CO66" s="103"/>
      <c r="CP66" s="103"/>
      <c r="CQ66" s="88">
        <f>CQ$7*'Mkt share'!$G$73</f>
        <v>0</v>
      </c>
      <c r="CT66" s="87" t="s">
        <v>174</v>
      </c>
      <c r="CU66" s="103"/>
      <c r="CV66" s="103"/>
      <c r="CW66" s="103"/>
      <c r="CX66" s="103"/>
      <c r="CY66" s="88">
        <f>CY$7*'Mkt share'!$G$74</f>
        <v>0</v>
      </c>
      <c r="DB66" s="87" t="s">
        <v>174</v>
      </c>
      <c r="DC66" s="103"/>
      <c r="DD66" s="103"/>
      <c r="DE66" s="103"/>
      <c r="DF66" s="103"/>
      <c r="DG66" s="88">
        <f>DG$7*'Mkt share'!$G$75</f>
        <v>0</v>
      </c>
    </row>
    <row r="67" spans="2:111" ht="15" thickBot="1">
      <c r="B67" s="87" t="s">
        <v>179</v>
      </c>
      <c r="C67" s="103"/>
      <c r="D67" s="103"/>
      <c r="E67" s="103"/>
      <c r="F67" s="103"/>
      <c r="G67" s="106">
        <v>0</v>
      </c>
      <c r="J67" s="87" t="s">
        <v>179</v>
      </c>
      <c r="K67" s="103"/>
      <c r="L67" s="103"/>
      <c r="M67" s="103"/>
      <c r="N67" s="103"/>
      <c r="O67" s="106">
        <v>0</v>
      </c>
      <c r="R67" s="87" t="s">
        <v>179</v>
      </c>
      <c r="S67" s="103"/>
      <c r="T67" s="103"/>
      <c r="U67" s="103"/>
      <c r="V67" s="103"/>
      <c r="W67" s="106">
        <v>0</v>
      </c>
      <c r="Z67" s="87" t="s">
        <v>179</v>
      </c>
      <c r="AA67" s="103"/>
      <c r="AB67" s="103"/>
      <c r="AC67" s="103"/>
      <c r="AD67" s="103"/>
      <c r="AE67" s="106">
        <v>0</v>
      </c>
      <c r="AH67" s="87" t="s">
        <v>179</v>
      </c>
      <c r="AI67" s="103"/>
      <c r="AJ67" s="103"/>
      <c r="AK67" s="103"/>
      <c r="AL67" s="103"/>
      <c r="AM67" s="106">
        <v>0</v>
      </c>
      <c r="AP67" s="87" t="s">
        <v>179</v>
      </c>
      <c r="AQ67" s="103"/>
      <c r="AR67" s="103"/>
      <c r="AS67" s="103"/>
      <c r="AT67" s="103"/>
      <c r="AU67" s="106">
        <v>0</v>
      </c>
      <c r="AX67" s="87" t="s">
        <v>179</v>
      </c>
      <c r="AY67" s="103"/>
      <c r="AZ67" s="103"/>
      <c r="BA67" s="103"/>
      <c r="BB67" s="103"/>
      <c r="BC67" s="106">
        <v>0</v>
      </c>
      <c r="BF67" s="87" t="s">
        <v>179</v>
      </c>
      <c r="BG67" s="103"/>
      <c r="BH67" s="103"/>
      <c r="BI67" s="103"/>
      <c r="BJ67" s="103"/>
      <c r="BK67" s="106">
        <v>0</v>
      </c>
      <c r="BN67" s="87" t="s">
        <v>179</v>
      </c>
      <c r="BO67" s="103"/>
      <c r="BP67" s="103"/>
      <c r="BQ67" s="103"/>
      <c r="BR67" s="103"/>
      <c r="BS67" s="106">
        <v>0</v>
      </c>
      <c r="BV67" s="87" t="s">
        <v>179</v>
      </c>
      <c r="BW67" s="103"/>
      <c r="BX67" s="103"/>
      <c r="BY67" s="103"/>
      <c r="BZ67" s="103"/>
      <c r="CA67" s="106">
        <v>0</v>
      </c>
      <c r="CD67" s="87" t="s">
        <v>179</v>
      </c>
      <c r="CE67" s="103"/>
      <c r="CF67" s="103"/>
      <c r="CG67" s="103"/>
      <c r="CH67" s="103"/>
      <c r="CI67" s="106">
        <v>0</v>
      </c>
      <c r="CL67" s="87" t="s">
        <v>179</v>
      </c>
      <c r="CM67" s="103"/>
      <c r="CN67" s="103"/>
      <c r="CO67" s="103"/>
      <c r="CP67" s="103"/>
      <c r="CQ67" s="106">
        <v>0</v>
      </c>
      <c r="CT67" s="87" t="s">
        <v>179</v>
      </c>
      <c r="CU67" s="103"/>
      <c r="CV67" s="103"/>
      <c r="CW67" s="103"/>
      <c r="CX67" s="103"/>
      <c r="CY67" s="106">
        <v>0</v>
      </c>
      <c r="DB67" s="87" t="s">
        <v>179</v>
      </c>
      <c r="DC67" s="103"/>
      <c r="DD67" s="103"/>
      <c r="DE67" s="103"/>
      <c r="DF67" s="103"/>
      <c r="DG67" s="106">
        <v>0</v>
      </c>
    </row>
    <row r="68" spans="2:111" ht="15" thickBot="1">
      <c r="B68" s="89" t="s">
        <v>114</v>
      </c>
      <c r="C68" s="90">
        <f>SUM(C58:C67)</f>
        <v>31108.053998220515</v>
      </c>
      <c r="D68" s="90">
        <f>SUM(D58:D66)</f>
        <v>93099.954942154582</v>
      </c>
      <c r="E68" s="90">
        <f>SUM(E58:E66)</f>
        <v>185724.10295526276</v>
      </c>
      <c r="F68" s="90">
        <f>SUM(F58:F66)</f>
        <v>308641.18018861068</v>
      </c>
      <c r="G68" s="91">
        <f>SUM(G58:G67)</f>
        <v>461372.43021811929</v>
      </c>
      <c r="J68" s="89" t="s">
        <v>114</v>
      </c>
      <c r="K68" s="90">
        <f>SUM(K58:K67)</f>
        <v>0</v>
      </c>
      <c r="L68" s="90">
        <f>SUM(L58:L66)</f>
        <v>0</v>
      </c>
      <c r="M68" s="90">
        <f>SUM(M58:M66)</f>
        <v>0</v>
      </c>
      <c r="N68" s="90">
        <f>SUM(N58:N66)</f>
        <v>0</v>
      </c>
      <c r="O68" s="91">
        <f>SUM(O58:O67)</f>
        <v>0</v>
      </c>
      <c r="R68" s="89" t="s">
        <v>114</v>
      </c>
      <c r="S68" s="90">
        <f>SUM(S58:S67)</f>
        <v>0</v>
      </c>
      <c r="T68" s="90">
        <f>SUM(T58:T66)</f>
        <v>0</v>
      </c>
      <c r="U68" s="90">
        <f>SUM(U58:U66)</f>
        <v>0</v>
      </c>
      <c r="V68" s="90">
        <f>SUM(V58:V66)</f>
        <v>0</v>
      </c>
      <c r="W68" s="91">
        <f>SUM(W58:W67)</f>
        <v>0</v>
      </c>
      <c r="Z68" s="89" t="s">
        <v>114</v>
      </c>
      <c r="AA68" s="90">
        <f>SUM(AA58:AA67)</f>
        <v>0</v>
      </c>
      <c r="AB68" s="90">
        <f>SUM(AB58:AB66)</f>
        <v>0</v>
      </c>
      <c r="AC68" s="90">
        <f>SUM(AC58:AC66)</f>
        <v>0</v>
      </c>
      <c r="AD68" s="90">
        <f>SUM(AD58:AD66)</f>
        <v>0</v>
      </c>
      <c r="AE68" s="91">
        <f>SUM(AE58:AE67)</f>
        <v>0</v>
      </c>
      <c r="AH68" s="89" t="s">
        <v>114</v>
      </c>
      <c r="AI68" s="90">
        <f>SUM(AI58:AI67)</f>
        <v>279972.48598398466</v>
      </c>
      <c r="AJ68" s="90">
        <f>SUM(AJ58:AJ66)</f>
        <v>527940.08975972096</v>
      </c>
      <c r="AK68" s="90">
        <f>SUM(AK58:AK66)</f>
        <v>744063.10179030662</v>
      </c>
      <c r="AL68" s="90">
        <f>SUM(AL58:AL66)</f>
        <v>928438.71764032845</v>
      </c>
      <c r="AM68" s="91">
        <f>SUM(AM58:AM67)</f>
        <v>1081169.9676698372</v>
      </c>
      <c r="AP68" s="89" t="s">
        <v>114</v>
      </c>
      <c r="AQ68" s="90">
        <f>SUM(AQ58:AQ67)</f>
        <v>0</v>
      </c>
      <c r="AR68" s="90">
        <f>SUM(AR58:AR66)</f>
        <v>0</v>
      </c>
      <c r="AS68" s="90">
        <f>SUM(AS58:AS66)</f>
        <v>0</v>
      </c>
      <c r="AT68" s="90">
        <f>SUM(AT58:AT66)</f>
        <v>0</v>
      </c>
      <c r="AU68" s="91">
        <f>SUM(AU58:AU67)</f>
        <v>0</v>
      </c>
      <c r="AX68" s="89" t="s">
        <v>114</v>
      </c>
      <c r="AY68" s="90">
        <f>SUM(AY58:AY67)</f>
        <v>0</v>
      </c>
      <c r="AZ68" s="90">
        <f>SUM(AZ58:AZ66)</f>
        <v>0</v>
      </c>
      <c r="BA68" s="90">
        <f>SUM(BA58:BA66)</f>
        <v>0</v>
      </c>
      <c r="BB68" s="90">
        <f>SUM(BB58:BB66)</f>
        <v>0</v>
      </c>
      <c r="BC68" s="91">
        <f>SUM(BC58:BC67)</f>
        <v>0</v>
      </c>
      <c r="BF68" s="89" t="s">
        <v>114</v>
      </c>
      <c r="BG68" s="90">
        <f>SUM(BG58:BG67)</f>
        <v>0</v>
      </c>
      <c r="BH68" s="90">
        <f>SUM(BH58:BH66)</f>
        <v>0</v>
      </c>
      <c r="BI68" s="90">
        <f>SUM(BI58:BI66)</f>
        <v>0</v>
      </c>
      <c r="BJ68" s="90">
        <f>SUM(BJ58:BJ66)</f>
        <v>0</v>
      </c>
      <c r="BK68" s="91">
        <f>SUM(BK58:BK67)</f>
        <v>0</v>
      </c>
      <c r="BN68" s="89" t="s">
        <v>114</v>
      </c>
      <c r="BO68" s="90">
        <f>SUM(BO58:BO67)</f>
        <v>0</v>
      </c>
      <c r="BP68" s="90">
        <f>SUM(BP58:BP66)</f>
        <v>0</v>
      </c>
      <c r="BQ68" s="90">
        <f>SUM(BQ58:BQ66)</f>
        <v>0</v>
      </c>
      <c r="BR68" s="90">
        <f>SUM(BR58:BR66)</f>
        <v>0</v>
      </c>
      <c r="BS68" s="91">
        <f>SUM(BS58:BS67)</f>
        <v>0</v>
      </c>
      <c r="BV68" s="89" t="s">
        <v>114</v>
      </c>
      <c r="BW68" s="90">
        <f>SUM(BW58:BW67)</f>
        <v>0</v>
      </c>
      <c r="BX68" s="90">
        <f>SUM(BX58:BX66)</f>
        <v>0</v>
      </c>
      <c r="BY68" s="90">
        <f>SUM(BY58:BY66)</f>
        <v>0</v>
      </c>
      <c r="BZ68" s="90">
        <f>SUM(BZ58:BZ66)</f>
        <v>0</v>
      </c>
      <c r="CA68" s="91">
        <f>SUM(CA58:CA67)</f>
        <v>0</v>
      </c>
      <c r="CD68" s="89" t="s">
        <v>114</v>
      </c>
      <c r="CE68" s="90">
        <f>SUM(CE58:CE67)</f>
        <v>0</v>
      </c>
      <c r="CF68" s="90">
        <f>SUM(CF58:CF66)</f>
        <v>0</v>
      </c>
      <c r="CG68" s="90">
        <f>SUM(CG58:CG66)</f>
        <v>0</v>
      </c>
      <c r="CH68" s="90">
        <f>SUM(CH58:CH66)</f>
        <v>0</v>
      </c>
      <c r="CI68" s="91">
        <f>SUM(CI58:CI67)</f>
        <v>0</v>
      </c>
      <c r="CL68" s="89" t="s">
        <v>114</v>
      </c>
      <c r="CM68" s="90">
        <f>SUM(CM58:CM67)</f>
        <v>0</v>
      </c>
      <c r="CN68" s="90">
        <f>SUM(CN58:CN66)</f>
        <v>0</v>
      </c>
      <c r="CO68" s="90">
        <f>SUM(CO58:CO66)</f>
        <v>0</v>
      </c>
      <c r="CP68" s="90">
        <f>SUM(CP58:CP66)</f>
        <v>0</v>
      </c>
      <c r="CQ68" s="91">
        <f>SUM(CQ58:CQ67)</f>
        <v>0</v>
      </c>
      <c r="CT68" s="89" t="s">
        <v>114</v>
      </c>
      <c r="CU68" s="90">
        <f>SUM(CU58:CU67)</f>
        <v>0</v>
      </c>
      <c r="CV68" s="90">
        <f>SUM(CV58:CV66)</f>
        <v>0</v>
      </c>
      <c r="CW68" s="90">
        <f>SUM(CW58:CW66)</f>
        <v>0</v>
      </c>
      <c r="CX68" s="90">
        <f>SUM(CX58:CX66)</f>
        <v>0</v>
      </c>
      <c r="CY68" s="91">
        <f>SUM(CY58:CY67)</f>
        <v>0</v>
      </c>
      <c r="DB68" s="89" t="s">
        <v>114</v>
      </c>
      <c r="DC68" s="90">
        <f>SUM(DC58:DC67)</f>
        <v>0</v>
      </c>
      <c r="DD68" s="90">
        <f>SUM(DD58:DD66)</f>
        <v>0</v>
      </c>
      <c r="DE68" s="90">
        <f>SUM(DE58:DE66)</f>
        <v>0</v>
      </c>
      <c r="DF68" s="90">
        <f>SUM(DF58:DF66)</f>
        <v>0</v>
      </c>
      <c r="DG68" s="91">
        <f>SUM(DG58:DG67)</f>
        <v>0</v>
      </c>
    </row>
    <row r="69" spans="2:111">
      <c r="B69" s="80" t="s">
        <v>206</v>
      </c>
      <c r="C69" s="92">
        <f>C58+C60+C62+C64+C66</f>
        <v>31108.053998220515</v>
      </c>
      <c r="D69" s="92">
        <f t="shared" ref="D69:G69" si="176">D58+D60+D62+D64+D66</f>
        <v>93099.954942154582</v>
      </c>
      <c r="E69" s="92">
        <f t="shared" si="176"/>
        <v>185724.10295526276</v>
      </c>
      <c r="F69" s="92">
        <f t="shared" si="176"/>
        <v>308641.18018861068</v>
      </c>
      <c r="G69" s="92">
        <f t="shared" si="176"/>
        <v>461372.43021811929</v>
      </c>
      <c r="J69" s="80" t="s">
        <v>206</v>
      </c>
      <c r="K69" s="92">
        <f>K58+K60+K62+K64+K66</f>
        <v>0</v>
      </c>
      <c r="L69" s="92">
        <f t="shared" ref="L69:O69" si="177">L58+L60+L62+L64+L66</f>
        <v>0</v>
      </c>
      <c r="M69" s="92">
        <f t="shared" si="177"/>
        <v>0</v>
      </c>
      <c r="N69" s="92">
        <f t="shared" si="177"/>
        <v>0</v>
      </c>
      <c r="O69" s="92">
        <f t="shared" si="177"/>
        <v>0</v>
      </c>
      <c r="R69" s="80" t="s">
        <v>206</v>
      </c>
      <c r="S69" s="92">
        <f>S58+S60+S62+S64+S66</f>
        <v>0</v>
      </c>
      <c r="T69" s="92">
        <f t="shared" ref="T69:W69" si="178">T58+T60+T62+T64+T66</f>
        <v>0</v>
      </c>
      <c r="U69" s="92">
        <f t="shared" si="178"/>
        <v>0</v>
      </c>
      <c r="V69" s="92">
        <f t="shared" si="178"/>
        <v>0</v>
      </c>
      <c r="W69" s="92">
        <f t="shared" si="178"/>
        <v>0</v>
      </c>
      <c r="Z69" s="80" t="s">
        <v>206</v>
      </c>
      <c r="AA69" s="92">
        <f>AA58+AA60+AA62+AA64+AA66</f>
        <v>0</v>
      </c>
      <c r="AB69" s="92">
        <f t="shared" ref="AB69:AE69" si="179">AB58+AB60+AB62+AB64+AB66</f>
        <v>0</v>
      </c>
      <c r="AC69" s="92">
        <f t="shared" si="179"/>
        <v>0</v>
      </c>
      <c r="AD69" s="92">
        <f t="shared" si="179"/>
        <v>0</v>
      </c>
      <c r="AE69" s="92">
        <f t="shared" si="179"/>
        <v>0</v>
      </c>
      <c r="AH69" s="80" t="s">
        <v>206</v>
      </c>
      <c r="AI69" s="92">
        <f>AI58+AI60+AI62+AI64+AI66</f>
        <v>279972.48598398466</v>
      </c>
      <c r="AJ69" s="92">
        <f t="shared" ref="AJ69:AM69" si="180">AJ58+AJ60+AJ62+AJ64+AJ66</f>
        <v>527940.08975972096</v>
      </c>
      <c r="AK69" s="92">
        <f t="shared" si="180"/>
        <v>744063.10179030662</v>
      </c>
      <c r="AL69" s="92">
        <f t="shared" si="180"/>
        <v>928438.71764032845</v>
      </c>
      <c r="AM69" s="92">
        <f t="shared" si="180"/>
        <v>1081169.9676698372</v>
      </c>
      <c r="AP69" s="80" t="s">
        <v>206</v>
      </c>
      <c r="AQ69" s="92">
        <f>AQ58+AQ60+AQ62+AQ64+AQ66</f>
        <v>0</v>
      </c>
      <c r="AR69" s="92">
        <f t="shared" ref="AR69:AU69" si="181">AR58+AR60+AR62+AR64+AR66</f>
        <v>0</v>
      </c>
      <c r="AS69" s="92">
        <f t="shared" si="181"/>
        <v>0</v>
      </c>
      <c r="AT69" s="92">
        <f t="shared" si="181"/>
        <v>0</v>
      </c>
      <c r="AU69" s="92">
        <f t="shared" si="181"/>
        <v>0</v>
      </c>
      <c r="AX69" s="80" t="s">
        <v>206</v>
      </c>
      <c r="AY69" s="92">
        <f>AY58+AY60+AY62+AY64+AY66</f>
        <v>0</v>
      </c>
      <c r="AZ69" s="92">
        <f t="shared" ref="AZ69:BC69" si="182">AZ58+AZ60+AZ62+AZ64+AZ66</f>
        <v>0</v>
      </c>
      <c r="BA69" s="92">
        <f t="shared" si="182"/>
        <v>0</v>
      </c>
      <c r="BB69" s="92">
        <f t="shared" si="182"/>
        <v>0</v>
      </c>
      <c r="BC69" s="92">
        <f t="shared" si="182"/>
        <v>0</v>
      </c>
      <c r="BF69" s="80" t="s">
        <v>206</v>
      </c>
      <c r="BG69" s="92">
        <f>BG58+BG60+BG62+BG64+BG66</f>
        <v>0</v>
      </c>
      <c r="BH69" s="92">
        <f t="shared" ref="BH69:BK69" si="183">BH58+BH60+BH62+BH64+BH66</f>
        <v>0</v>
      </c>
      <c r="BI69" s="92">
        <f t="shared" si="183"/>
        <v>0</v>
      </c>
      <c r="BJ69" s="92">
        <f t="shared" si="183"/>
        <v>0</v>
      </c>
      <c r="BK69" s="92">
        <f t="shared" si="183"/>
        <v>0</v>
      </c>
      <c r="BN69" s="80" t="s">
        <v>206</v>
      </c>
      <c r="BO69" s="92">
        <f>BO58+BO60+BO62+BO64+BO66</f>
        <v>0</v>
      </c>
      <c r="BP69" s="92">
        <f t="shared" ref="BP69:BS69" si="184">BP58+BP60+BP62+BP64+BP66</f>
        <v>0</v>
      </c>
      <c r="BQ69" s="92">
        <f t="shared" si="184"/>
        <v>0</v>
      </c>
      <c r="BR69" s="92">
        <f t="shared" si="184"/>
        <v>0</v>
      </c>
      <c r="BS69" s="92">
        <f t="shared" si="184"/>
        <v>0</v>
      </c>
      <c r="BV69" s="80" t="s">
        <v>206</v>
      </c>
      <c r="BW69" s="92">
        <f>BW58+BW60+BW62+BW64+BW66</f>
        <v>0</v>
      </c>
      <c r="BX69" s="92">
        <f t="shared" ref="BX69:CA69" si="185">BX58+BX60+BX62+BX64+BX66</f>
        <v>0</v>
      </c>
      <c r="BY69" s="92">
        <f t="shared" si="185"/>
        <v>0</v>
      </c>
      <c r="BZ69" s="92">
        <f t="shared" si="185"/>
        <v>0</v>
      </c>
      <c r="CA69" s="92">
        <f t="shared" si="185"/>
        <v>0</v>
      </c>
      <c r="CD69" s="80" t="s">
        <v>206</v>
      </c>
      <c r="CE69" s="92">
        <f>CE58+CE60+CE62+CE64+CE66</f>
        <v>0</v>
      </c>
      <c r="CF69" s="92">
        <f t="shared" ref="CF69:CI69" si="186">CF58+CF60+CF62+CF64+CF66</f>
        <v>0</v>
      </c>
      <c r="CG69" s="92">
        <f t="shared" si="186"/>
        <v>0</v>
      </c>
      <c r="CH69" s="92">
        <f t="shared" si="186"/>
        <v>0</v>
      </c>
      <c r="CI69" s="92">
        <f t="shared" si="186"/>
        <v>0</v>
      </c>
      <c r="CL69" s="80" t="s">
        <v>206</v>
      </c>
      <c r="CM69" s="92">
        <f>CM58+CM60+CM62+CM64+CM66</f>
        <v>0</v>
      </c>
      <c r="CN69" s="92">
        <f t="shared" ref="CN69:CQ69" si="187">CN58+CN60+CN62+CN64+CN66</f>
        <v>0</v>
      </c>
      <c r="CO69" s="92">
        <f t="shared" si="187"/>
        <v>0</v>
      </c>
      <c r="CP69" s="92">
        <f t="shared" si="187"/>
        <v>0</v>
      </c>
      <c r="CQ69" s="92">
        <f t="shared" si="187"/>
        <v>0</v>
      </c>
      <c r="CT69" s="80" t="s">
        <v>206</v>
      </c>
      <c r="CU69" s="92">
        <f>CU58+CU60+CU62+CU64+CU66</f>
        <v>0</v>
      </c>
      <c r="CV69" s="92">
        <f t="shared" ref="CV69:CY69" si="188">CV58+CV60+CV62+CV64+CV66</f>
        <v>0</v>
      </c>
      <c r="CW69" s="92">
        <f t="shared" si="188"/>
        <v>0</v>
      </c>
      <c r="CX69" s="92">
        <f t="shared" si="188"/>
        <v>0</v>
      </c>
      <c r="CY69" s="92">
        <f t="shared" si="188"/>
        <v>0</v>
      </c>
      <c r="DB69" s="80" t="s">
        <v>206</v>
      </c>
      <c r="DC69" s="92">
        <f>DC58+DC60+DC62+DC64+DC66</f>
        <v>0</v>
      </c>
      <c r="DD69" s="92">
        <f t="shared" ref="DD69:DG69" si="189">DD58+DD60+DD62+DD64+DD66</f>
        <v>0</v>
      </c>
      <c r="DE69" s="92">
        <f t="shared" si="189"/>
        <v>0</v>
      </c>
      <c r="DF69" s="92">
        <f t="shared" si="189"/>
        <v>0</v>
      </c>
      <c r="DG69" s="92">
        <f t="shared" si="189"/>
        <v>0</v>
      </c>
    </row>
    <row r="70" spans="2:111" ht="15" thickBot="1">
      <c r="B70" s="80" t="s">
        <v>208</v>
      </c>
      <c r="C70" s="92">
        <f>C59+C61+C63+C65+C67</f>
        <v>0</v>
      </c>
      <c r="D70" s="92">
        <f t="shared" ref="D70:G70" si="190">D59+D61+D63+D65+D67</f>
        <v>0</v>
      </c>
      <c r="E70" s="92">
        <f t="shared" si="190"/>
        <v>0</v>
      </c>
      <c r="F70" s="92">
        <f t="shared" si="190"/>
        <v>0</v>
      </c>
      <c r="G70" s="92">
        <f t="shared" si="190"/>
        <v>0</v>
      </c>
      <c r="J70" s="80" t="s">
        <v>208</v>
      </c>
      <c r="K70" s="92">
        <f>K59+K61+K63+K65+K67</f>
        <v>0</v>
      </c>
      <c r="L70" s="92">
        <f t="shared" ref="L70:O70" si="191">L59+L61+L63+L65+L67</f>
        <v>0</v>
      </c>
      <c r="M70" s="92">
        <f t="shared" si="191"/>
        <v>0</v>
      </c>
      <c r="N70" s="92">
        <f t="shared" si="191"/>
        <v>0</v>
      </c>
      <c r="O70" s="92">
        <f t="shared" si="191"/>
        <v>0</v>
      </c>
      <c r="R70" s="80" t="s">
        <v>208</v>
      </c>
      <c r="S70" s="92">
        <f>S59+S61+S63+S65+S67</f>
        <v>0</v>
      </c>
      <c r="T70" s="92">
        <f t="shared" ref="T70:W70" si="192">T59+T61+T63+T65+T67</f>
        <v>0</v>
      </c>
      <c r="U70" s="92">
        <f t="shared" si="192"/>
        <v>0</v>
      </c>
      <c r="V70" s="92">
        <f t="shared" si="192"/>
        <v>0</v>
      </c>
      <c r="W70" s="92">
        <f t="shared" si="192"/>
        <v>0</v>
      </c>
      <c r="Z70" s="80" t="s">
        <v>208</v>
      </c>
      <c r="AA70" s="92">
        <f>AA59+AA61+AA63+AA65+AA67</f>
        <v>0</v>
      </c>
      <c r="AB70" s="92">
        <f t="shared" ref="AB70:AE70" si="193">AB59+AB61+AB63+AB65+AB67</f>
        <v>0</v>
      </c>
      <c r="AC70" s="92">
        <f t="shared" si="193"/>
        <v>0</v>
      </c>
      <c r="AD70" s="92">
        <f t="shared" si="193"/>
        <v>0</v>
      </c>
      <c r="AE70" s="92">
        <f t="shared" si="193"/>
        <v>0</v>
      </c>
      <c r="AH70" s="80" t="s">
        <v>208</v>
      </c>
      <c r="AI70" s="92">
        <f>AI59+AI61+AI63+AI65+AI67</f>
        <v>0</v>
      </c>
      <c r="AJ70" s="92">
        <f t="shared" ref="AJ70:AM70" si="194">AJ59+AJ61+AJ63+AJ65+AJ67</f>
        <v>0</v>
      </c>
      <c r="AK70" s="92">
        <f t="shared" si="194"/>
        <v>0</v>
      </c>
      <c r="AL70" s="92">
        <f t="shared" si="194"/>
        <v>0</v>
      </c>
      <c r="AM70" s="92">
        <f t="shared" si="194"/>
        <v>0</v>
      </c>
      <c r="AP70" s="80" t="s">
        <v>208</v>
      </c>
      <c r="AQ70" s="92">
        <f>AQ59+AQ61+AQ63+AQ65+AQ67</f>
        <v>0</v>
      </c>
      <c r="AR70" s="92">
        <f t="shared" ref="AR70:AU70" si="195">AR59+AR61+AR63+AR65+AR67</f>
        <v>0</v>
      </c>
      <c r="AS70" s="92">
        <f t="shared" si="195"/>
        <v>0</v>
      </c>
      <c r="AT70" s="92">
        <f t="shared" si="195"/>
        <v>0</v>
      </c>
      <c r="AU70" s="92">
        <f t="shared" si="195"/>
        <v>0</v>
      </c>
      <c r="AX70" s="80" t="s">
        <v>208</v>
      </c>
      <c r="AY70" s="92">
        <f>AY59+AY61+AY63+AY65+AY67</f>
        <v>0</v>
      </c>
      <c r="AZ70" s="92">
        <f t="shared" ref="AZ70:BC70" si="196">AZ59+AZ61+AZ63+AZ65+AZ67</f>
        <v>0</v>
      </c>
      <c r="BA70" s="92">
        <f t="shared" si="196"/>
        <v>0</v>
      </c>
      <c r="BB70" s="92">
        <f t="shared" si="196"/>
        <v>0</v>
      </c>
      <c r="BC70" s="92">
        <f t="shared" si="196"/>
        <v>0</v>
      </c>
      <c r="BF70" s="80" t="s">
        <v>208</v>
      </c>
      <c r="BG70" s="92">
        <f>BG59+BG61+BG63+BG65+BG67</f>
        <v>0</v>
      </c>
      <c r="BH70" s="92">
        <f t="shared" ref="BH70:BK70" si="197">BH59+BH61+BH63+BH65+BH67</f>
        <v>0</v>
      </c>
      <c r="BI70" s="92">
        <f t="shared" si="197"/>
        <v>0</v>
      </c>
      <c r="BJ70" s="92">
        <f t="shared" si="197"/>
        <v>0</v>
      </c>
      <c r="BK70" s="92">
        <f t="shared" si="197"/>
        <v>0</v>
      </c>
      <c r="BN70" s="80" t="s">
        <v>208</v>
      </c>
      <c r="BO70" s="92">
        <f>BO59+BO61+BO63+BO65+BO67</f>
        <v>0</v>
      </c>
      <c r="BP70" s="92">
        <f t="shared" ref="BP70:BS70" si="198">BP59+BP61+BP63+BP65+BP67</f>
        <v>0</v>
      </c>
      <c r="BQ70" s="92">
        <f t="shared" si="198"/>
        <v>0</v>
      </c>
      <c r="BR70" s="92">
        <f t="shared" si="198"/>
        <v>0</v>
      </c>
      <c r="BS70" s="92">
        <f t="shared" si="198"/>
        <v>0</v>
      </c>
      <c r="BV70" s="80" t="s">
        <v>208</v>
      </c>
      <c r="BW70" s="92">
        <f>BW59+BW61+BW63+BW65+BW67</f>
        <v>0</v>
      </c>
      <c r="BX70" s="92">
        <f t="shared" ref="BX70:CA70" si="199">BX59+BX61+BX63+BX65+BX67</f>
        <v>0</v>
      </c>
      <c r="BY70" s="92">
        <f t="shared" si="199"/>
        <v>0</v>
      </c>
      <c r="BZ70" s="92">
        <f t="shared" si="199"/>
        <v>0</v>
      </c>
      <c r="CA70" s="92">
        <f t="shared" si="199"/>
        <v>0</v>
      </c>
      <c r="CD70" s="80" t="s">
        <v>208</v>
      </c>
      <c r="CE70" s="92">
        <f>CE59+CE61+CE63+CE65+CE67</f>
        <v>0</v>
      </c>
      <c r="CF70" s="92">
        <f t="shared" ref="CF70:CI70" si="200">CF59+CF61+CF63+CF65+CF67</f>
        <v>0</v>
      </c>
      <c r="CG70" s="92">
        <f t="shared" si="200"/>
        <v>0</v>
      </c>
      <c r="CH70" s="92">
        <f t="shared" si="200"/>
        <v>0</v>
      </c>
      <c r="CI70" s="92">
        <f t="shared" si="200"/>
        <v>0</v>
      </c>
      <c r="CL70" s="80" t="s">
        <v>208</v>
      </c>
      <c r="CM70" s="92">
        <f>CM59+CM61+CM63+CM65+CM67</f>
        <v>0</v>
      </c>
      <c r="CN70" s="92">
        <f t="shared" ref="CN70:CQ70" si="201">CN59+CN61+CN63+CN65+CN67</f>
        <v>0</v>
      </c>
      <c r="CO70" s="92">
        <f t="shared" si="201"/>
        <v>0</v>
      </c>
      <c r="CP70" s="92">
        <f t="shared" si="201"/>
        <v>0</v>
      </c>
      <c r="CQ70" s="92">
        <f t="shared" si="201"/>
        <v>0</v>
      </c>
      <c r="CT70" s="80" t="s">
        <v>208</v>
      </c>
      <c r="CU70" s="92">
        <f>CU59+CU61+CU63+CU65+CU67</f>
        <v>0</v>
      </c>
      <c r="CV70" s="92">
        <f t="shared" ref="CV70:CY70" si="202">CV59+CV61+CV63+CV65+CV67</f>
        <v>0</v>
      </c>
      <c r="CW70" s="92">
        <f t="shared" si="202"/>
        <v>0</v>
      </c>
      <c r="CX70" s="92">
        <f t="shared" si="202"/>
        <v>0</v>
      </c>
      <c r="CY70" s="92">
        <f t="shared" si="202"/>
        <v>0</v>
      </c>
      <c r="DB70" s="80" t="s">
        <v>208</v>
      </c>
      <c r="DC70" s="92">
        <f>DC59+DC61+DC63+DC65+DC67</f>
        <v>0</v>
      </c>
      <c r="DD70" s="92">
        <f t="shared" ref="DD70:DG70" si="203">DD59+DD61+DD63+DD65+DD67</f>
        <v>0</v>
      </c>
      <c r="DE70" s="92">
        <f t="shared" si="203"/>
        <v>0</v>
      </c>
      <c r="DF70" s="92">
        <f t="shared" si="203"/>
        <v>0</v>
      </c>
      <c r="DG70" s="92">
        <f t="shared" si="203"/>
        <v>0</v>
      </c>
    </row>
    <row r="71" spans="2:111" ht="15" thickBot="1">
      <c r="B71" s="507">
        <f>cen_prop3</f>
        <v>0</v>
      </c>
      <c r="C71" s="508"/>
      <c r="D71" s="508"/>
      <c r="E71" s="508"/>
      <c r="F71" s="508"/>
      <c r="G71" s="509"/>
      <c r="J71" s="507">
        <f>cen_prop3</f>
        <v>0</v>
      </c>
      <c r="K71" s="508"/>
      <c r="L71" s="508"/>
      <c r="M71" s="508"/>
      <c r="N71" s="508"/>
      <c r="O71" s="509"/>
      <c r="R71" s="507">
        <f>cen_prop3</f>
        <v>0</v>
      </c>
      <c r="S71" s="508"/>
      <c r="T71" s="508"/>
      <c r="U71" s="508"/>
      <c r="V71" s="508"/>
      <c r="W71" s="509"/>
      <c r="Z71" s="507">
        <f>cen_prop3</f>
        <v>0</v>
      </c>
      <c r="AA71" s="508"/>
      <c r="AB71" s="508"/>
      <c r="AC71" s="508"/>
      <c r="AD71" s="508"/>
      <c r="AE71" s="509"/>
      <c r="AH71" s="507">
        <f>cen_prop3</f>
        <v>0</v>
      </c>
      <c r="AI71" s="508"/>
      <c r="AJ71" s="508"/>
      <c r="AK71" s="508"/>
      <c r="AL71" s="508"/>
      <c r="AM71" s="509"/>
      <c r="AP71" s="507">
        <f>cen_prop3</f>
        <v>0</v>
      </c>
      <c r="AQ71" s="508"/>
      <c r="AR71" s="508"/>
      <c r="AS71" s="508"/>
      <c r="AT71" s="508"/>
      <c r="AU71" s="509"/>
      <c r="AX71" s="507">
        <f>cen_prop3</f>
        <v>0</v>
      </c>
      <c r="AY71" s="508"/>
      <c r="AZ71" s="508"/>
      <c r="BA71" s="508"/>
      <c r="BB71" s="508"/>
      <c r="BC71" s="509"/>
      <c r="BF71" s="507">
        <f>cen_prop3</f>
        <v>0</v>
      </c>
      <c r="BG71" s="508"/>
      <c r="BH71" s="508"/>
      <c r="BI71" s="508"/>
      <c r="BJ71" s="508"/>
      <c r="BK71" s="509"/>
      <c r="BN71" s="507">
        <f>cen_prop3</f>
        <v>0</v>
      </c>
      <c r="BO71" s="508"/>
      <c r="BP71" s="508"/>
      <c r="BQ71" s="508"/>
      <c r="BR71" s="508"/>
      <c r="BS71" s="509"/>
      <c r="BV71" s="507">
        <f>cen_prop3</f>
        <v>0</v>
      </c>
      <c r="BW71" s="508"/>
      <c r="BX71" s="508"/>
      <c r="BY71" s="508"/>
      <c r="BZ71" s="508"/>
      <c r="CA71" s="509"/>
      <c r="CD71" s="507">
        <f>cen_prop3</f>
        <v>0</v>
      </c>
      <c r="CE71" s="508"/>
      <c r="CF71" s="508"/>
      <c r="CG71" s="508"/>
      <c r="CH71" s="508"/>
      <c r="CI71" s="509"/>
      <c r="CL71" s="507">
        <f>cen_prop3</f>
        <v>0</v>
      </c>
      <c r="CM71" s="508"/>
      <c r="CN71" s="508"/>
      <c r="CO71" s="508"/>
      <c r="CP71" s="508"/>
      <c r="CQ71" s="509"/>
      <c r="CT71" s="507">
        <f>cen_prop3</f>
        <v>0</v>
      </c>
      <c r="CU71" s="508"/>
      <c r="CV71" s="508"/>
      <c r="CW71" s="508"/>
      <c r="CX71" s="508"/>
      <c r="CY71" s="509"/>
      <c r="DB71" s="507">
        <f>cen_prop3</f>
        <v>0</v>
      </c>
      <c r="DC71" s="508"/>
      <c r="DD71" s="508"/>
      <c r="DE71" s="508"/>
      <c r="DF71" s="508"/>
      <c r="DG71" s="509"/>
    </row>
    <row r="72" spans="2:111">
      <c r="B72" s="84"/>
      <c r="C72" s="101">
        <f>ano_1</f>
        <v>2026</v>
      </c>
      <c r="D72" s="101">
        <f>C72+1</f>
        <v>2027</v>
      </c>
      <c r="E72" s="101">
        <f t="shared" ref="E72:G72" si="204">D72+1</f>
        <v>2028</v>
      </c>
      <c r="F72" s="101">
        <f t="shared" si="204"/>
        <v>2029</v>
      </c>
      <c r="G72" s="102">
        <f t="shared" si="204"/>
        <v>2030</v>
      </c>
      <c r="J72" s="84"/>
      <c r="K72" s="101">
        <f>ano_1</f>
        <v>2026</v>
      </c>
      <c r="L72" s="101">
        <f>K72+1</f>
        <v>2027</v>
      </c>
      <c r="M72" s="101">
        <f t="shared" ref="M72" si="205">L72+1</f>
        <v>2028</v>
      </c>
      <c r="N72" s="101">
        <f t="shared" ref="N72" si="206">M72+1</f>
        <v>2029</v>
      </c>
      <c r="O72" s="102">
        <f t="shared" ref="O72" si="207">N72+1</f>
        <v>2030</v>
      </c>
      <c r="R72" s="84"/>
      <c r="S72" s="101">
        <f>ano_1</f>
        <v>2026</v>
      </c>
      <c r="T72" s="101">
        <f>S72+1</f>
        <v>2027</v>
      </c>
      <c r="U72" s="101">
        <f t="shared" ref="U72" si="208">T72+1</f>
        <v>2028</v>
      </c>
      <c r="V72" s="101">
        <f t="shared" ref="V72" si="209">U72+1</f>
        <v>2029</v>
      </c>
      <c r="W72" s="102">
        <f t="shared" ref="W72" si="210">V72+1</f>
        <v>2030</v>
      </c>
      <c r="Z72" s="84"/>
      <c r="AA72" s="101">
        <f>ano_1</f>
        <v>2026</v>
      </c>
      <c r="AB72" s="101">
        <f>AA72+1</f>
        <v>2027</v>
      </c>
      <c r="AC72" s="101">
        <f t="shared" ref="AC72" si="211">AB72+1</f>
        <v>2028</v>
      </c>
      <c r="AD72" s="101">
        <f t="shared" ref="AD72" si="212">AC72+1</f>
        <v>2029</v>
      </c>
      <c r="AE72" s="102">
        <f t="shared" ref="AE72" si="213">AD72+1</f>
        <v>2030</v>
      </c>
      <c r="AH72" s="84"/>
      <c r="AI72" s="101">
        <f>ano_1</f>
        <v>2026</v>
      </c>
      <c r="AJ72" s="101">
        <f>AI72+1</f>
        <v>2027</v>
      </c>
      <c r="AK72" s="101">
        <f t="shared" ref="AK72" si="214">AJ72+1</f>
        <v>2028</v>
      </c>
      <c r="AL72" s="101">
        <f t="shared" ref="AL72" si="215">AK72+1</f>
        <v>2029</v>
      </c>
      <c r="AM72" s="102">
        <f t="shared" ref="AM72" si="216">AL72+1</f>
        <v>2030</v>
      </c>
      <c r="AP72" s="84"/>
      <c r="AQ72" s="101">
        <f>ano_1</f>
        <v>2026</v>
      </c>
      <c r="AR72" s="101">
        <f>AQ72+1</f>
        <v>2027</v>
      </c>
      <c r="AS72" s="101">
        <f t="shared" ref="AS72" si="217">AR72+1</f>
        <v>2028</v>
      </c>
      <c r="AT72" s="101">
        <f t="shared" ref="AT72" si="218">AS72+1</f>
        <v>2029</v>
      </c>
      <c r="AU72" s="102">
        <f t="shared" ref="AU72" si="219">AT72+1</f>
        <v>2030</v>
      </c>
      <c r="AX72" s="84"/>
      <c r="AY72" s="101">
        <f>ano_1</f>
        <v>2026</v>
      </c>
      <c r="AZ72" s="101">
        <f>AY72+1</f>
        <v>2027</v>
      </c>
      <c r="BA72" s="101">
        <f t="shared" ref="BA72" si="220">AZ72+1</f>
        <v>2028</v>
      </c>
      <c r="BB72" s="101">
        <f t="shared" ref="BB72" si="221">BA72+1</f>
        <v>2029</v>
      </c>
      <c r="BC72" s="102">
        <f t="shared" ref="BC72" si="222">BB72+1</f>
        <v>2030</v>
      </c>
      <c r="BF72" s="84"/>
      <c r="BG72" s="101">
        <f>ano_1</f>
        <v>2026</v>
      </c>
      <c r="BH72" s="101">
        <f>BG72+1</f>
        <v>2027</v>
      </c>
      <c r="BI72" s="101">
        <f t="shared" ref="BI72" si="223">BH72+1</f>
        <v>2028</v>
      </c>
      <c r="BJ72" s="101">
        <f t="shared" ref="BJ72" si="224">BI72+1</f>
        <v>2029</v>
      </c>
      <c r="BK72" s="102">
        <f t="shared" ref="BK72" si="225">BJ72+1</f>
        <v>2030</v>
      </c>
      <c r="BN72" s="84"/>
      <c r="BO72" s="101">
        <f>ano_1</f>
        <v>2026</v>
      </c>
      <c r="BP72" s="101">
        <f>BO72+1</f>
        <v>2027</v>
      </c>
      <c r="BQ72" s="101">
        <f t="shared" ref="BQ72" si="226">BP72+1</f>
        <v>2028</v>
      </c>
      <c r="BR72" s="101">
        <f t="shared" ref="BR72" si="227">BQ72+1</f>
        <v>2029</v>
      </c>
      <c r="BS72" s="102">
        <f t="shared" ref="BS72" si="228">BR72+1</f>
        <v>2030</v>
      </c>
      <c r="BV72" s="84"/>
      <c r="BW72" s="101">
        <f>ano_1</f>
        <v>2026</v>
      </c>
      <c r="BX72" s="101">
        <f>BW72+1</f>
        <v>2027</v>
      </c>
      <c r="BY72" s="101">
        <f t="shared" ref="BY72" si="229">BX72+1</f>
        <v>2028</v>
      </c>
      <c r="BZ72" s="101">
        <f t="shared" ref="BZ72" si="230">BY72+1</f>
        <v>2029</v>
      </c>
      <c r="CA72" s="102">
        <f t="shared" ref="CA72" si="231">BZ72+1</f>
        <v>2030</v>
      </c>
      <c r="CD72" s="84"/>
      <c r="CE72" s="101">
        <f>ano_1</f>
        <v>2026</v>
      </c>
      <c r="CF72" s="101">
        <f>CE72+1</f>
        <v>2027</v>
      </c>
      <c r="CG72" s="101">
        <f t="shared" ref="CG72" si="232">CF72+1</f>
        <v>2028</v>
      </c>
      <c r="CH72" s="101">
        <f t="shared" ref="CH72" si="233">CG72+1</f>
        <v>2029</v>
      </c>
      <c r="CI72" s="102">
        <f t="shared" ref="CI72" si="234">CH72+1</f>
        <v>2030</v>
      </c>
      <c r="CL72" s="84"/>
      <c r="CM72" s="101">
        <f>ano_1</f>
        <v>2026</v>
      </c>
      <c r="CN72" s="101">
        <f>CM72+1</f>
        <v>2027</v>
      </c>
      <c r="CO72" s="101">
        <f t="shared" ref="CO72" si="235">CN72+1</f>
        <v>2028</v>
      </c>
      <c r="CP72" s="101">
        <f t="shared" ref="CP72" si="236">CO72+1</f>
        <v>2029</v>
      </c>
      <c r="CQ72" s="102">
        <f t="shared" ref="CQ72" si="237">CP72+1</f>
        <v>2030</v>
      </c>
      <c r="CT72" s="84"/>
      <c r="CU72" s="101">
        <f>ano_1</f>
        <v>2026</v>
      </c>
      <c r="CV72" s="101">
        <f>CU72+1</f>
        <v>2027</v>
      </c>
      <c r="CW72" s="101">
        <f t="shared" ref="CW72" si="238">CV72+1</f>
        <v>2028</v>
      </c>
      <c r="CX72" s="101">
        <f t="shared" ref="CX72" si="239">CW72+1</f>
        <v>2029</v>
      </c>
      <c r="CY72" s="102">
        <f t="shared" ref="CY72" si="240">CX72+1</f>
        <v>2030</v>
      </c>
      <c r="DB72" s="84"/>
      <c r="DC72" s="101">
        <f>ano_1</f>
        <v>2026</v>
      </c>
      <c r="DD72" s="101">
        <f>DC72+1</f>
        <v>2027</v>
      </c>
      <c r="DE72" s="101">
        <f t="shared" ref="DE72" si="241">DD72+1</f>
        <v>2028</v>
      </c>
      <c r="DF72" s="101">
        <f t="shared" ref="DF72" si="242">DE72+1</f>
        <v>2029</v>
      </c>
      <c r="DG72" s="102">
        <f t="shared" ref="DG72" si="243">DF72+1</f>
        <v>2030</v>
      </c>
    </row>
    <row r="73" spans="2:111">
      <c r="B73" s="87" t="s">
        <v>170</v>
      </c>
      <c r="C73" s="80">
        <f>C$7*'Mkt share'!$C$82</f>
        <v>0</v>
      </c>
      <c r="D73" s="80">
        <f>C$8*'Mkt share'!$C$82</f>
        <v>0</v>
      </c>
      <c r="E73" s="80">
        <f>C$11*'Mkt share'!$C$82</f>
        <v>0</v>
      </c>
      <c r="F73" s="80">
        <f>C$14*'Mkt share'!$C$82</f>
        <v>0</v>
      </c>
      <c r="G73" s="88">
        <f>C$17*'Mkt share'!$C$82</f>
        <v>0</v>
      </c>
      <c r="J73" s="87" t="s">
        <v>170</v>
      </c>
      <c r="K73" s="80">
        <f>K$7*'Mkt share'!$C$83</f>
        <v>0</v>
      </c>
      <c r="L73" s="80">
        <f>K$8*'Mkt share'!$C$83</f>
        <v>0</v>
      </c>
      <c r="M73" s="80">
        <f>K$11*'Mkt share'!$C$83</f>
        <v>0</v>
      </c>
      <c r="N73" s="80">
        <f>K$14*'Mkt share'!$C$83</f>
        <v>0</v>
      </c>
      <c r="O73" s="88">
        <f>K$17*'Mkt share'!$C$83</f>
        <v>0</v>
      </c>
      <c r="R73" s="87" t="s">
        <v>170</v>
      </c>
      <c r="S73" s="80">
        <f>S$7*'Mkt share'!$C$84</f>
        <v>0</v>
      </c>
      <c r="T73" s="80">
        <f>S$8*'Mkt share'!$C$84</f>
        <v>0</v>
      </c>
      <c r="U73" s="80">
        <f>S$11*'Mkt share'!$C$84</f>
        <v>0</v>
      </c>
      <c r="V73" s="80">
        <f>S$14*'Mkt share'!$C$84</f>
        <v>0</v>
      </c>
      <c r="W73" s="88">
        <f>S$17*'Mkt share'!$C$84</f>
        <v>0</v>
      </c>
      <c r="Z73" s="87" t="s">
        <v>170</v>
      </c>
      <c r="AA73" s="80">
        <f>AA$7*'Mkt share'!$C$85</f>
        <v>0</v>
      </c>
      <c r="AB73" s="80">
        <f>AA$8*'Mkt share'!$C$85</f>
        <v>0</v>
      </c>
      <c r="AC73" s="80">
        <f>AA$11*'Mkt share'!$C$85</f>
        <v>0</v>
      </c>
      <c r="AD73" s="80">
        <f>AA$14*'Mkt share'!$C$85</f>
        <v>0</v>
      </c>
      <c r="AE73" s="88">
        <f>AA$17*'Mkt share'!$C$85</f>
        <v>0</v>
      </c>
      <c r="AH73" s="87" t="s">
        <v>170</v>
      </c>
      <c r="AI73" s="80">
        <f>AI$7*'Mkt share'!$C$86</f>
        <v>0</v>
      </c>
      <c r="AJ73" s="80">
        <f>AI$8*'Mkt share'!$C$86</f>
        <v>0</v>
      </c>
      <c r="AK73" s="80">
        <f>AI$11*'Mkt share'!$C$86</f>
        <v>0</v>
      </c>
      <c r="AL73" s="80">
        <f>AI$14*'Mkt share'!$C$86</f>
        <v>0</v>
      </c>
      <c r="AM73" s="88">
        <f>AI$17*'Mkt share'!$C$86</f>
        <v>0</v>
      </c>
      <c r="AP73" s="87" t="s">
        <v>170</v>
      </c>
      <c r="AQ73" s="80">
        <f>AQ$7*'Mkt share'!$C$87</f>
        <v>0</v>
      </c>
      <c r="AR73" s="80">
        <f>AQ$8*'Mkt share'!$C$87</f>
        <v>0</v>
      </c>
      <c r="AS73" s="80">
        <f>AQ$11*'Mkt share'!$C$87</f>
        <v>0</v>
      </c>
      <c r="AT73" s="80">
        <f>AQ$14*'Mkt share'!$C$87</f>
        <v>0</v>
      </c>
      <c r="AU73" s="88">
        <f>AQ$17*'Mkt share'!$C$87</f>
        <v>0</v>
      </c>
      <c r="AX73" s="87" t="s">
        <v>170</v>
      </c>
      <c r="AY73" s="80">
        <f>AY$7*'Mkt share'!$C$88</f>
        <v>0</v>
      </c>
      <c r="AZ73" s="80">
        <f>AY$8*'Mkt share'!$C$88</f>
        <v>0</v>
      </c>
      <c r="BA73" s="80">
        <f>AY$11*'Mkt share'!$C$88</f>
        <v>0</v>
      </c>
      <c r="BB73" s="80">
        <f>AY$14*'Mkt share'!$C$88</f>
        <v>0</v>
      </c>
      <c r="BC73" s="88">
        <f>AY$17*'Mkt share'!$C$88</f>
        <v>0</v>
      </c>
      <c r="BF73" s="87" t="s">
        <v>170</v>
      </c>
      <c r="BG73" s="80">
        <f>BG$7*'Mkt share'!$C$89</f>
        <v>0</v>
      </c>
      <c r="BH73" s="80">
        <f>BG$8*'Mkt share'!$C$89</f>
        <v>0</v>
      </c>
      <c r="BI73" s="80">
        <f>BG$11*'Mkt share'!$C$89</f>
        <v>0</v>
      </c>
      <c r="BJ73" s="80">
        <f>BG$14*'Mkt share'!$C$89</f>
        <v>0</v>
      </c>
      <c r="BK73" s="88">
        <f>BG$17*'Mkt share'!$C$89</f>
        <v>0</v>
      </c>
      <c r="BN73" s="87" t="s">
        <v>170</v>
      </c>
      <c r="BO73" s="80">
        <f>BO$7*'Mkt share'!$C$90</f>
        <v>0</v>
      </c>
      <c r="BP73" s="80">
        <f>BO$8*'Mkt share'!$C$90</f>
        <v>0</v>
      </c>
      <c r="BQ73" s="80">
        <f>BO$11*'Mkt share'!$C$90</f>
        <v>0</v>
      </c>
      <c r="BR73" s="80">
        <f>BO$14*'Mkt share'!$C$90</f>
        <v>0</v>
      </c>
      <c r="BS73" s="88">
        <f>BO$17*'Mkt share'!$C$90</f>
        <v>0</v>
      </c>
      <c r="BV73" s="87" t="s">
        <v>170</v>
      </c>
      <c r="BW73" s="80">
        <f>BW$7*'Mkt share'!$C$91</f>
        <v>0</v>
      </c>
      <c r="BX73" s="80">
        <f>BW$8*'Mkt share'!$C$91</f>
        <v>0</v>
      </c>
      <c r="BY73" s="80">
        <f>BW$11*'Mkt share'!$C$91</f>
        <v>0</v>
      </c>
      <c r="BZ73" s="80">
        <f>BW$14*'Mkt share'!$C$91</f>
        <v>0</v>
      </c>
      <c r="CA73" s="88">
        <f>BW$17*'Mkt share'!$C$91</f>
        <v>0</v>
      </c>
      <c r="CD73" s="87" t="s">
        <v>170</v>
      </c>
      <c r="CE73" s="80">
        <f>CE$7*'Mkt share'!$C$92</f>
        <v>0</v>
      </c>
      <c r="CF73" s="80">
        <f>CE$8*'Mkt share'!$C$92</f>
        <v>0</v>
      </c>
      <c r="CG73" s="80">
        <f>CE$11*'Mkt share'!$C$92</f>
        <v>0</v>
      </c>
      <c r="CH73" s="80">
        <f>CE$14*'Mkt share'!$C$92</f>
        <v>0</v>
      </c>
      <c r="CI73" s="88">
        <f>CE$17*'Mkt share'!$C$92</f>
        <v>0</v>
      </c>
      <c r="CL73" s="87" t="s">
        <v>170</v>
      </c>
      <c r="CM73" s="80">
        <f>CM$7*'Mkt share'!$C$93</f>
        <v>0</v>
      </c>
      <c r="CN73" s="80">
        <f>CM$8*'Mkt share'!$C$93</f>
        <v>0</v>
      </c>
      <c r="CO73" s="80">
        <f>CM$11*'Mkt share'!$C$93</f>
        <v>0</v>
      </c>
      <c r="CP73" s="80">
        <f>CM$14*'Mkt share'!$C$93</f>
        <v>0</v>
      </c>
      <c r="CQ73" s="88">
        <f>CM$17*'Mkt share'!$C$93</f>
        <v>0</v>
      </c>
      <c r="CT73" s="87" t="s">
        <v>170</v>
      </c>
      <c r="CU73" s="80">
        <f>CU$7*'Mkt share'!$C$94</f>
        <v>0</v>
      </c>
      <c r="CV73" s="80">
        <f>CU$8*'Mkt share'!$C$94</f>
        <v>0</v>
      </c>
      <c r="CW73" s="80">
        <f>CU$11*'Mkt share'!$C$94</f>
        <v>0</v>
      </c>
      <c r="CX73" s="80">
        <f>CU$14*'Mkt share'!$C$94</f>
        <v>0</v>
      </c>
      <c r="CY73" s="88">
        <f>CU$17*'Mkt share'!$C$94</f>
        <v>0</v>
      </c>
      <c r="DB73" s="87" t="s">
        <v>170</v>
      </c>
      <c r="DC73" s="80">
        <f>DC$7*'Mkt share'!$C$95</f>
        <v>0</v>
      </c>
      <c r="DD73" s="80">
        <f>DC$8*'Mkt share'!$C$95</f>
        <v>0</v>
      </c>
      <c r="DE73" s="80">
        <f>DC$11*'Mkt share'!$C$95</f>
        <v>0</v>
      </c>
      <c r="DF73" s="80">
        <f>DC$14*'Mkt share'!$C$95</f>
        <v>0</v>
      </c>
      <c r="DG73" s="88">
        <f>DC$17*'Mkt share'!$C$95</f>
        <v>0</v>
      </c>
    </row>
    <row r="74" spans="2:111">
      <c r="B74" s="87" t="s">
        <v>175</v>
      </c>
      <c r="C74" s="105">
        <v>0</v>
      </c>
      <c r="D74" s="80">
        <f>C$10*'Mkt share'!$C$82</f>
        <v>0</v>
      </c>
      <c r="E74" s="80">
        <f>C$13*'Mkt share'!$C$82</f>
        <v>0</v>
      </c>
      <c r="F74" s="80">
        <f>C$16*'Mkt share'!$C$82</f>
        <v>0</v>
      </c>
      <c r="G74" s="88">
        <f>C$19*'Mkt share'!$C$82</f>
        <v>0</v>
      </c>
      <c r="J74" s="87" t="s">
        <v>175</v>
      </c>
      <c r="K74" s="105">
        <v>0</v>
      </c>
      <c r="L74" s="80">
        <f>K$10*'Mkt share'!$C$83</f>
        <v>0</v>
      </c>
      <c r="M74" s="80">
        <f>K$13*'Mkt share'!$C$83</f>
        <v>0</v>
      </c>
      <c r="N74" s="80">
        <f>K$16*'Mkt share'!$C$83</f>
        <v>0</v>
      </c>
      <c r="O74" s="88">
        <f>K$19*'Mkt share'!$C$83</f>
        <v>0</v>
      </c>
      <c r="R74" s="87" t="s">
        <v>175</v>
      </c>
      <c r="S74" s="105">
        <v>0</v>
      </c>
      <c r="T74" s="80">
        <f>S$10*'Mkt share'!$C$84</f>
        <v>0</v>
      </c>
      <c r="U74" s="80">
        <f>S$13*'Mkt share'!$C$84</f>
        <v>0</v>
      </c>
      <c r="V74" s="80">
        <f>S$16*'Mkt share'!$C$84</f>
        <v>0</v>
      </c>
      <c r="W74" s="88">
        <f>S$19*'Mkt share'!$C$84</f>
        <v>0</v>
      </c>
      <c r="Z74" s="87" t="s">
        <v>175</v>
      </c>
      <c r="AA74" s="105">
        <v>0</v>
      </c>
      <c r="AB74" s="80">
        <f>AA$10*'Mkt share'!$C$85</f>
        <v>0</v>
      </c>
      <c r="AC74" s="80">
        <f>AA$13*'Mkt share'!$C$85</f>
        <v>0</v>
      </c>
      <c r="AD74" s="80">
        <f>AA$16*'Mkt share'!$C$85</f>
        <v>0</v>
      </c>
      <c r="AE74" s="88">
        <f>AA$19*'Mkt share'!$C$85</f>
        <v>0</v>
      </c>
      <c r="AH74" s="87" t="s">
        <v>175</v>
      </c>
      <c r="AI74" s="105">
        <v>0</v>
      </c>
      <c r="AJ74" s="80">
        <f>AI$10*'Mkt share'!$C$86</f>
        <v>0</v>
      </c>
      <c r="AK74" s="80">
        <f>AI$13*'Mkt share'!$C$86</f>
        <v>0</v>
      </c>
      <c r="AL74" s="80">
        <f>AI$16*'Mkt share'!$C$86</f>
        <v>0</v>
      </c>
      <c r="AM74" s="88">
        <f>AI$19*'Mkt share'!$C$86</f>
        <v>0</v>
      </c>
      <c r="AP74" s="87" t="s">
        <v>175</v>
      </c>
      <c r="AQ74" s="105">
        <v>0</v>
      </c>
      <c r="AR74" s="80">
        <f>AQ$10*'Mkt share'!$C$87</f>
        <v>0</v>
      </c>
      <c r="AS74" s="80">
        <f>AQ$13*'Mkt share'!$C$87</f>
        <v>0</v>
      </c>
      <c r="AT74" s="80">
        <f>AQ$16*'Mkt share'!$C$87</f>
        <v>0</v>
      </c>
      <c r="AU74" s="88">
        <f>AQ$19*'Mkt share'!$C$87</f>
        <v>0</v>
      </c>
      <c r="AX74" s="87" t="s">
        <v>175</v>
      </c>
      <c r="AY74" s="105">
        <v>0</v>
      </c>
      <c r="AZ74" s="80">
        <f>AY$10*'Mkt share'!$C$88</f>
        <v>0</v>
      </c>
      <c r="BA74" s="80">
        <f>AY$13*'Mkt share'!$C$88</f>
        <v>0</v>
      </c>
      <c r="BB74" s="80">
        <f>AY$16*'Mkt share'!$C$88</f>
        <v>0</v>
      </c>
      <c r="BC74" s="88">
        <f>AY$19*'Mkt share'!$C$88</f>
        <v>0</v>
      </c>
      <c r="BF74" s="87" t="s">
        <v>175</v>
      </c>
      <c r="BG74" s="105">
        <v>0</v>
      </c>
      <c r="BH74" s="80">
        <f>BG$10*'Mkt share'!$C$89</f>
        <v>0</v>
      </c>
      <c r="BI74" s="80">
        <f>BG$13*'Mkt share'!$C$89</f>
        <v>0</v>
      </c>
      <c r="BJ74" s="80">
        <f>BG$16*'Mkt share'!$C$89</f>
        <v>0</v>
      </c>
      <c r="BK74" s="88">
        <f>BG$19*'Mkt share'!$C$89</f>
        <v>0</v>
      </c>
      <c r="BN74" s="87" t="s">
        <v>175</v>
      </c>
      <c r="BO74" s="105">
        <v>0</v>
      </c>
      <c r="BP74" s="80">
        <f>BO$10*'Mkt share'!$C$90</f>
        <v>0</v>
      </c>
      <c r="BQ74" s="80">
        <f>BO$13*'Mkt share'!$C$90</f>
        <v>0</v>
      </c>
      <c r="BR74" s="80">
        <f>BO$16*'Mkt share'!$C$90</f>
        <v>0</v>
      </c>
      <c r="BS74" s="88">
        <f>BO$19*'Mkt share'!$C$90</f>
        <v>0</v>
      </c>
      <c r="BV74" s="87" t="s">
        <v>175</v>
      </c>
      <c r="BW74" s="105">
        <v>0</v>
      </c>
      <c r="BX74" s="80">
        <f>BW$10*'Mkt share'!$C$91</f>
        <v>0</v>
      </c>
      <c r="BY74" s="80">
        <f>BW$13*'Mkt share'!$C$91</f>
        <v>0</v>
      </c>
      <c r="BZ74" s="80">
        <f>BW$16*'Mkt share'!$C$91</f>
        <v>0</v>
      </c>
      <c r="CA74" s="88">
        <f>BW$19*'Mkt share'!$C$91</f>
        <v>0</v>
      </c>
      <c r="CD74" s="87" t="s">
        <v>175</v>
      </c>
      <c r="CE74" s="105">
        <v>0</v>
      </c>
      <c r="CF74" s="80">
        <f>CE$10*'Mkt share'!$C$92</f>
        <v>0</v>
      </c>
      <c r="CG74" s="80">
        <f>CE$13*'Mkt share'!$C$92</f>
        <v>0</v>
      </c>
      <c r="CH74" s="80">
        <f>CE$16*'Mkt share'!$C$92</f>
        <v>0</v>
      </c>
      <c r="CI74" s="88">
        <f>CE$19*'Mkt share'!$C$92</f>
        <v>0</v>
      </c>
      <c r="CL74" s="87" t="s">
        <v>175</v>
      </c>
      <c r="CM74" s="105">
        <v>0</v>
      </c>
      <c r="CN74" s="80">
        <f>CM$10*'Mkt share'!$C$93</f>
        <v>0</v>
      </c>
      <c r="CO74" s="80">
        <f>CM$13*'Mkt share'!$C$93</f>
        <v>0</v>
      </c>
      <c r="CP74" s="80">
        <f>CM$16*'Mkt share'!$C$93</f>
        <v>0</v>
      </c>
      <c r="CQ74" s="88">
        <f>CM$19*'Mkt share'!$C$93</f>
        <v>0</v>
      </c>
      <c r="CT74" s="87" t="s">
        <v>175</v>
      </c>
      <c r="CU74" s="105">
        <v>0</v>
      </c>
      <c r="CV74" s="80">
        <f>CU$10*'Mkt share'!$C$94</f>
        <v>0</v>
      </c>
      <c r="CW74" s="80">
        <f>CU$13*'Mkt share'!$C$94</f>
        <v>0</v>
      </c>
      <c r="CX74" s="80">
        <f>CU$16*'Mkt share'!$C$94</f>
        <v>0</v>
      </c>
      <c r="CY74" s="88">
        <f>CU$19*'Mkt share'!$C$94</f>
        <v>0</v>
      </c>
      <c r="DB74" s="87" t="s">
        <v>175</v>
      </c>
      <c r="DC74" s="105">
        <v>0</v>
      </c>
      <c r="DD74" s="80">
        <f>DC$10*'Mkt share'!$C$95</f>
        <v>0</v>
      </c>
      <c r="DE74" s="80">
        <f>DC$13*'Mkt share'!$C$95</f>
        <v>0</v>
      </c>
      <c r="DF74" s="80">
        <f>DC$16*'Mkt share'!$C$95</f>
        <v>0</v>
      </c>
      <c r="DG74" s="88">
        <f>DC$19*'Mkt share'!$C$95</f>
        <v>0</v>
      </c>
    </row>
    <row r="75" spans="2:111">
      <c r="B75" s="87" t="s">
        <v>171</v>
      </c>
      <c r="C75" s="103"/>
      <c r="D75" s="80">
        <f>D$7*'Mkt share'!$D$82</f>
        <v>0</v>
      </c>
      <c r="E75" s="80">
        <f>D$8*'Mkt share'!$D$82</f>
        <v>0</v>
      </c>
      <c r="F75" s="80">
        <f>D$11*'Mkt share'!$D$82</f>
        <v>0</v>
      </c>
      <c r="G75" s="88">
        <f>D$14*'Mkt share'!$D$82</f>
        <v>0</v>
      </c>
      <c r="J75" s="87" t="s">
        <v>171</v>
      </c>
      <c r="K75" s="103"/>
      <c r="L75" s="80">
        <f>L$7*'Mkt share'!$D$83</f>
        <v>0</v>
      </c>
      <c r="M75" s="80">
        <f>L$8*'Mkt share'!$D$83</f>
        <v>0</v>
      </c>
      <c r="N75" s="80">
        <f>L$11*'Mkt share'!$D$83</f>
        <v>0</v>
      </c>
      <c r="O75" s="88">
        <f>L$14*'Mkt share'!$D$83</f>
        <v>0</v>
      </c>
      <c r="R75" s="87" t="s">
        <v>171</v>
      </c>
      <c r="S75" s="103"/>
      <c r="T75" s="80">
        <f>T$7*'Mkt share'!$D$84</f>
        <v>0</v>
      </c>
      <c r="U75" s="80">
        <f>T$8*'Mkt share'!$D$84</f>
        <v>0</v>
      </c>
      <c r="V75" s="80">
        <f>T$11*'Mkt share'!$D$84</f>
        <v>0</v>
      </c>
      <c r="W75" s="88">
        <f>T$14*'Mkt share'!$D$84</f>
        <v>0</v>
      </c>
      <c r="Z75" s="87" t="s">
        <v>171</v>
      </c>
      <c r="AA75" s="103"/>
      <c r="AB75" s="80">
        <f>AB$7*'Mkt share'!$D$85</f>
        <v>0</v>
      </c>
      <c r="AC75" s="80">
        <f>AB$8*'Mkt share'!$D$85</f>
        <v>0</v>
      </c>
      <c r="AD75" s="80">
        <f>AB$11*'Mkt share'!$D$85</f>
        <v>0</v>
      </c>
      <c r="AE75" s="88">
        <f>AB$14*'Mkt share'!$D$85</f>
        <v>0</v>
      </c>
      <c r="AH75" s="87" t="s">
        <v>171</v>
      </c>
      <c r="AI75" s="103"/>
      <c r="AJ75" s="80">
        <f>AJ$7*'Mkt share'!$D$86</f>
        <v>0</v>
      </c>
      <c r="AK75" s="80">
        <f>AJ$8*'Mkt share'!$D$86</f>
        <v>0</v>
      </c>
      <c r="AL75" s="80">
        <f>AJ$11*'Mkt share'!$D$86</f>
        <v>0</v>
      </c>
      <c r="AM75" s="88">
        <f>AJ$14*'Mkt share'!$D$86</f>
        <v>0</v>
      </c>
      <c r="AP75" s="87" t="s">
        <v>171</v>
      </c>
      <c r="AQ75" s="103"/>
      <c r="AR75" s="80">
        <f>AR$7*'Mkt share'!$D$87</f>
        <v>0</v>
      </c>
      <c r="AS75" s="80">
        <f>AR$8*'Mkt share'!$D$87</f>
        <v>0</v>
      </c>
      <c r="AT75" s="80">
        <f>AR$11*'Mkt share'!$D$87</f>
        <v>0</v>
      </c>
      <c r="AU75" s="88">
        <f>AR$14*'Mkt share'!$D$87</f>
        <v>0</v>
      </c>
      <c r="AX75" s="87" t="s">
        <v>171</v>
      </c>
      <c r="AY75" s="103"/>
      <c r="AZ75" s="80">
        <f>AZ$7*'Mkt share'!$D$88</f>
        <v>0</v>
      </c>
      <c r="BA75" s="80">
        <f>AZ$8*'Mkt share'!$D$88</f>
        <v>0</v>
      </c>
      <c r="BB75" s="80">
        <f>AZ$11*'Mkt share'!$D$88</f>
        <v>0</v>
      </c>
      <c r="BC75" s="88">
        <f>AZ$14*'Mkt share'!$D$88</f>
        <v>0</v>
      </c>
      <c r="BF75" s="87" t="s">
        <v>171</v>
      </c>
      <c r="BG75" s="103"/>
      <c r="BH75" s="80">
        <f>BH$7*'Mkt share'!$D$89</f>
        <v>0</v>
      </c>
      <c r="BI75" s="80">
        <f>BH$8*'Mkt share'!$D$89</f>
        <v>0</v>
      </c>
      <c r="BJ75" s="80">
        <f>BH$11*'Mkt share'!$D$89</f>
        <v>0</v>
      </c>
      <c r="BK75" s="88">
        <f>BH$14*'Mkt share'!$D$89</f>
        <v>0</v>
      </c>
      <c r="BN75" s="87" t="s">
        <v>171</v>
      </c>
      <c r="BO75" s="103"/>
      <c r="BP75" s="80">
        <f>BP$7*'Mkt share'!$D$90</f>
        <v>0</v>
      </c>
      <c r="BQ75" s="80">
        <f>BP$8*'Mkt share'!$D$90</f>
        <v>0</v>
      </c>
      <c r="BR75" s="80">
        <f>BP$11*'Mkt share'!$D$90</f>
        <v>0</v>
      </c>
      <c r="BS75" s="88">
        <f>BP$14*'Mkt share'!$D$90</f>
        <v>0</v>
      </c>
      <c r="BV75" s="87" t="s">
        <v>171</v>
      </c>
      <c r="BW75" s="103"/>
      <c r="BX75" s="80">
        <f>BX$7*'Mkt share'!$D$91</f>
        <v>0</v>
      </c>
      <c r="BY75" s="80">
        <f>BX$8*'Mkt share'!$D$91</f>
        <v>0</v>
      </c>
      <c r="BZ75" s="80">
        <f>BX$11*'Mkt share'!$D$91</f>
        <v>0</v>
      </c>
      <c r="CA75" s="88">
        <f>BX$14*'Mkt share'!$D$91</f>
        <v>0</v>
      </c>
      <c r="CD75" s="87" t="s">
        <v>171</v>
      </c>
      <c r="CE75" s="103"/>
      <c r="CF75" s="80">
        <f>CF$7*'Mkt share'!$D$92</f>
        <v>0</v>
      </c>
      <c r="CG75" s="80">
        <f>CF$8*'Mkt share'!$D$92</f>
        <v>0</v>
      </c>
      <c r="CH75" s="80">
        <f>CF$11*'Mkt share'!$D$92</f>
        <v>0</v>
      </c>
      <c r="CI75" s="88">
        <f>CF$14*'Mkt share'!$D$92</f>
        <v>0</v>
      </c>
      <c r="CL75" s="87" t="s">
        <v>171</v>
      </c>
      <c r="CM75" s="103"/>
      <c r="CN75" s="80">
        <f>CN$7*'Mkt share'!$D$93</f>
        <v>0</v>
      </c>
      <c r="CO75" s="80">
        <f>CN$8*'Mkt share'!$D$93</f>
        <v>0</v>
      </c>
      <c r="CP75" s="80">
        <f>CN$11*'Mkt share'!$D$93</f>
        <v>0</v>
      </c>
      <c r="CQ75" s="88">
        <f>CN$14*'Mkt share'!$D$93</f>
        <v>0</v>
      </c>
      <c r="CT75" s="87" t="s">
        <v>171</v>
      </c>
      <c r="CU75" s="103"/>
      <c r="CV75" s="80">
        <f>CV$7*'Mkt share'!$D$94</f>
        <v>0</v>
      </c>
      <c r="CW75" s="80">
        <f>CV$8*'Mkt share'!$D$94</f>
        <v>0</v>
      </c>
      <c r="CX75" s="80">
        <f>CV$11*'Mkt share'!$D$94</f>
        <v>0</v>
      </c>
      <c r="CY75" s="88">
        <f>CV$14*'Mkt share'!$D$94</f>
        <v>0</v>
      </c>
      <c r="DB75" s="87" t="s">
        <v>171</v>
      </c>
      <c r="DC75" s="103"/>
      <c r="DD75" s="80">
        <f>DD$7*'Mkt share'!$D$95</f>
        <v>0</v>
      </c>
      <c r="DE75" s="80">
        <f>DD$8*'Mkt share'!$D$95</f>
        <v>0</v>
      </c>
      <c r="DF75" s="80">
        <f>DD$11*'Mkt share'!$D$95</f>
        <v>0</v>
      </c>
      <c r="DG75" s="88">
        <f>DD$14*'Mkt share'!$D$95</f>
        <v>0</v>
      </c>
    </row>
    <row r="76" spans="2:111">
      <c r="B76" s="87" t="s">
        <v>176</v>
      </c>
      <c r="C76" s="103"/>
      <c r="D76" s="105">
        <v>0</v>
      </c>
      <c r="E76" s="80">
        <f>D$10*'Mkt share'!$D$82</f>
        <v>0</v>
      </c>
      <c r="F76" s="80">
        <f>D$13*'Mkt share'!$D$82</f>
        <v>0</v>
      </c>
      <c r="G76" s="88">
        <f>D$16*'Mkt share'!$D$82</f>
        <v>0</v>
      </c>
      <c r="J76" s="87" t="s">
        <v>176</v>
      </c>
      <c r="K76" s="103"/>
      <c r="L76" s="105">
        <v>0</v>
      </c>
      <c r="M76" s="80">
        <f>L$10*'Mkt share'!$D$83</f>
        <v>0</v>
      </c>
      <c r="N76" s="80">
        <f>L$13*'Mkt share'!$D$83</f>
        <v>0</v>
      </c>
      <c r="O76" s="88">
        <f>L$16*'Mkt share'!$D$83</f>
        <v>0</v>
      </c>
      <c r="R76" s="87" t="s">
        <v>176</v>
      </c>
      <c r="S76" s="103"/>
      <c r="T76" s="105">
        <v>0</v>
      </c>
      <c r="U76" s="80">
        <f>T$10*'Mkt share'!$D$84</f>
        <v>0</v>
      </c>
      <c r="V76" s="80">
        <f>T$13*'Mkt share'!$D$84</f>
        <v>0</v>
      </c>
      <c r="W76" s="88">
        <f>T$16*'Mkt share'!$D$84</f>
        <v>0</v>
      </c>
      <c r="Z76" s="87" t="s">
        <v>176</v>
      </c>
      <c r="AA76" s="103"/>
      <c r="AB76" s="105">
        <v>0</v>
      </c>
      <c r="AC76" s="80">
        <f>AB$10*'Mkt share'!$D$85</f>
        <v>0</v>
      </c>
      <c r="AD76" s="80">
        <f>AB$13*'Mkt share'!$D$85</f>
        <v>0</v>
      </c>
      <c r="AE76" s="88">
        <f>AB$16*'Mkt share'!$D$85</f>
        <v>0</v>
      </c>
      <c r="AH76" s="87" t="s">
        <v>176</v>
      </c>
      <c r="AI76" s="103"/>
      <c r="AJ76" s="105">
        <v>0</v>
      </c>
      <c r="AK76" s="80">
        <f>AJ$10*'Mkt share'!$D$86</f>
        <v>0</v>
      </c>
      <c r="AL76" s="80">
        <f>AJ$13*'Mkt share'!$D$86</f>
        <v>0</v>
      </c>
      <c r="AM76" s="88">
        <f>AJ$16*'Mkt share'!$D$86</f>
        <v>0</v>
      </c>
      <c r="AP76" s="87" t="s">
        <v>176</v>
      </c>
      <c r="AQ76" s="103"/>
      <c r="AR76" s="105">
        <v>0</v>
      </c>
      <c r="AS76" s="80">
        <f>AR$10*'Mkt share'!$D$87</f>
        <v>0</v>
      </c>
      <c r="AT76" s="80">
        <f>AR$13*'Mkt share'!$D$87</f>
        <v>0</v>
      </c>
      <c r="AU76" s="88">
        <f>AR$16*'Mkt share'!$D$87</f>
        <v>0</v>
      </c>
      <c r="AX76" s="87" t="s">
        <v>176</v>
      </c>
      <c r="AY76" s="103"/>
      <c r="AZ76" s="105">
        <v>0</v>
      </c>
      <c r="BA76" s="80">
        <f>AZ$10*'Mkt share'!$D$88</f>
        <v>0</v>
      </c>
      <c r="BB76" s="80">
        <f>AZ$13*'Mkt share'!$D$88</f>
        <v>0</v>
      </c>
      <c r="BC76" s="88">
        <f>AZ$16*'Mkt share'!$D$88</f>
        <v>0</v>
      </c>
      <c r="BF76" s="87" t="s">
        <v>176</v>
      </c>
      <c r="BG76" s="103"/>
      <c r="BH76" s="105">
        <v>0</v>
      </c>
      <c r="BI76" s="80">
        <f>BH$10*'Mkt share'!$D$89</f>
        <v>0</v>
      </c>
      <c r="BJ76" s="80">
        <f>BH$13*'Mkt share'!$D$89</f>
        <v>0</v>
      </c>
      <c r="BK76" s="88">
        <f>BH$16*'Mkt share'!$D$89</f>
        <v>0</v>
      </c>
      <c r="BN76" s="87" t="s">
        <v>176</v>
      </c>
      <c r="BO76" s="103"/>
      <c r="BP76" s="105">
        <v>0</v>
      </c>
      <c r="BQ76" s="80">
        <f>BP$10*'Mkt share'!$D$90</f>
        <v>0</v>
      </c>
      <c r="BR76" s="80">
        <f>BP$13*'Mkt share'!$D$90</f>
        <v>0</v>
      </c>
      <c r="BS76" s="88">
        <f>BP$16*'Mkt share'!$D$90</f>
        <v>0</v>
      </c>
      <c r="BV76" s="87" t="s">
        <v>176</v>
      </c>
      <c r="BW76" s="103"/>
      <c r="BX76" s="105">
        <v>0</v>
      </c>
      <c r="BY76" s="80">
        <f>BX$10*'Mkt share'!$D$91</f>
        <v>0</v>
      </c>
      <c r="BZ76" s="80">
        <f>BX$13*'Mkt share'!$D$91</f>
        <v>0</v>
      </c>
      <c r="CA76" s="88">
        <f>BX$16*'Mkt share'!$D$91</f>
        <v>0</v>
      </c>
      <c r="CD76" s="87" t="s">
        <v>176</v>
      </c>
      <c r="CE76" s="103"/>
      <c r="CF76" s="105">
        <v>0</v>
      </c>
      <c r="CG76" s="80">
        <f>CF$10*'Mkt share'!$D$92</f>
        <v>0</v>
      </c>
      <c r="CH76" s="80">
        <f>CF$13*'Mkt share'!$D$92</f>
        <v>0</v>
      </c>
      <c r="CI76" s="88">
        <f>CF$16*'Mkt share'!$D$92</f>
        <v>0</v>
      </c>
      <c r="CL76" s="87" t="s">
        <v>176</v>
      </c>
      <c r="CM76" s="103"/>
      <c r="CN76" s="105">
        <v>0</v>
      </c>
      <c r="CO76" s="80">
        <f>CN$10*'Mkt share'!$D$93</f>
        <v>0</v>
      </c>
      <c r="CP76" s="80">
        <f>CN$13*'Mkt share'!$D$93</f>
        <v>0</v>
      </c>
      <c r="CQ76" s="88">
        <f>CN$16*'Mkt share'!$D$93</f>
        <v>0</v>
      </c>
      <c r="CT76" s="87" t="s">
        <v>176</v>
      </c>
      <c r="CU76" s="103"/>
      <c r="CV76" s="105">
        <v>0</v>
      </c>
      <c r="CW76" s="80">
        <f>CV$10*'Mkt share'!$D$94</f>
        <v>0</v>
      </c>
      <c r="CX76" s="80">
        <f>CV$13*'Mkt share'!$D$94</f>
        <v>0</v>
      </c>
      <c r="CY76" s="88">
        <f>CV$16*'Mkt share'!$D$94</f>
        <v>0</v>
      </c>
      <c r="DB76" s="87" t="s">
        <v>176</v>
      </c>
      <c r="DC76" s="103"/>
      <c r="DD76" s="105">
        <v>0</v>
      </c>
      <c r="DE76" s="80">
        <f>DD$10*'Mkt share'!$D$95</f>
        <v>0</v>
      </c>
      <c r="DF76" s="80">
        <f>DD$13*'Mkt share'!$D$95</f>
        <v>0</v>
      </c>
      <c r="DG76" s="88">
        <f>DD$16*'Mkt share'!$D$95</f>
        <v>0</v>
      </c>
    </row>
    <row r="77" spans="2:111">
      <c r="B77" s="87" t="s">
        <v>172</v>
      </c>
      <c r="C77" s="103"/>
      <c r="D77" s="103"/>
      <c r="E77" s="80">
        <f>E$7*'Mkt share'!$E$82</f>
        <v>0</v>
      </c>
      <c r="F77" s="80">
        <f>E$8*'Mkt share'!$E$82</f>
        <v>0</v>
      </c>
      <c r="G77" s="88">
        <f>E$11*'Mkt share'!$E$82</f>
        <v>0</v>
      </c>
      <c r="J77" s="87" t="s">
        <v>172</v>
      </c>
      <c r="K77" s="103"/>
      <c r="L77" s="103"/>
      <c r="M77" s="80">
        <f>M$7*'Mkt share'!$E$83</f>
        <v>0</v>
      </c>
      <c r="N77" s="80">
        <f>M$8*'Mkt share'!$E$83</f>
        <v>0</v>
      </c>
      <c r="O77" s="88">
        <f>M$11*'Mkt share'!$E$83</f>
        <v>0</v>
      </c>
      <c r="R77" s="87" t="s">
        <v>172</v>
      </c>
      <c r="S77" s="103"/>
      <c r="T77" s="103"/>
      <c r="U77" s="80">
        <f>U$7*'Mkt share'!$E$84</f>
        <v>0</v>
      </c>
      <c r="V77" s="80">
        <f>U$8*'Mkt share'!$E$84</f>
        <v>0</v>
      </c>
      <c r="W77" s="88">
        <f>U$11*'Mkt share'!$E$84</f>
        <v>0</v>
      </c>
      <c r="Z77" s="87" t="s">
        <v>172</v>
      </c>
      <c r="AA77" s="103"/>
      <c r="AB77" s="103"/>
      <c r="AC77" s="80">
        <f>AC$7*'Mkt share'!$E$85</f>
        <v>0</v>
      </c>
      <c r="AD77" s="80">
        <f>AC$8*'Mkt share'!$E$85</f>
        <v>0</v>
      </c>
      <c r="AE77" s="88">
        <f>AC$11*'Mkt share'!$E$85</f>
        <v>0</v>
      </c>
      <c r="AH77" s="87" t="s">
        <v>172</v>
      </c>
      <c r="AI77" s="103"/>
      <c r="AJ77" s="103"/>
      <c r="AK77" s="80">
        <f>AK$7*'Mkt share'!$E$86</f>
        <v>0</v>
      </c>
      <c r="AL77" s="80">
        <f>AK$8*'Mkt share'!$E$86</f>
        <v>0</v>
      </c>
      <c r="AM77" s="88">
        <f>AK$11*'Mkt share'!$E$86</f>
        <v>0</v>
      </c>
      <c r="AP77" s="87" t="s">
        <v>172</v>
      </c>
      <c r="AQ77" s="103"/>
      <c r="AR77" s="103"/>
      <c r="AS77" s="80">
        <f>AS$7*'Mkt share'!$E$87</f>
        <v>0</v>
      </c>
      <c r="AT77" s="80">
        <f>AS$8*'Mkt share'!$E$87</f>
        <v>0</v>
      </c>
      <c r="AU77" s="88">
        <f>AS$11*'Mkt share'!$E$87</f>
        <v>0</v>
      </c>
      <c r="AX77" s="87" t="s">
        <v>172</v>
      </c>
      <c r="AY77" s="103"/>
      <c r="AZ77" s="103"/>
      <c r="BA77" s="80">
        <f>BA$7*'Mkt share'!$E$88</f>
        <v>0</v>
      </c>
      <c r="BB77" s="80">
        <f>BA$8*'Mkt share'!$E$88</f>
        <v>0</v>
      </c>
      <c r="BC77" s="88">
        <f>BA$11*'Mkt share'!$E$88</f>
        <v>0</v>
      </c>
      <c r="BF77" s="87" t="s">
        <v>172</v>
      </c>
      <c r="BG77" s="103"/>
      <c r="BH77" s="103"/>
      <c r="BI77" s="80">
        <f>BI$7*'Mkt share'!$E$89</f>
        <v>0</v>
      </c>
      <c r="BJ77" s="80">
        <f>BI$8*'Mkt share'!$E$89</f>
        <v>0</v>
      </c>
      <c r="BK77" s="88">
        <f>BI$11*'Mkt share'!$E$89</f>
        <v>0</v>
      </c>
      <c r="BN77" s="87" t="s">
        <v>172</v>
      </c>
      <c r="BO77" s="103"/>
      <c r="BP77" s="103"/>
      <c r="BQ77" s="80">
        <f>BQ$7*'Mkt share'!$E$90</f>
        <v>0</v>
      </c>
      <c r="BR77" s="80">
        <f>BQ$8*'Mkt share'!$E$90</f>
        <v>0</v>
      </c>
      <c r="BS77" s="88">
        <f>BQ$11*'Mkt share'!$E$90</f>
        <v>0</v>
      </c>
      <c r="BV77" s="87" t="s">
        <v>172</v>
      </c>
      <c r="BW77" s="103"/>
      <c r="BX77" s="103"/>
      <c r="BY77" s="80">
        <f>BY$7*'Mkt share'!$E$91</f>
        <v>0</v>
      </c>
      <c r="BZ77" s="80">
        <f>BY$8*'Mkt share'!$E$91</f>
        <v>0</v>
      </c>
      <c r="CA77" s="88">
        <f>BY$11*'Mkt share'!$E$91</f>
        <v>0</v>
      </c>
      <c r="CD77" s="87" t="s">
        <v>172</v>
      </c>
      <c r="CE77" s="103"/>
      <c r="CF77" s="103"/>
      <c r="CG77" s="80">
        <f>CG$7*'Mkt share'!$E$92</f>
        <v>0</v>
      </c>
      <c r="CH77" s="80">
        <f>CG$8*'Mkt share'!$E$92</f>
        <v>0</v>
      </c>
      <c r="CI77" s="88">
        <f>CG$11*'Mkt share'!$E$92</f>
        <v>0</v>
      </c>
      <c r="CL77" s="87" t="s">
        <v>172</v>
      </c>
      <c r="CM77" s="103"/>
      <c r="CN77" s="103"/>
      <c r="CO77" s="80">
        <f>CO$7*'Mkt share'!$E$93</f>
        <v>0</v>
      </c>
      <c r="CP77" s="80">
        <f>CO$8*'Mkt share'!$E$93</f>
        <v>0</v>
      </c>
      <c r="CQ77" s="88">
        <f>CO$11*'Mkt share'!$E$93</f>
        <v>0</v>
      </c>
      <c r="CT77" s="87" t="s">
        <v>172</v>
      </c>
      <c r="CU77" s="103"/>
      <c r="CV77" s="103"/>
      <c r="CW77" s="80">
        <f>CW$7*'Mkt share'!$E$94</f>
        <v>0</v>
      </c>
      <c r="CX77" s="80">
        <f>CW$8*'Mkt share'!$E$94</f>
        <v>0</v>
      </c>
      <c r="CY77" s="88">
        <f>CW$11*'Mkt share'!$E$94</f>
        <v>0</v>
      </c>
      <c r="DB77" s="87" t="s">
        <v>172</v>
      </c>
      <c r="DC77" s="103"/>
      <c r="DD77" s="103"/>
      <c r="DE77" s="80">
        <f>DE$7*'Mkt share'!$E$95</f>
        <v>0</v>
      </c>
      <c r="DF77" s="80">
        <f>DE$8*'Mkt share'!$E$95</f>
        <v>0</v>
      </c>
      <c r="DG77" s="88">
        <f>DE$11*'Mkt share'!$E$95</f>
        <v>0</v>
      </c>
    </row>
    <row r="78" spans="2:111">
      <c r="B78" s="87" t="s">
        <v>177</v>
      </c>
      <c r="C78" s="103"/>
      <c r="D78" s="103"/>
      <c r="E78" s="105">
        <v>0</v>
      </c>
      <c r="F78" s="80">
        <f>E$10*'Mkt share'!$E$82</f>
        <v>0</v>
      </c>
      <c r="G78" s="88">
        <f>E$13*'Mkt share'!$E$82</f>
        <v>0</v>
      </c>
      <c r="J78" s="87" t="s">
        <v>177</v>
      </c>
      <c r="K78" s="103"/>
      <c r="L78" s="103"/>
      <c r="M78" s="105">
        <v>0</v>
      </c>
      <c r="N78" s="80">
        <f>M$10*'Mkt share'!$E$83</f>
        <v>0</v>
      </c>
      <c r="O78" s="88">
        <f>M$13*'Mkt share'!$E$83</f>
        <v>0</v>
      </c>
      <c r="R78" s="87" t="s">
        <v>177</v>
      </c>
      <c r="S78" s="103"/>
      <c r="T78" s="103"/>
      <c r="U78" s="105">
        <v>0</v>
      </c>
      <c r="V78" s="80">
        <f>U$10*'Mkt share'!$E$84</f>
        <v>0</v>
      </c>
      <c r="W78" s="88">
        <f>U$13*'Mkt share'!$E$84</f>
        <v>0</v>
      </c>
      <c r="Z78" s="87" t="s">
        <v>177</v>
      </c>
      <c r="AA78" s="103"/>
      <c r="AB78" s="103"/>
      <c r="AC78" s="105">
        <v>0</v>
      </c>
      <c r="AD78" s="80">
        <f>AC$10*'Mkt share'!$E$85</f>
        <v>0</v>
      </c>
      <c r="AE78" s="88">
        <f>AC$13*'Mkt share'!$E$85</f>
        <v>0</v>
      </c>
      <c r="AH78" s="87" t="s">
        <v>177</v>
      </c>
      <c r="AI78" s="103"/>
      <c r="AJ78" s="103"/>
      <c r="AK78" s="105">
        <v>0</v>
      </c>
      <c r="AL78" s="80">
        <f>AK$10*'Mkt share'!$E$86</f>
        <v>0</v>
      </c>
      <c r="AM78" s="88">
        <f>AK$13*'Mkt share'!$E$86</f>
        <v>0</v>
      </c>
      <c r="AP78" s="87" t="s">
        <v>177</v>
      </c>
      <c r="AQ78" s="103"/>
      <c r="AR78" s="103"/>
      <c r="AS78" s="105">
        <v>0</v>
      </c>
      <c r="AT78" s="80">
        <f>AS$10*'Mkt share'!$E$87</f>
        <v>0</v>
      </c>
      <c r="AU78" s="88">
        <f>AS$13*'Mkt share'!$E$87</f>
        <v>0</v>
      </c>
      <c r="AX78" s="87" t="s">
        <v>177</v>
      </c>
      <c r="AY78" s="103"/>
      <c r="AZ78" s="103"/>
      <c r="BA78" s="105">
        <v>0</v>
      </c>
      <c r="BB78" s="80">
        <f>BA$10*'Mkt share'!$E$88</f>
        <v>0</v>
      </c>
      <c r="BC78" s="88">
        <f>BA$13*'Mkt share'!$E$88</f>
        <v>0</v>
      </c>
      <c r="BF78" s="87" t="s">
        <v>177</v>
      </c>
      <c r="BG78" s="103"/>
      <c r="BH78" s="103"/>
      <c r="BI78" s="105">
        <v>0</v>
      </c>
      <c r="BJ78" s="80">
        <f>BI$10*'Mkt share'!$E$89</f>
        <v>0</v>
      </c>
      <c r="BK78" s="88">
        <f>BI$13*'Mkt share'!$E$89</f>
        <v>0</v>
      </c>
      <c r="BN78" s="87" t="s">
        <v>177</v>
      </c>
      <c r="BO78" s="103"/>
      <c r="BP78" s="103"/>
      <c r="BQ78" s="105">
        <v>0</v>
      </c>
      <c r="BR78" s="80">
        <f>BQ$10*'Mkt share'!$E$90</f>
        <v>0</v>
      </c>
      <c r="BS78" s="88">
        <f>BQ$13*'Mkt share'!$E$90</f>
        <v>0</v>
      </c>
      <c r="BV78" s="87" t="s">
        <v>177</v>
      </c>
      <c r="BW78" s="103"/>
      <c r="BX78" s="103"/>
      <c r="BY78" s="105">
        <v>0</v>
      </c>
      <c r="BZ78" s="80">
        <f>BY$10*'Mkt share'!$E$91</f>
        <v>0</v>
      </c>
      <c r="CA78" s="88">
        <f>BY$13*'Mkt share'!$E$91</f>
        <v>0</v>
      </c>
      <c r="CD78" s="87" t="s">
        <v>177</v>
      </c>
      <c r="CE78" s="103"/>
      <c r="CF78" s="103"/>
      <c r="CG78" s="105">
        <v>0</v>
      </c>
      <c r="CH78" s="80">
        <f>CG$10*'Mkt share'!$E$92</f>
        <v>0</v>
      </c>
      <c r="CI78" s="88">
        <f>CG$13*'Mkt share'!$E$92</f>
        <v>0</v>
      </c>
      <c r="CL78" s="87" t="s">
        <v>177</v>
      </c>
      <c r="CM78" s="103"/>
      <c r="CN78" s="103"/>
      <c r="CO78" s="105">
        <v>0</v>
      </c>
      <c r="CP78" s="80">
        <f>CO$10*'Mkt share'!$E$93</f>
        <v>0</v>
      </c>
      <c r="CQ78" s="88">
        <f>CO$13*'Mkt share'!$E$93</f>
        <v>0</v>
      </c>
      <c r="CT78" s="87" t="s">
        <v>177</v>
      </c>
      <c r="CU78" s="103"/>
      <c r="CV78" s="103"/>
      <c r="CW78" s="105">
        <v>0</v>
      </c>
      <c r="CX78" s="80">
        <f>CW$10*'Mkt share'!$E$94</f>
        <v>0</v>
      </c>
      <c r="CY78" s="88">
        <f>CW$13*'Mkt share'!$E$94</f>
        <v>0</v>
      </c>
      <c r="DB78" s="87" t="s">
        <v>177</v>
      </c>
      <c r="DC78" s="103"/>
      <c r="DD78" s="103"/>
      <c r="DE78" s="105">
        <v>0</v>
      </c>
      <c r="DF78" s="80">
        <f>DE$10*'Mkt share'!$E$95</f>
        <v>0</v>
      </c>
      <c r="DG78" s="88">
        <f>DE$13*'Mkt share'!$E$95</f>
        <v>0</v>
      </c>
    </row>
    <row r="79" spans="2:111">
      <c r="B79" s="87" t="s">
        <v>173</v>
      </c>
      <c r="C79" s="103"/>
      <c r="D79" s="103"/>
      <c r="E79" s="103"/>
      <c r="F79" s="80">
        <f>F$7*'Mkt share'!$F$82</f>
        <v>0</v>
      </c>
      <c r="G79" s="88">
        <f>F$8*'Mkt share'!$F$82</f>
        <v>0</v>
      </c>
      <c r="J79" s="87" t="s">
        <v>173</v>
      </c>
      <c r="K79" s="103"/>
      <c r="L79" s="103"/>
      <c r="M79" s="103"/>
      <c r="N79" s="80">
        <f>N$7*'Mkt share'!$F$83</f>
        <v>0</v>
      </c>
      <c r="O79" s="88">
        <f>N$8*'Mkt share'!$F$83</f>
        <v>0</v>
      </c>
      <c r="R79" s="87" t="s">
        <v>173</v>
      </c>
      <c r="S79" s="103"/>
      <c r="T79" s="103"/>
      <c r="U79" s="103"/>
      <c r="V79" s="80">
        <f>V$7*'Mkt share'!$F$84</f>
        <v>0</v>
      </c>
      <c r="W79" s="88">
        <f>V$8*'Mkt share'!$F$84</f>
        <v>0</v>
      </c>
      <c r="Z79" s="87" t="s">
        <v>173</v>
      </c>
      <c r="AA79" s="103"/>
      <c r="AB79" s="103"/>
      <c r="AC79" s="103"/>
      <c r="AD79" s="80">
        <f>AD$7*'Mkt share'!$F$85</f>
        <v>0</v>
      </c>
      <c r="AE79" s="88">
        <f>AD$8*'Mkt share'!$F$85</f>
        <v>0</v>
      </c>
      <c r="AH79" s="87" t="s">
        <v>173</v>
      </c>
      <c r="AI79" s="103"/>
      <c r="AJ79" s="103"/>
      <c r="AK79" s="103"/>
      <c r="AL79" s="80">
        <f>AL$7*'Mkt share'!$F$86</f>
        <v>0</v>
      </c>
      <c r="AM79" s="88">
        <f>AL$8*'Mkt share'!$F$86</f>
        <v>0</v>
      </c>
      <c r="AP79" s="87" t="s">
        <v>173</v>
      </c>
      <c r="AQ79" s="103"/>
      <c r="AR79" s="103"/>
      <c r="AS79" s="103"/>
      <c r="AT79" s="80">
        <f>AT$7*'Mkt share'!$F$87</f>
        <v>0</v>
      </c>
      <c r="AU79" s="88">
        <f>AT$8*'Mkt share'!$F$87</f>
        <v>0</v>
      </c>
      <c r="AX79" s="87" t="s">
        <v>173</v>
      </c>
      <c r="AY79" s="103"/>
      <c r="AZ79" s="103"/>
      <c r="BA79" s="103"/>
      <c r="BB79" s="80">
        <f>BB$7*'Mkt share'!$F$88</f>
        <v>0</v>
      </c>
      <c r="BC79" s="88">
        <f>BB$8*'Mkt share'!$F$88</f>
        <v>0</v>
      </c>
      <c r="BF79" s="87" t="s">
        <v>173</v>
      </c>
      <c r="BG79" s="103"/>
      <c r="BH79" s="103"/>
      <c r="BI79" s="103"/>
      <c r="BJ79" s="80">
        <f>BJ$7*'Mkt share'!$F$89</f>
        <v>0</v>
      </c>
      <c r="BK79" s="88">
        <f>BJ$8*'Mkt share'!$F$89</f>
        <v>0</v>
      </c>
      <c r="BN79" s="87" t="s">
        <v>173</v>
      </c>
      <c r="BO79" s="103"/>
      <c r="BP79" s="103"/>
      <c r="BQ79" s="103"/>
      <c r="BR79" s="80">
        <f>BR$7*'Mkt share'!$F$90</f>
        <v>0</v>
      </c>
      <c r="BS79" s="88">
        <f>BR$8*'Mkt share'!$F$90</f>
        <v>0</v>
      </c>
      <c r="BV79" s="87" t="s">
        <v>173</v>
      </c>
      <c r="BW79" s="103"/>
      <c r="BX79" s="103"/>
      <c r="BY79" s="103"/>
      <c r="BZ79" s="80">
        <f>BZ$7*'Mkt share'!$F$91</f>
        <v>0</v>
      </c>
      <c r="CA79" s="88">
        <f>BZ$8*'Mkt share'!$F$91</f>
        <v>0</v>
      </c>
      <c r="CD79" s="87" t="s">
        <v>173</v>
      </c>
      <c r="CE79" s="103"/>
      <c r="CF79" s="103"/>
      <c r="CG79" s="103"/>
      <c r="CH79" s="80">
        <f>CH$7*'Mkt share'!$F$92</f>
        <v>0</v>
      </c>
      <c r="CI79" s="88">
        <f>CH$8*'Mkt share'!$F$92</f>
        <v>0</v>
      </c>
      <c r="CL79" s="87" t="s">
        <v>173</v>
      </c>
      <c r="CM79" s="103"/>
      <c r="CN79" s="103"/>
      <c r="CO79" s="103"/>
      <c r="CP79" s="80">
        <f>CP$7*'Mkt share'!$F$93</f>
        <v>0</v>
      </c>
      <c r="CQ79" s="88">
        <f>CP$8*'Mkt share'!$F$93</f>
        <v>0</v>
      </c>
      <c r="CT79" s="87" t="s">
        <v>173</v>
      </c>
      <c r="CU79" s="103"/>
      <c r="CV79" s="103"/>
      <c r="CW79" s="103"/>
      <c r="CX79" s="80">
        <f>CX$7*'Mkt share'!$F$94</f>
        <v>0</v>
      </c>
      <c r="CY79" s="88">
        <f>CX$8*'Mkt share'!$F$94</f>
        <v>0</v>
      </c>
      <c r="DB79" s="87" t="s">
        <v>173</v>
      </c>
      <c r="DC79" s="103"/>
      <c r="DD79" s="103"/>
      <c r="DE79" s="103"/>
      <c r="DF79" s="80">
        <f>DF$7*'Mkt share'!$F$95</f>
        <v>0</v>
      </c>
      <c r="DG79" s="88">
        <f>DF$8*'Mkt share'!$F$95</f>
        <v>0</v>
      </c>
    </row>
    <row r="80" spans="2:111">
      <c r="B80" s="87" t="s">
        <v>178</v>
      </c>
      <c r="C80" s="103"/>
      <c r="D80" s="103"/>
      <c r="E80" s="103"/>
      <c r="F80" s="105">
        <v>0</v>
      </c>
      <c r="G80" s="88">
        <f>F$10*'Mkt share'!$F$82</f>
        <v>0</v>
      </c>
      <c r="J80" s="87" t="s">
        <v>178</v>
      </c>
      <c r="K80" s="103"/>
      <c r="L80" s="103"/>
      <c r="M80" s="103"/>
      <c r="N80" s="105">
        <v>0</v>
      </c>
      <c r="O80" s="88">
        <f>N$10*'Mkt share'!$F$83</f>
        <v>0</v>
      </c>
      <c r="R80" s="87" t="s">
        <v>178</v>
      </c>
      <c r="S80" s="103"/>
      <c r="T80" s="103"/>
      <c r="U80" s="103"/>
      <c r="V80" s="105">
        <v>0</v>
      </c>
      <c r="W80" s="88">
        <f>V$10*'Mkt share'!$F$84</f>
        <v>0</v>
      </c>
      <c r="Z80" s="87" t="s">
        <v>178</v>
      </c>
      <c r="AA80" s="103"/>
      <c r="AB80" s="103"/>
      <c r="AC80" s="103"/>
      <c r="AD80" s="105">
        <v>0</v>
      </c>
      <c r="AE80" s="88">
        <f>AD$10*'Mkt share'!$F$85</f>
        <v>0</v>
      </c>
      <c r="AH80" s="87" t="s">
        <v>178</v>
      </c>
      <c r="AI80" s="103"/>
      <c r="AJ80" s="103"/>
      <c r="AK80" s="103"/>
      <c r="AL80" s="105">
        <v>0</v>
      </c>
      <c r="AM80" s="88">
        <f>AL$10*'Mkt share'!$F$86</f>
        <v>0</v>
      </c>
      <c r="AP80" s="87" t="s">
        <v>178</v>
      </c>
      <c r="AQ80" s="103"/>
      <c r="AR80" s="103"/>
      <c r="AS80" s="103"/>
      <c r="AT80" s="105">
        <v>0</v>
      </c>
      <c r="AU80" s="88">
        <f>AT$10*'Mkt share'!$F$87</f>
        <v>0</v>
      </c>
      <c r="AX80" s="87" t="s">
        <v>178</v>
      </c>
      <c r="AY80" s="103"/>
      <c r="AZ80" s="103"/>
      <c r="BA80" s="103"/>
      <c r="BB80" s="105">
        <v>0</v>
      </c>
      <c r="BC80" s="88">
        <f>BB$10*'Mkt share'!$F$88</f>
        <v>0</v>
      </c>
      <c r="BF80" s="87" t="s">
        <v>178</v>
      </c>
      <c r="BG80" s="103"/>
      <c r="BH80" s="103"/>
      <c r="BI80" s="103"/>
      <c r="BJ80" s="105">
        <v>0</v>
      </c>
      <c r="BK80" s="88">
        <f>BJ$10*'Mkt share'!$F$89</f>
        <v>0</v>
      </c>
      <c r="BN80" s="87" t="s">
        <v>178</v>
      </c>
      <c r="BO80" s="103"/>
      <c r="BP80" s="103"/>
      <c r="BQ80" s="103"/>
      <c r="BR80" s="105">
        <v>0</v>
      </c>
      <c r="BS80" s="88">
        <f>BR$10*'Mkt share'!$F$90</f>
        <v>0</v>
      </c>
      <c r="BV80" s="87" t="s">
        <v>178</v>
      </c>
      <c r="BW80" s="103"/>
      <c r="BX80" s="103"/>
      <c r="BY80" s="103"/>
      <c r="BZ80" s="105">
        <v>0</v>
      </c>
      <c r="CA80" s="88">
        <f>BZ$10*'Mkt share'!$F$91</f>
        <v>0</v>
      </c>
      <c r="CD80" s="87" t="s">
        <v>178</v>
      </c>
      <c r="CE80" s="103"/>
      <c r="CF80" s="103"/>
      <c r="CG80" s="103"/>
      <c r="CH80" s="105">
        <v>0</v>
      </c>
      <c r="CI80" s="88">
        <f>CH$10*'Mkt share'!$F$92</f>
        <v>0</v>
      </c>
      <c r="CL80" s="87" t="s">
        <v>178</v>
      </c>
      <c r="CM80" s="103"/>
      <c r="CN80" s="103"/>
      <c r="CO80" s="103"/>
      <c r="CP80" s="105">
        <v>0</v>
      </c>
      <c r="CQ80" s="88">
        <f>CP$10*'Mkt share'!$F$93</f>
        <v>0</v>
      </c>
      <c r="CT80" s="87" t="s">
        <v>178</v>
      </c>
      <c r="CU80" s="103"/>
      <c r="CV80" s="103"/>
      <c r="CW80" s="103"/>
      <c r="CX80" s="105">
        <v>0</v>
      </c>
      <c r="CY80" s="88">
        <f>CX$10*'Mkt share'!$F$94</f>
        <v>0</v>
      </c>
      <c r="DB80" s="87" t="s">
        <v>178</v>
      </c>
      <c r="DC80" s="103"/>
      <c r="DD80" s="103"/>
      <c r="DE80" s="103"/>
      <c r="DF80" s="105">
        <v>0</v>
      </c>
      <c r="DG80" s="88">
        <f>DF$10*'Mkt share'!$F$95</f>
        <v>0</v>
      </c>
    </row>
    <row r="81" spans="2:113">
      <c r="B81" s="87" t="s">
        <v>174</v>
      </c>
      <c r="C81" s="103"/>
      <c r="D81" s="103"/>
      <c r="E81" s="103"/>
      <c r="F81" s="103"/>
      <c r="G81" s="88">
        <f>G$7*'Mkt share'!$G$82</f>
        <v>0</v>
      </c>
      <c r="J81" s="87" t="s">
        <v>174</v>
      </c>
      <c r="K81" s="103"/>
      <c r="L81" s="103"/>
      <c r="M81" s="103"/>
      <c r="N81" s="103"/>
      <c r="O81" s="88">
        <f>O$7*'Mkt share'!$G$83</f>
        <v>0</v>
      </c>
      <c r="R81" s="87" t="s">
        <v>174</v>
      </c>
      <c r="S81" s="103"/>
      <c r="T81" s="103"/>
      <c r="U81" s="103"/>
      <c r="V81" s="103"/>
      <c r="W81" s="88">
        <f>W$7*'Mkt share'!$G$84</f>
        <v>0</v>
      </c>
      <c r="Z81" s="87" t="s">
        <v>174</v>
      </c>
      <c r="AA81" s="103"/>
      <c r="AB81" s="103"/>
      <c r="AC81" s="103"/>
      <c r="AD81" s="103"/>
      <c r="AE81" s="88">
        <f>AE$7*'Mkt share'!$G$85</f>
        <v>0</v>
      </c>
      <c r="AH81" s="87" t="s">
        <v>174</v>
      </c>
      <c r="AI81" s="103"/>
      <c r="AJ81" s="103"/>
      <c r="AK81" s="103"/>
      <c r="AL81" s="103"/>
      <c r="AM81" s="88">
        <f>AM$7*'Mkt share'!$G$86</f>
        <v>0</v>
      </c>
      <c r="AP81" s="87" t="s">
        <v>174</v>
      </c>
      <c r="AQ81" s="103"/>
      <c r="AR81" s="103"/>
      <c r="AS81" s="103"/>
      <c r="AT81" s="103"/>
      <c r="AU81" s="88">
        <f>AU$7*'Mkt share'!$G$87</f>
        <v>0</v>
      </c>
      <c r="AX81" s="87" t="s">
        <v>174</v>
      </c>
      <c r="AY81" s="103"/>
      <c r="AZ81" s="103"/>
      <c r="BA81" s="103"/>
      <c r="BB81" s="103"/>
      <c r="BC81" s="88">
        <f>BC$7*'Mkt share'!$G$88</f>
        <v>0</v>
      </c>
      <c r="BF81" s="87" t="s">
        <v>174</v>
      </c>
      <c r="BG81" s="103"/>
      <c r="BH81" s="103"/>
      <c r="BI81" s="103"/>
      <c r="BJ81" s="103"/>
      <c r="BK81" s="88">
        <f>BK$7*'Mkt share'!$G$89</f>
        <v>0</v>
      </c>
      <c r="BN81" s="87" t="s">
        <v>174</v>
      </c>
      <c r="BO81" s="103"/>
      <c r="BP81" s="103"/>
      <c r="BQ81" s="103"/>
      <c r="BR81" s="103"/>
      <c r="BS81" s="88">
        <f>BS$7*'Mkt share'!$G$90</f>
        <v>0</v>
      </c>
      <c r="BV81" s="87" t="s">
        <v>174</v>
      </c>
      <c r="BW81" s="103"/>
      <c r="BX81" s="103"/>
      <c r="BY81" s="103"/>
      <c r="BZ81" s="103"/>
      <c r="CA81" s="88">
        <f>CA$7*'Mkt share'!$G$91</f>
        <v>0</v>
      </c>
      <c r="CD81" s="87" t="s">
        <v>174</v>
      </c>
      <c r="CE81" s="103"/>
      <c r="CF81" s="103"/>
      <c r="CG81" s="103"/>
      <c r="CH81" s="103"/>
      <c r="CI81" s="88">
        <f>CI$7*'Mkt share'!$G$92</f>
        <v>0</v>
      </c>
      <c r="CL81" s="87" t="s">
        <v>174</v>
      </c>
      <c r="CM81" s="103"/>
      <c r="CN81" s="103"/>
      <c r="CO81" s="103"/>
      <c r="CP81" s="103"/>
      <c r="CQ81" s="88">
        <f>CQ$7*'Mkt share'!$G$93</f>
        <v>0</v>
      </c>
      <c r="CT81" s="87" t="s">
        <v>174</v>
      </c>
      <c r="CU81" s="103"/>
      <c r="CV81" s="103"/>
      <c r="CW81" s="103"/>
      <c r="CX81" s="103"/>
      <c r="CY81" s="88">
        <f>CY$7*'Mkt share'!$G$94</f>
        <v>0</v>
      </c>
      <c r="DB81" s="87" t="s">
        <v>174</v>
      </c>
      <c r="DC81" s="103"/>
      <c r="DD81" s="103"/>
      <c r="DE81" s="103"/>
      <c r="DF81" s="103"/>
      <c r="DG81" s="88">
        <f>DG$7*'Mkt share'!$G$95</f>
        <v>0</v>
      </c>
    </row>
    <row r="82" spans="2:113" ht="15" thickBot="1">
      <c r="B82" s="87" t="s">
        <v>179</v>
      </c>
      <c r="C82" s="103"/>
      <c r="D82" s="103"/>
      <c r="E82" s="103"/>
      <c r="F82" s="103"/>
      <c r="G82" s="106">
        <v>0</v>
      </c>
      <c r="J82" s="87" t="s">
        <v>179</v>
      </c>
      <c r="K82" s="103"/>
      <c r="L82" s="103"/>
      <c r="M82" s="103"/>
      <c r="N82" s="103"/>
      <c r="O82" s="106">
        <v>0</v>
      </c>
      <c r="R82" s="87" t="s">
        <v>179</v>
      </c>
      <c r="S82" s="103"/>
      <c r="T82" s="103"/>
      <c r="U82" s="103"/>
      <c r="V82" s="103"/>
      <c r="W82" s="106">
        <v>0</v>
      </c>
      <c r="Z82" s="87" t="s">
        <v>179</v>
      </c>
      <c r="AA82" s="103"/>
      <c r="AB82" s="103"/>
      <c r="AC82" s="103"/>
      <c r="AD82" s="103"/>
      <c r="AE82" s="106">
        <v>0</v>
      </c>
      <c r="AH82" s="87" t="s">
        <v>179</v>
      </c>
      <c r="AI82" s="103"/>
      <c r="AJ82" s="103"/>
      <c r="AK82" s="103"/>
      <c r="AL82" s="103"/>
      <c r="AM82" s="106">
        <v>0</v>
      </c>
      <c r="AP82" s="87" t="s">
        <v>179</v>
      </c>
      <c r="AQ82" s="103"/>
      <c r="AR82" s="103"/>
      <c r="AS82" s="103"/>
      <c r="AT82" s="103"/>
      <c r="AU82" s="106">
        <v>0</v>
      </c>
      <c r="AX82" s="87" t="s">
        <v>179</v>
      </c>
      <c r="AY82" s="103"/>
      <c r="AZ82" s="103"/>
      <c r="BA82" s="103"/>
      <c r="BB82" s="103"/>
      <c r="BC82" s="106">
        <v>0</v>
      </c>
      <c r="BF82" s="87" t="s">
        <v>179</v>
      </c>
      <c r="BG82" s="103"/>
      <c r="BH82" s="103"/>
      <c r="BI82" s="103"/>
      <c r="BJ82" s="103"/>
      <c r="BK82" s="106">
        <v>0</v>
      </c>
      <c r="BN82" s="87" t="s">
        <v>179</v>
      </c>
      <c r="BO82" s="103"/>
      <c r="BP82" s="103"/>
      <c r="BQ82" s="103"/>
      <c r="BR82" s="103"/>
      <c r="BS82" s="106">
        <v>0</v>
      </c>
      <c r="BV82" s="87" t="s">
        <v>179</v>
      </c>
      <c r="BW82" s="103"/>
      <c r="BX82" s="103"/>
      <c r="BY82" s="103"/>
      <c r="BZ82" s="103"/>
      <c r="CA82" s="106">
        <v>0</v>
      </c>
      <c r="CD82" s="87" t="s">
        <v>179</v>
      </c>
      <c r="CE82" s="103"/>
      <c r="CF82" s="103"/>
      <c r="CG82" s="103"/>
      <c r="CH82" s="103"/>
      <c r="CI82" s="106">
        <v>0</v>
      </c>
      <c r="CL82" s="87" t="s">
        <v>179</v>
      </c>
      <c r="CM82" s="103"/>
      <c r="CN82" s="103"/>
      <c r="CO82" s="103"/>
      <c r="CP82" s="103"/>
      <c r="CQ82" s="106">
        <v>0</v>
      </c>
      <c r="CT82" s="87" t="s">
        <v>179</v>
      </c>
      <c r="CU82" s="103"/>
      <c r="CV82" s="103"/>
      <c r="CW82" s="103"/>
      <c r="CX82" s="103"/>
      <c r="CY82" s="106">
        <v>0</v>
      </c>
      <c r="DB82" s="87" t="s">
        <v>179</v>
      </c>
      <c r="DC82" s="103"/>
      <c r="DD82" s="103"/>
      <c r="DE82" s="103"/>
      <c r="DF82" s="103"/>
      <c r="DG82" s="106">
        <v>0</v>
      </c>
    </row>
    <row r="83" spans="2:113" ht="15" thickBot="1">
      <c r="B83" s="89" t="s">
        <v>114</v>
      </c>
      <c r="C83" s="90">
        <f>SUM(C73:C82)</f>
        <v>0</v>
      </c>
      <c r="D83" s="90">
        <f>SUM(D73:D81)</f>
        <v>0</v>
      </c>
      <c r="E83" s="90">
        <f>SUM(E73:E81)</f>
        <v>0</v>
      </c>
      <c r="F83" s="90">
        <f>SUM(F73:F81)</f>
        <v>0</v>
      </c>
      <c r="G83" s="91">
        <f>SUM(G73:G82)</f>
        <v>0</v>
      </c>
      <c r="J83" s="89" t="s">
        <v>114</v>
      </c>
      <c r="K83" s="90">
        <f>SUM(K73:K82)</f>
        <v>0</v>
      </c>
      <c r="L83" s="90">
        <f>SUM(L73:L81)</f>
        <v>0</v>
      </c>
      <c r="M83" s="90">
        <f>SUM(M73:M81)</f>
        <v>0</v>
      </c>
      <c r="N83" s="90">
        <f>SUM(N73:N81)</f>
        <v>0</v>
      </c>
      <c r="O83" s="91">
        <f>SUM(O73:O82)</f>
        <v>0</v>
      </c>
      <c r="R83" s="89" t="s">
        <v>114</v>
      </c>
      <c r="S83" s="90">
        <f>SUM(S73:S82)</f>
        <v>0</v>
      </c>
      <c r="T83" s="90">
        <f>SUM(T73:T81)</f>
        <v>0</v>
      </c>
      <c r="U83" s="90">
        <f>SUM(U73:U81)</f>
        <v>0</v>
      </c>
      <c r="V83" s="90">
        <f>SUM(V73:V81)</f>
        <v>0</v>
      </c>
      <c r="W83" s="91">
        <f>SUM(W73:W82)</f>
        <v>0</v>
      </c>
      <c r="Z83" s="89" t="s">
        <v>114</v>
      </c>
      <c r="AA83" s="90">
        <f>SUM(AA73:AA82)</f>
        <v>0</v>
      </c>
      <c r="AB83" s="90">
        <f>SUM(AB73:AB81)</f>
        <v>0</v>
      </c>
      <c r="AC83" s="90">
        <f>SUM(AC73:AC81)</f>
        <v>0</v>
      </c>
      <c r="AD83" s="90">
        <f>SUM(AD73:AD81)</f>
        <v>0</v>
      </c>
      <c r="AE83" s="91">
        <f>SUM(AE73:AE82)</f>
        <v>0</v>
      </c>
      <c r="AH83" s="89" t="s">
        <v>114</v>
      </c>
      <c r="AI83" s="90">
        <f>SUM(AI73:AI82)</f>
        <v>0</v>
      </c>
      <c r="AJ83" s="90">
        <f>SUM(AJ73:AJ81)</f>
        <v>0</v>
      </c>
      <c r="AK83" s="90">
        <f>SUM(AK73:AK81)</f>
        <v>0</v>
      </c>
      <c r="AL83" s="90">
        <f>SUM(AL73:AL81)</f>
        <v>0</v>
      </c>
      <c r="AM83" s="91">
        <f>SUM(AM73:AM82)</f>
        <v>0</v>
      </c>
      <c r="AP83" s="89" t="s">
        <v>114</v>
      </c>
      <c r="AQ83" s="90">
        <f>SUM(AQ73:AQ82)</f>
        <v>0</v>
      </c>
      <c r="AR83" s="90">
        <f>SUM(AR73:AR81)</f>
        <v>0</v>
      </c>
      <c r="AS83" s="90">
        <f>SUM(AS73:AS81)</f>
        <v>0</v>
      </c>
      <c r="AT83" s="90">
        <f>SUM(AT73:AT81)</f>
        <v>0</v>
      </c>
      <c r="AU83" s="91">
        <f>SUM(AU73:AU82)</f>
        <v>0</v>
      </c>
      <c r="AX83" s="89" t="s">
        <v>114</v>
      </c>
      <c r="AY83" s="90">
        <f>SUM(AY73:AY82)</f>
        <v>0</v>
      </c>
      <c r="AZ83" s="90">
        <f>SUM(AZ73:AZ81)</f>
        <v>0</v>
      </c>
      <c r="BA83" s="90">
        <f>SUM(BA73:BA81)</f>
        <v>0</v>
      </c>
      <c r="BB83" s="90">
        <f>SUM(BB73:BB81)</f>
        <v>0</v>
      </c>
      <c r="BC83" s="91">
        <f>SUM(BC73:BC82)</f>
        <v>0</v>
      </c>
      <c r="BF83" s="89" t="s">
        <v>114</v>
      </c>
      <c r="BG83" s="90">
        <f>SUM(BG73:BG82)</f>
        <v>0</v>
      </c>
      <c r="BH83" s="90">
        <f>SUM(BH73:BH81)</f>
        <v>0</v>
      </c>
      <c r="BI83" s="90">
        <f>SUM(BI73:BI81)</f>
        <v>0</v>
      </c>
      <c r="BJ83" s="90">
        <f>SUM(BJ73:BJ81)</f>
        <v>0</v>
      </c>
      <c r="BK83" s="91">
        <f>SUM(BK73:BK82)</f>
        <v>0</v>
      </c>
      <c r="BN83" s="89" t="s">
        <v>114</v>
      </c>
      <c r="BO83" s="90">
        <f>SUM(BO73:BO82)</f>
        <v>0</v>
      </c>
      <c r="BP83" s="90">
        <f>SUM(BP73:BP81)</f>
        <v>0</v>
      </c>
      <c r="BQ83" s="90">
        <f>SUM(BQ73:BQ81)</f>
        <v>0</v>
      </c>
      <c r="BR83" s="90">
        <f>SUM(BR73:BR81)</f>
        <v>0</v>
      </c>
      <c r="BS83" s="91">
        <f>SUM(BS73:BS82)</f>
        <v>0</v>
      </c>
      <c r="BV83" s="89" t="s">
        <v>114</v>
      </c>
      <c r="BW83" s="90">
        <f>SUM(BW73:BW82)</f>
        <v>0</v>
      </c>
      <c r="BX83" s="90">
        <f>SUM(BX73:BX81)</f>
        <v>0</v>
      </c>
      <c r="BY83" s="90">
        <f>SUM(BY73:BY81)</f>
        <v>0</v>
      </c>
      <c r="BZ83" s="90">
        <f>SUM(BZ73:BZ81)</f>
        <v>0</v>
      </c>
      <c r="CA83" s="91">
        <f>SUM(CA73:CA82)</f>
        <v>0</v>
      </c>
      <c r="CD83" s="89" t="s">
        <v>114</v>
      </c>
      <c r="CE83" s="90">
        <f>SUM(CE73:CE82)</f>
        <v>0</v>
      </c>
      <c r="CF83" s="90">
        <f>SUM(CF73:CF81)</f>
        <v>0</v>
      </c>
      <c r="CG83" s="90">
        <f>SUM(CG73:CG81)</f>
        <v>0</v>
      </c>
      <c r="CH83" s="90">
        <f>SUM(CH73:CH81)</f>
        <v>0</v>
      </c>
      <c r="CI83" s="91">
        <f>SUM(CI73:CI82)</f>
        <v>0</v>
      </c>
      <c r="CL83" s="89" t="s">
        <v>114</v>
      </c>
      <c r="CM83" s="90">
        <f>SUM(CM73:CM82)</f>
        <v>0</v>
      </c>
      <c r="CN83" s="90">
        <f>SUM(CN73:CN81)</f>
        <v>0</v>
      </c>
      <c r="CO83" s="90">
        <f>SUM(CO73:CO81)</f>
        <v>0</v>
      </c>
      <c r="CP83" s="90">
        <f>SUM(CP73:CP81)</f>
        <v>0</v>
      </c>
      <c r="CQ83" s="91">
        <f>SUM(CQ73:CQ82)</f>
        <v>0</v>
      </c>
      <c r="CT83" s="89" t="s">
        <v>114</v>
      </c>
      <c r="CU83" s="90">
        <f>SUM(CU73:CU82)</f>
        <v>0</v>
      </c>
      <c r="CV83" s="90">
        <f>SUM(CV73:CV81)</f>
        <v>0</v>
      </c>
      <c r="CW83" s="90">
        <f>SUM(CW73:CW81)</f>
        <v>0</v>
      </c>
      <c r="CX83" s="90">
        <f>SUM(CX73:CX81)</f>
        <v>0</v>
      </c>
      <c r="CY83" s="91">
        <f>SUM(CY73:CY82)</f>
        <v>0</v>
      </c>
      <c r="DB83" s="89" t="s">
        <v>114</v>
      </c>
      <c r="DC83" s="90">
        <f>SUM(DC73:DC82)</f>
        <v>0</v>
      </c>
      <c r="DD83" s="90">
        <f>SUM(DD73:DD81)</f>
        <v>0</v>
      </c>
      <c r="DE83" s="90">
        <f>SUM(DE73:DE81)</f>
        <v>0</v>
      </c>
      <c r="DF83" s="90">
        <f>SUM(DF73:DF81)</f>
        <v>0</v>
      </c>
      <c r="DG83" s="91">
        <f>SUM(DG73:DG82)</f>
        <v>0</v>
      </c>
    </row>
    <row r="84" spans="2:113">
      <c r="B84" s="80" t="s">
        <v>206</v>
      </c>
      <c r="C84" s="92">
        <f>C73+C75+C77+C79+C81</f>
        <v>0</v>
      </c>
      <c r="D84" s="92">
        <f t="shared" ref="D84:G84" si="244">D73+D75+D77+D79+D81</f>
        <v>0</v>
      </c>
      <c r="E84" s="92">
        <f t="shared" si="244"/>
        <v>0</v>
      </c>
      <c r="F84" s="92">
        <f t="shared" si="244"/>
        <v>0</v>
      </c>
      <c r="G84" s="92">
        <f t="shared" si="244"/>
        <v>0</v>
      </c>
      <c r="J84" s="80" t="s">
        <v>206</v>
      </c>
      <c r="K84" s="92">
        <f>K73+K75+K77+K79+K81</f>
        <v>0</v>
      </c>
      <c r="L84" s="92">
        <f t="shared" ref="L84:O84" si="245">L73+L75+L77+L79+L81</f>
        <v>0</v>
      </c>
      <c r="M84" s="92">
        <f t="shared" si="245"/>
        <v>0</v>
      </c>
      <c r="N84" s="92">
        <f t="shared" si="245"/>
        <v>0</v>
      </c>
      <c r="O84" s="92">
        <f t="shared" si="245"/>
        <v>0</v>
      </c>
      <c r="R84" s="80" t="s">
        <v>206</v>
      </c>
      <c r="S84" s="92">
        <f>S73+S75+S77+S79+S81</f>
        <v>0</v>
      </c>
      <c r="T84" s="92">
        <f t="shared" ref="T84:W84" si="246">T73+T75+T77+T79+T81</f>
        <v>0</v>
      </c>
      <c r="U84" s="92">
        <f t="shared" si="246"/>
        <v>0</v>
      </c>
      <c r="V84" s="92">
        <f t="shared" si="246"/>
        <v>0</v>
      </c>
      <c r="W84" s="92">
        <f t="shared" si="246"/>
        <v>0</v>
      </c>
      <c r="Z84" s="80" t="s">
        <v>206</v>
      </c>
      <c r="AA84" s="92">
        <f>AA73+AA75+AA77+AA79+AA81</f>
        <v>0</v>
      </c>
      <c r="AB84" s="92">
        <f t="shared" ref="AB84:AE84" si="247">AB73+AB75+AB77+AB79+AB81</f>
        <v>0</v>
      </c>
      <c r="AC84" s="92">
        <f t="shared" si="247"/>
        <v>0</v>
      </c>
      <c r="AD84" s="92">
        <f t="shared" si="247"/>
        <v>0</v>
      </c>
      <c r="AE84" s="92">
        <f t="shared" si="247"/>
        <v>0</v>
      </c>
      <c r="AH84" s="80" t="s">
        <v>206</v>
      </c>
      <c r="AI84" s="92">
        <f>AI73+AI75+AI77+AI79+AI81</f>
        <v>0</v>
      </c>
      <c r="AJ84" s="92">
        <f t="shared" ref="AJ84:AM84" si="248">AJ73+AJ75+AJ77+AJ79+AJ81</f>
        <v>0</v>
      </c>
      <c r="AK84" s="92">
        <f t="shared" si="248"/>
        <v>0</v>
      </c>
      <c r="AL84" s="92">
        <f t="shared" si="248"/>
        <v>0</v>
      </c>
      <c r="AM84" s="92">
        <f t="shared" si="248"/>
        <v>0</v>
      </c>
      <c r="AP84" s="80" t="s">
        <v>206</v>
      </c>
      <c r="AQ84" s="92">
        <f>AQ73+AQ75+AQ77+AQ79+AQ81</f>
        <v>0</v>
      </c>
      <c r="AR84" s="92">
        <f t="shared" ref="AR84:AU84" si="249">AR73+AR75+AR77+AR79+AR81</f>
        <v>0</v>
      </c>
      <c r="AS84" s="92">
        <f t="shared" si="249"/>
        <v>0</v>
      </c>
      <c r="AT84" s="92">
        <f t="shared" si="249"/>
        <v>0</v>
      </c>
      <c r="AU84" s="92">
        <f t="shared" si="249"/>
        <v>0</v>
      </c>
      <c r="AX84" s="80" t="s">
        <v>206</v>
      </c>
      <c r="AY84" s="92">
        <f>AY73+AY75+AY77+AY79+AY81</f>
        <v>0</v>
      </c>
      <c r="AZ84" s="92">
        <f t="shared" ref="AZ84:BC84" si="250">AZ73+AZ75+AZ77+AZ79+AZ81</f>
        <v>0</v>
      </c>
      <c r="BA84" s="92">
        <f t="shared" si="250"/>
        <v>0</v>
      </c>
      <c r="BB84" s="92">
        <f t="shared" si="250"/>
        <v>0</v>
      </c>
      <c r="BC84" s="92">
        <f t="shared" si="250"/>
        <v>0</v>
      </c>
      <c r="BF84" s="80" t="s">
        <v>206</v>
      </c>
      <c r="BG84" s="92">
        <f>BG73+BG75+BG77+BG79+BG81</f>
        <v>0</v>
      </c>
      <c r="BH84" s="92">
        <f t="shared" ref="BH84:BK84" si="251">BH73+BH75+BH77+BH79+BH81</f>
        <v>0</v>
      </c>
      <c r="BI84" s="92">
        <f t="shared" si="251"/>
        <v>0</v>
      </c>
      <c r="BJ84" s="92">
        <f t="shared" si="251"/>
        <v>0</v>
      </c>
      <c r="BK84" s="92">
        <f t="shared" si="251"/>
        <v>0</v>
      </c>
      <c r="BN84" s="80" t="s">
        <v>206</v>
      </c>
      <c r="BO84" s="92">
        <f>BO73+BO75+BO77+BO79+BO81</f>
        <v>0</v>
      </c>
      <c r="BP84" s="92">
        <f t="shared" ref="BP84:BS84" si="252">BP73+BP75+BP77+BP79+BP81</f>
        <v>0</v>
      </c>
      <c r="BQ84" s="92">
        <f t="shared" si="252"/>
        <v>0</v>
      </c>
      <c r="BR84" s="92">
        <f t="shared" si="252"/>
        <v>0</v>
      </c>
      <c r="BS84" s="92">
        <f t="shared" si="252"/>
        <v>0</v>
      </c>
      <c r="BV84" s="80" t="s">
        <v>206</v>
      </c>
      <c r="BW84" s="92">
        <f>BW73+BW75+BW77+BW79+BW81</f>
        <v>0</v>
      </c>
      <c r="BX84" s="92">
        <f t="shared" ref="BX84:CA84" si="253">BX73+BX75+BX77+BX79+BX81</f>
        <v>0</v>
      </c>
      <c r="BY84" s="92">
        <f t="shared" si="253"/>
        <v>0</v>
      </c>
      <c r="BZ84" s="92">
        <f t="shared" si="253"/>
        <v>0</v>
      </c>
      <c r="CA84" s="92">
        <f t="shared" si="253"/>
        <v>0</v>
      </c>
      <c r="CD84" s="80" t="s">
        <v>206</v>
      </c>
      <c r="CE84" s="92">
        <f>CE73+CE75+CE77+CE79+CE81</f>
        <v>0</v>
      </c>
      <c r="CF84" s="92">
        <f t="shared" ref="CF84:CI84" si="254">CF73+CF75+CF77+CF79+CF81</f>
        <v>0</v>
      </c>
      <c r="CG84" s="92">
        <f t="shared" si="254"/>
        <v>0</v>
      </c>
      <c r="CH84" s="92">
        <f t="shared" si="254"/>
        <v>0</v>
      </c>
      <c r="CI84" s="92">
        <f t="shared" si="254"/>
        <v>0</v>
      </c>
      <c r="CL84" s="80" t="s">
        <v>206</v>
      </c>
      <c r="CM84" s="92">
        <f>CM73+CM75+CM77+CM79+CM81</f>
        <v>0</v>
      </c>
      <c r="CN84" s="92">
        <f t="shared" ref="CN84:CQ84" si="255">CN73+CN75+CN77+CN79+CN81</f>
        <v>0</v>
      </c>
      <c r="CO84" s="92">
        <f t="shared" si="255"/>
        <v>0</v>
      </c>
      <c r="CP84" s="92">
        <f t="shared" si="255"/>
        <v>0</v>
      </c>
      <c r="CQ84" s="92">
        <f t="shared" si="255"/>
        <v>0</v>
      </c>
      <c r="CT84" s="80" t="s">
        <v>206</v>
      </c>
      <c r="CU84" s="92">
        <f>CU73+CU75+CU77+CU79+CU81</f>
        <v>0</v>
      </c>
      <c r="CV84" s="92">
        <f t="shared" ref="CV84:CY84" si="256">CV73+CV75+CV77+CV79+CV81</f>
        <v>0</v>
      </c>
      <c r="CW84" s="92">
        <f t="shared" si="256"/>
        <v>0</v>
      </c>
      <c r="CX84" s="92">
        <f t="shared" si="256"/>
        <v>0</v>
      </c>
      <c r="CY84" s="92">
        <f t="shared" si="256"/>
        <v>0</v>
      </c>
      <c r="DB84" s="80" t="s">
        <v>206</v>
      </c>
      <c r="DC84" s="92">
        <f>DC73+DC75+DC77+DC79+DC81</f>
        <v>0</v>
      </c>
      <c r="DD84" s="92">
        <f t="shared" ref="DD84:DG84" si="257">DD73+DD75+DD77+DD79+DD81</f>
        <v>0</v>
      </c>
      <c r="DE84" s="92">
        <f t="shared" si="257"/>
        <v>0</v>
      </c>
      <c r="DF84" s="92">
        <f t="shared" si="257"/>
        <v>0</v>
      </c>
      <c r="DG84" s="92">
        <f t="shared" si="257"/>
        <v>0</v>
      </c>
    </row>
    <row r="85" spans="2:113">
      <c r="B85" s="80" t="s">
        <v>208</v>
      </c>
      <c r="C85" s="92">
        <f>C74+C76+C78+C80+C82</f>
        <v>0</v>
      </c>
      <c r="D85" s="92">
        <f t="shared" ref="D85:G85" si="258">D74+D76+D78+D80+D82</f>
        <v>0</v>
      </c>
      <c r="E85" s="92">
        <f t="shared" si="258"/>
        <v>0</v>
      </c>
      <c r="F85" s="92">
        <f t="shared" si="258"/>
        <v>0</v>
      </c>
      <c r="G85" s="92">
        <f t="shared" si="258"/>
        <v>0</v>
      </c>
      <c r="J85" s="80" t="s">
        <v>208</v>
      </c>
      <c r="K85" s="92">
        <f>K74+K76+K78+K80+K82</f>
        <v>0</v>
      </c>
      <c r="L85" s="92">
        <f t="shared" ref="L85:O85" si="259">L74+L76+L78+L80+L82</f>
        <v>0</v>
      </c>
      <c r="M85" s="92">
        <f t="shared" si="259"/>
        <v>0</v>
      </c>
      <c r="N85" s="92">
        <f t="shared" si="259"/>
        <v>0</v>
      </c>
      <c r="O85" s="92">
        <f t="shared" si="259"/>
        <v>0</v>
      </c>
      <c r="R85" s="80" t="s">
        <v>208</v>
      </c>
      <c r="S85" s="92">
        <f>S74+S76+S78+S80+S82</f>
        <v>0</v>
      </c>
      <c r="T85" s="92">
        <f t="shared" ref="T85:W85" si="260">T74+T76+T78+T80+T82</f>
        <v>0</v>
      </c>
      <c r="U85" s="92">
        <f t="shared" si="260"/>
        <v>0</v>
      </c>
      <c r="V85" s="92">
        <f t="shared" si="260"/>
        <v>0</v>
      </c>
      <c r="W85" s="92">
        <f t="shared" si="260"/>
        <v>0</v>
      </c>
      <c r="Z85" s="80" t="s">
        <v>208</v>
      </c>
      <c r="AA85" s="92">
        <f>AA74+AA76+AA78+AA80+AA82</f>
        <v>0</v>
      </c>
      <c r="AB85" s="92">
        <f t="shared" ref="AB85:AE85" si="261">AB74+AB76+AB78+AB80+AB82</f>
        <v>0</v>
      </c>
      <c r="AC85" s="92">
        <f t="shared" si="261"/>
        <v>0</v>
      </c>
      <c r="AD85" s="92">
        <f t="shared" si="261"/>
        <v>0</v>
      </c>
      <c r="AE85" s="92">
        <f t="shared" si="261"/>
        <v>0</v>
      </c>
      <c r="AH85" s="80" t="s">
        <v>208</v>
      </c>
      <c r="AI85" s="92">
        <f>AI74+AI76+AI78+AI80+AI82</f>
        <v>0</v>
      </c>
      <c r="AJ85" s="92">
        <f t="shared" ref="AJ85:AM85" si="262">AJ74+AJ76+AJ78+AJ80+AJ82</f>
        <v>0</v>
      </c>
      <c r="AK85" s="92">
        <f t="shared" si="262"/>
        <v>0</v>
      </c>
      <c r="AL85" s="92">
        <f t="shared" si="262"/>
        <v>0</v>
      </c>
      <c r="AM85" s="92">
        <f t="shared" si="262"/>
        <v>0</v>
      </c>
      <c r="AP85" s="80" t="s">
        <v>208</v>
      </c>
      <c r="AQ85" s="92">
        <f>AQ74+AQ76+AQ78+AQ80+AQ82</f>
        <v>0</v>
      </c>
      <c r="AR85" s="92">
        <f t="shared" ref="AR85:AU85" si="263">AR74+AR76+AR78+AR80+AR82</f>
        <v>0</v>
      </c>
      <c r="AS85" s="92">
        <f t="shared" si="263"/>
        <v>0</v>
      </c>
      <c r="AT85" s="92">
        <f t="shared" si="263"/>
        <v>0</v>
      </c>
      <c r="AU85" s="92">
        <f t="shared" si="263"/>
        <v>0</v>
      </c>
      <c r="AX85" s="80" t="s">
        <v>208</v>
      </c>
      <c r="AY85" s="92">
        <f>AY74+AY76+AY78+AY80+AY82</f>
        <v>0</v>
      </c>
      <c r="AZ85" s="92">
        <f t="shared" ref="AZ85:BC85" si="264">AZ74+AZ76+AZ78+AZ80+AZ82</f>
        <v>0</v>
      </c>
      <c r="BA85" s="92">
        <f t="shared" si="264"/>
        <v>0</v>
      </c>
      <c r="BB85" s="92">
        <f t="shared" si="264"/>
        <v>0</v>
      </c>
      <c r="BC85" s="92">
        <f t="shared" si="264"/>
        <v>0</v>
      </c>
      <c r="BF85" s="80" t="s">
        <v>208</v>
      </c>
      <c r="BG85" s="92">
        <f>BG74+BG76+BG78+BG80+BG82</f>
        <v>0</v>
      </c>
      <c r="BH85" s="92">
        <f t="shared" ref="BH85:BK85" si="265">BH74+BH76+BH78+BH80+BH82</f>
        <v>0</v>
      </c>
      <c r="BI85" s="92">
        <f t="shared" si="265"/>
        <v>0</v>
      </c>
      <c r="BJ85" s="92">
        <f t="shared" si="265"/>
        <v>0</v>
      </c>
      <c r="BK85" s="92">
        <f t="shared" si="265"/>
        <v>0</v>
      </c>
      <c r="BN85" s="80" t="s">
        <v>208</v>
      </c>
      <c r="BO85" s="92">
        <f>BO74+BO76+BO78+BO80+BO82</f>
        <v>0</v>
      </c>
      <c r="BP85" s="92">
        <f t="shared" ref="BP85:BS85" si="266">BP74+BP76+BP78+BP80+BP82</f>
        <v>0</v>
      </c>
      <c r="BQ85" s="92">
        <f t="shared" si="266"/>
        <v>0</v>
      </c>
      <c r="BR85" s="92">
        <f t="shared" si="266"/>
        <v>0</v>
      </c>
      <c r="BS85" s="92">
        <f t="shared" si="266"/>
        <v>0</v>
      </c>
      <c r="BV85" s="80" t="s">
        <v>208</v>
      </c>
      <c r="BW85" s="92">
        <f>BW74+BW76+BW78+BW80+BW82</f>
        <v>0</v>
      </c>
      <c r="BX85" s="92">
        <f t="shared" ref="BX85:CA85" si="267">BX74+BX76+BX78+BX80+BX82</f>
        <v>0</v>
      </c>
      <c r="BY85" s="92">
        <f t="shared" si="267"/>
        <v>0</v>
      </c>
      <c r="BZ85" s="92">
        <f t="shared" si="267"/>
        <v>0</v>
      </c>
      <c r="CA85" s="92">
        <f t="shared" si="267"/>
        <v>0</v>
      </c>
      <c r="CD85" s="80" t="s">
        <v>208</v>
      </c>
      <c r="CE85" s="92">
        <f>CE74+CE76+CE78+CE80+CE82</f>
        <v>0</v>
      </c>
      <c r="CF85" s="92">
        <f t="shared" ref="CF85:CI85" si="268">CF74+CF76+CF78+CF80+CF82</f>
        <v>0</v>
      </c>
      <c r="CG85" s="92">
        <f t="shared" si="268"/>
        <v>0</v>
      </c>
      <c r="CH85" s="92">
        <f t="shared" si="268"/>
        <v>0</v>
      </c>
      <c r="CI85" s="92">
        <f t="shared" si="268"/>
        <v>0</v>
      </c>
      <c r="CL85" s="80" t="s">
        <v>208</v>
      </c>
      <c r="CM85" s="92">
        <f>CM74+CM76+CM78+CM80+CM82</f>
        <v>0</v>
      </c>
      <c r="CN85" s="92">
        <f t="shared" ref="CN85:CQ85" si="269">CN74+CN76+CN78+CN80+CN82</f>
        <v>0</v>
      </c>
      <c r="CO85" s="92">
        <f t="shared" si="269"/>
        <v>0</v>
      </c>
      <c r="CP85" s="92">
        <f t="shared" si="269"/>
        <v>0</v>
      </c>
      <c r="CQ85" s="92">
        <f t="shared" si="269"/>
        <v>0</v>
      </c>
      <c r="CT85" s="80" t="s">
        <v>208</v>
      </c>
      <c r="CU85" s="92">
        <f>CU74+CU76+CU78+CU80+CU82</f>
        <v>0</v>
      </c>
      <c r="CV85" s="92">
        <f t="shared" ref="CV85:CY85" si="270">CV74+CV76+CV78+CV80+CV82</f>
        <v>0</v>
      </c>
      <c r="CW85" s="92">
        <f t="shared" si="270"/>
        <v>0</v>
      </c>
      <c r="CX85" s="92">
        <f t="shared" si="270"/>
        <v>0</v>
      </c>
      <c r="CY85" s="92">
        <f t="shared" si="270"/>
        <v>0</v>
      </c>
      <c r="DB85" s="80" t="s">
        <v>208</v>
      </c>
      <c r="DC85" s="92">
        <f>DC74+DC76+DC78+DC80+DC82</f>
        <v>0</v>
      </c>
      <c r="DD85" s="92">
        <f t="shared" ref="DD85:DG85" si="271">DD74+DD76+DD78+DD80+DD82</f>
        <v>0</v>
      </c>
      <c r="DE85" s="92">
        <f t="shared" si="271"/>
        <v>0</v>
      </c>
      <c r="DF85" s="92">
        <f t="shared" si="271"/>
        <v>0</v>
      </c>
      <c r="DG85" s="92">
        <f t="shared" si="271"/>
        <v>0</v>
      </c>
    </row>
    <row r="87" spans="2:113" s="81" customFormat="1">
      <c r="B87" s="120"/>
      <c r="C87" s="120"/>
      <c r="D87" s="120"/>
      <c r="E87" s="120"/>
      <c r="F87" s="120"/>
      <c r="G87" s="120"/>
      <c r="H87" s="82"/>
      <c r="I87" s="82"/>
      <c r="J87" s="120"/>
      <c r="K87" s="120"/>
      <c r="L87" s="120"/>
      <c r="M87" s="120"/>
      <c r="N87" s="120"/>
      <c r="O87" s="120"/>
      <c r="P87" s="82"/>
      <c r="Q87" s="82"/>
      <c r="R87" s="120"/>
      <c r="S87" s="120"/>
      <c r="T87" s="120"/>
      <c r="U87" s="120"/>
      <c r="V87" s="120"/>
      <c r="W87" s="120"/>
      <c r="X87" s="82"/>
      <c r="Y87" s="82"/>
      <c r="Z87" s="120"/>
      <c r="AA87" s="120"/>
      <c r="AB87" s="120"/>
      <c r="AC87" s="120"/>
      <c r="AD87" s="120"/>
      <c r="AE87" s="120"/>
      <c r="AF87" s="82"/>
      <c r="AG87" s="82"/>
      <c r="AH87" s="120"/>
      <c r="AI87" s="120"/>
      <c r="AJ87" s="120"/>
      <c r="AK87" s="120"/>
      <c r="AL87" s="120"/>
      <c r="AM87" s="120"/>
      <c r="AN87" s="82"/>
      <c r="AO87" s="82"/>
      <c r="AP87" s="120"/>
      <c r="AQ87" s="120"/>
      <c r="AR87" s="120"/>
      <c r="AS87" s="120"/>
      <c r="AT87" s="120"/>
      <c r="AU87" s="120"/>
      <c r="AV87" s="82"/>
      <c r="AW87" s="82"/>
      <c r="AX87" s="120"/>
      <c r="AY87" s="120"/>
      <c r="AZ87" s="120"/>
      <c r="BA87" s="120"/>
      <c r="BB87" s="120"/>
      <c r="BC87" s="120"/>
      <c r="BD87" s="82"/>
      <c r="BE87" s="82"/>
      <c r="BF87" s="120"/>
      <c r="BG87" s="120"/>
      <c r="BH87" s="120"/>
      <c r="BI87" s="120"/>
      <c r="BJ87" s="120"/>
      <c r="BK87" s="120"/>
      <c r="BL87" s="82"/>
      <c r="BM87" s="82"/>
      <c r="BN87" s="120"/>
      <c r="BO87" s="120"/>
      <c r="BP87" s="120"/>
      <c r="BQ87" s="120"/>
      <c r="BR87" s="120"/>
      <c r="BS87" s="120"/>
      <c r="BT87" s="82"/>
      <c r="BU87" s="82"/>
      <c r="BV87" s="120"/>
      <c r="BW87" s="120"/>
      <c r="BX87" s="120"/>
      <c r="BY87" s="120"/>
      <c r="BZ87" s="120"/>
      <c r="CA87" s="120"/>
      <c r="CB87" s="82"/>
      <c r="CC87" s="82"/>
      <c r="CD87" s="120"/>
      <c r="CE87" s="120"/>
      <c r="CF87" s="120"/>
      <c r="CG87" s="120"/>
      <c r="CH87" s="120"/>
      <c r="CI87" s="120"/>
      <c r="CJ87" s="82"/>
      <c r="CK87" s="82"/>
      <c r="CL87" s="120"/>
      <c r="CM87" s="120"/>
      <c r="CN87" s="120"/>
      <c r="CO87" s="120"/>
      <c r="CP87" s="120"/>
      <c r="CQ87" s="120"/>
      <c r="CR87" s="82"/>
      <c r="CS87" s="82"/>
      <c r="CT87" s="120"/>
      <c r="CU87" s="120"/>
      <c r="CV87" s="120"/>
      <c r="CW87" s="120"/>
      <c r="CX87" s="120"/>
      <c r="CY87" s="120"/>
      <c r="CZ87" s="82"/>
      <c r="DA87" s="82"/>
      <c r="DB87" s="120"/>
      <c r="DC87" s="120"/>
      <c r="DD87" s="120"/>
      <c r="DE87" s="120"/>
      <c r="DF87" s="120"/>
      <c r="DG87" s="120"/>
      <c r="DH87" s="82"/>
      <c r="DI87" s="82"/>
    </row>
    <row r="88" spans="2:113" s="76" customFormat="1" ht="21">
      <c r="B88" s="502" t="str">
        <f>intervencao1</f>
        <v>Intrauterine device levonorgestrel</v>
      </c>
      <c r="C88" s="502"/>
      <c r="D88" s="502"/>
      <c r="E88" s="502"/>
      <c r="F88" s="502"/>
      <c r="G88" s="502"/>
      <c r="H88" s="502"/>
      <c r="I88" s="77"/>
      <c r="J88" s="502">
        <f>intervencao2</f>
        <v>0</v>
      </c>
      <c r="K88" s="502"/>
      <c r="L88" s="502"/>
      <c r="M88" s="502"/>
      <c r="N88" s="502"/>
      <c r="O88" s="502"/>
      <c r="P88" s="502"/>
      <c r="Q88" s="77"/>
      <c r="R88" s="502">
        <f>intervencao3</f>
        <v>0</v>
      </c>
      <c r="S88" s="502"/>
      <c r="T88" s="502"/>
      <c r="U88" s="502"/>
      <c r="V88" s="502"/>
      <c r="W88" s="502"/>
      <c r="X88" s="502"/>
      <c r="Y88" s="77"/>
      <c r="Z88" s="502">
        <f>intervencao4</f>
        <v>0</v>
      </c>
      <c r="AA88" s="502"/>
      <c r="AB88" s="502"/>
      <c r="AC88" s="502"/>
      <c r="AD88" s="502"/>
      <c r="AE88" s="502"/>
      <c r="AF88" s="502"/>
      <c r="AG88" s="77"/>
      <c r="AH88" s="502" t="str">
        <f>comparador1</f>
        <v>Oral contraceptive</v>
      </c>
      <c r="AI88" s="502"/>
      <c r="AJ88" s="502"/>
      <c r="AK88" s="502"/>
      <c r="AL88" s="502"/>
      <c r="AM88" s="502"/>
      <c r="AN88" s="502"/>
      <c r="AO88" s="77"/>
      <c r="AP88" s="502">
        <f>comparador2</f>
        <v>0</v>
      </c>
      <c r="AQ88" s="502"/>
      <c r="AR88" s="502"/>
      <c r="AS88" s="502"/>
      <c r="AT88" s="502"/>
      <c r="AU88" s="502"/>
      <c r="AV88" s="502"/>
      <c r="AW88" s="77"/>
      <c r="AX88" s="502">
        <f>comparador3</f>
        <v>0</v>
      </c>
      <c r="AY88" s="502"/>
      <c r="AZ88" s="502"/>
      <c r="BA88" s="502"/>
      <c r="BB88" s="502"/>
      <c r="BC88" s="502"/>
      <c r="BD88" s="502"/>
      <c r="BE88" s="77"/>
      <c r="BF88" s="502">
        <f>comparador4</f>
        <v>0</v>
      </c>
      <c r="BG88" s="502"/>
      <c r="BH88" s="502"/>
      <c r="BI88" s="502"/>
      <c r="BJ88" s="502"/>
      <c r="BK88" s="502"/>
      <c r="BL88" s="502"/>
      <c r="BM88" s="77"/>
      <c r="BN88" s="502">
        <f>comparador5</f>
        <v>0</v>
      </c>
      <c r="BO88" s="502"/>
      <c r="BP88" s="502"/>
      <c r="BQ88" s="502"/>
      <c r="BR88" s="502"/>
      <c r="BS88" s="502"/>
      <c r="BT88" s="502"/>
      <c r="BU88" s="77"/>
      <c r="BV88" s="502">
        <f>comparador6</f>
        <v>0</v>
      </c>
      <c r="BW88" s="502"/>
      <c r="BX88" s="502"/>
      <c r="BY88" s="502"/>
      <c r="BZ88" s="502"/>
      <c r="CA88" s="502"/>
      <c r="CB88" s="502"/>
      <c r="CC88" s="77"/>
      <c r="CD88" s="502">
        <f>comparador7</f>
        <v>0</v>
      </c>
      <c r="CE88" s="502"/>
      <c r="CF88" s="502"/>
      <c r="CG88" s="502"/>
      <c r="CH88" s="502"/>
      <c r="CI88" s="502"/>
      <c r="CJ88" s="502"/>
      <c r="CK88" s="77"/>
      <c r="CL88" s="502">
        <f>comparador8</f>
        <v>0</v>
      </c>
      <c r="CM88" s="502"/>
      <c r="CN88" s="502"/>
      <c r="CO88" s="502"/>
      <c r="CP88" s="502"/>
      <c r="CQ88" s="502"/>
      <c r="CR88" s="502"/>
      <c r="CS88" s="77"/>
      <c r="CT88" s="502">
        <f>comparador9</f>
        <v>0</v>
      </c>
      <c r="CU88" s="502"/>
      <c r="CV88" s="502"/>
      <c r="CW88" s="502"/>
      <c r="CX88" s="502"/>
      <c r="CY88" s="502"/>
      <c r="CZ88" s="502"/>
      <c r="DA88" s="77"/>
      <c r="DB88" s="502">
        <f>comparador10</f>
        <v>0</v>
      </c>
      <c r="DC88" s="502"/>
      <c r="DD88" s="502"/>
      <c r="DE88" s="502"/>
      <c r="DF88" s="502"/>
      <c r="DG88" s="502"/>
      <c r="DH88" s="502"/>
      <c r="DI88" s="77"/>
    </row>
    <row r="89" spans="2:113" ht="18">
      <c r="B89" s="503" t="s">
        <v>181</v>
      </c>
      <c r="C89" s="503"/>
      <c r="D89" s="503"/>
      <c r="E89" s="503"/>
      <c r="F89" s="503"/>
      <c r="G89" s="503"/>
      <c r="H89" s="71"/>
      <c r="I89" s="71"/>
      <c r="J89" s="503" t="s">
        <v>181</v>
      </c>
      <c r="K89" s="503"/>
      <c r="L89" s="503"/>
      <c r="M89" s="503"/>
      <c r="N89" s="503"/>
      <c r="O89" s="503"/>
      <c r="P89" s="71"/>
      <c r="Q89" s="71"/>
      <c r="R89" s="503" t="s">
        <v>181</v>
      </c>
      <c r="S89" s="503"/>
      <c r="T89" s="503"/>
      <c r="U89" s="503"/>
      <c r="V89" s="503"/>
      <c r="W89" s="503"/>
      <c r="X89" s="71"/>
      <c r="Y89" s="71"/>
      <c r="Z89" s="503" t="s">
        <v>181</v>
      </c>
      <c r="AA89" s="503"/>
      <c r="AB89" s="503"/>
      <c r="AC89" s="503"/>
      <c r="AD89" s="503"/>
      <c r="AE89" s="503"/>
      <c r="AF89" s="71"/>
      <c r="AG89" s="71"/>
      <c r="AH89" s="503" t="s">
        <v>181</v>
      </c>
      <c r="AI89" s="503"/>
      <c r="AJ89" s="503"/>
      <c r="AK89" s="503"/>
      <c r="AL89" s="503"/>
      <c r="AM89" s="503"/>
      <c r="AN89" s="71"/>
      <c r="AO89" s="71"/>
      <c r="AP89" s="503" t="s">
        <v>181</v>
      </c>
      <c r="AQ89" s="503"/>
      <c r="AR89" s="503"/>
      <c r="AS89" s="503"/>
      <c r="AT89" s="503"/>
      <c r="AU89" s="503"/>
      <c r="AV89" s="71"/>
      <c r="AW89" s="71"/>
      <c r="AX89" s="503" t="s">
        <v>181</v>
      </c>
      <c r="AY89" s="503"/>
      <c r="AZ89" s="503"/>
      <c r="BA89" s="503"/>
      <c r="BB89" s="503"/>
      <c r="BC89" s="503"/>
      <c r="BD89" s="71"/>
      <c r="BE89" s="71"/>
      <c r="BF89" s="503" t="s">
        <v>181</v>
      </c>
      <c r="BG89" s="503"/>
      <c r="BH89" s="503"/>
      <c r="BI89" s="503"/>
      <c r="BJ89" s="503"/>
      <c r="BK89" s="503"/>
      <c r="BL89" s="71"/>
      <c r="BM89" s="71"/>
      <c r="BN89" s="503" t="s">
        <v>181</v>
      </c>
      <c r="BO89" s="503"/>
      <c r="BP89" s="503"/>
      <c r="BQ89" s="503"/>
      <c r="BR89" s="503"/>
      <c r="BS89" s="503"/>
      <c r="BT89" s="71"/>
      <c r="BU89" s="71"/>
      <c r="BV89" s="503" t="s">
        <v>181</v>
      </c>
      <c r="BW89" s="503"/>
      <c r="BX89" s="503"/>
      <c r="BY89" s="503"/>
      <c r="BZ89" s="503"/>
      <c r="CA89" s="503"/>
      <c r="CB89" s="71"/>
      <c r="CC89" s="71"/>
      <c r="CD89" s="503" t="s">
        <v>181</v>
      </c>
      <c r="CE89" s="503"/>
      <c r="CF89" s="503"/>
      <c r="CG89" s="503"/>
      <c r="CH89" s="503"/>
      <c r="CI89" s="503"/>
      <c r="CJ89" s="71"/>
      <c r="CK89" s="71"/>
      <c r="CL89" s="503" t="s">
        <v>181</v>
      </c>
      <c r="CM89" s="503"/>
      <c r="CN89" s="503"/>
      <c r="CO89" s="503"/>
      <c r="CP89" s="503"/>
      <c r="CQ89" s="503"/>
      <c r="CR89" s="71"/>
      <c r="CS89" s="71"/>
      <c r="CT89" s="503" t="s">
        <v>181</v>
      </c>
      <c r="CU89" s="503"/>
      <c r="CV89" s="503"/>
      <c r="CW89" s="503"/>
      <c r="CX89" s="503"/>
      <c r="CY89" s="503"/>
      <c r="CZ89" s="71"/>
      <c r="DA89" s="71"/>
      <c r="DB89" s="503" t="s">
        <v>181</v>
      </c>
      <c r="DC89" s="503"/>
      <c r="DD89" s="503"/>
      <c r="DE89" s="503"/>
      <c r="DF89" s="503"/>
      <c r="DG89" s="503"/>
      <c r="DH89" s="71"/>
      <c r="DI89" s="71"/>
    </row>
    <row r="90" spans="2:113" ht="15" thickBot="1">
      <c r="B90" s="83"/>
      <c r="C90" s="83"/>
      <c r="D90" s="83"/>
      <c r="E90" s="83"/>
      <c r="F90" s="83"/>
      <c r="G90" s="83"/>
      <c r="J90" s="83"/>
      <c r="K90" s="83"/>
      <c r="L90" s="83"/>
      <c r="M90" s="83"/>
      <c r="N90" s="83"/>
      <c r="O90" s="83"/>
      <c r="R90" s="83"/>
      <c r="S90" s="83"/>
      <c r="T90" s="83"/>
      <c r="U90" s="83"/>
      <c r="V90" s="83"/>
      <c r="W90" s="83"/>
      <c r="Z90" s="83"/>
      <c r="AA90" s="83"/>
      <c r="AB90" s="83"/>
      <c r="AC90" s="83"/>
      <c r="AD90" s="83"/>
      <c r="AE90" s="83"/>
      <c r="AH90" s="83"/>
      <c r="AI90" s="83"/>
      <c r="AJ90" s="83"/>
      <c r="AK90" s="83"/>
      <c r="AL90" s="83"/>
      <c r="AM90" s="83"/>
      <c r="AP90" s="83"/>
      <c r="AQ90" s="83"/>
      <c r="AR90" s="83"/>
      <c r="AS90" s="83"/>
      <c r="AT90" s="83"/>
      <c r="AU90" s="83"/>
      <c r="AX90" s="83"/>
      <c r="AY90" s="83"/>
      <c r="AZ90" s="83"/>
      <c r="BA90" s="83"/>
      <c r="BB90" s="83"/>
      <c r="BC90" s="83"/>
      <c r="BF90" s="83"/>
      <c r="BG90" s="83"/>
      <c r="BH90" s="83"/>
      <c r="BI90" s="83"/>
      <c r="BJ90" s="83"/>
      <c r="BK90" s="83"/>
      <c r="BN90" s="83"/>
      <c r="BO90" s="83"/>
      <c r="BP90" s="83"/>
      <c r="BQ90" s="83"/>
      <c r="BR90" s="83"/>
      <c r="BS90" s="83"/>
      <c r="BV90" s="83"/>
      <c r="BW90" s="83"/>
      <c r="BX90" s="83"/>
      <c r="BY90" s="83"/>
      <c r="BZ90" s="83"/>
      <c r="CA90" s="83"/>
      <c r="CD90" s="83"/>
      <c r="CE90" s="83"/>
      <c r="CF90" s="83"/>
      <c r="CG90" s="83"/>
      <c r="CH90" s="83"/>
      <c r="CI90" s="83"/>
      <c r="CL90" s="83"/>
      <c r="CM90" s="83"/>
      <c r="CN90" s="83"/>
      <c r="CO90" s="83"/>
      <c r="CP90" s="83"/>
      <c r="CQ90" s="83"/>
      <c r="CT90" s="83"/>
      <c r="CU90" s="83"/>
      <c r="CV90" s="83"/>
      <c r="CW90" s="83"/>
      <c r="CX90" s="83"/>
      <c r="CY90" s="83"/>
      <c r="DB90" s="83"/>
      <c r="DC90" s="83"/>
      <c r="DD90" s="83"/>
      <c r="DE90" s="83"/>
      <c r="DF90" s="83"/>
      <c r="DG90" s="83"/>
    </row>
    <row r="91" spans="2:113" ht="15" thickBot="1">
      <c r="B91" s="504" t="str">
        <f>B26</f>
        <v>Without IUD-LNG</v>
      </c>
      <c r="C91" s="505"/>
      <c r="D91" s="505"/>
      <c r="E91" s="505"/>
      <c r="F91" s="505"/>
      <c r="G91" s="506"/>
      <c r="J91" s="504" t="str">
        <f>J26</f>
        <v>Without IUD-LNG</v>
      </c>
      <c r="K91" s="505"/>
      <c r="L91" s="505"/>
      <c r="M91" s="505"/>
      <c r="N91" s="505"/>
      <c r="O91" s="506"/>
      <c r="R91" s="504" t="str">
        <f>R26</f>
        <v>Without IUD-LNG</v>
      </c>
      <c r="S91" s="505"/>
      <c r="T91" s="505"/>
      <c r="U91" s="505"/>
      <c r="V91" s="505"/>
      <c r="W91" s="506"/>
      <c r="Z91" s="504" t="str">
        <f>Z26</f>
        <v>Without IUD-LNG</v>
      </c>
      <c r="AA91" s="505"/>
      <c r="AB91" s="505"/>
      <c r="AC91" s="505"/>
      <c r="AD91" s="505"/>
      <c r="AE91" s="506"/>
      <c r="AH91" s="504" t="str">
        <f>AH26</f>
        <v>Without IUD-LNG</v>
      </c>
      <c r="AI91" s="505"/>
      <c r="AJ91" s="505"/>
      <c r="AK91" s="505"/>
      <c r="AL91" s="505"/>
      <c r="AM91" s="506"/>
      <c r="AP91" s="504" t="str">
        <f>AP26</f>
        <v>Without IUD-LNG</v>
      </c>
      <c r="AQ91" s="505"/>
      <c r="AR91" s="505"/>
      <c r="AS91" s="505"/>
      <c r="AT91" s="505"/>
      <c r="AU91" s="506"/>
      <c r="AX91" s="504" t="str">
        <f>AX26</f>
        <v>Without IUD-LNG</v>
      </c>
      <c r="AY91" s="505"/>
      <c r="AZ91" s="505"/>
      <c r="BA91" s="505"/>
      <c r="BB91" s="505"/>
      <c r="BC91" s="506"/>
      <c r="BF91" s="504" t="str">
        <f>BF26</f>
        <v>Without IUD-LNG</v>
      </c>
      <c r="BG91" s="505"/>
      <c r="BH91" s="505"/>
      <c r="BI91" s="505"/>
      <c r="BJ91" s="505"/>
      <c r="BK91" s="506"/>
      <c r="BN91" s="504" t="str">
        <f>BN26</f>
        <v>Without IUD-LNG</v>
      </c>
      <c r="BO91" s="505"/>
      <c r="BP91" s="505"/>
      <c r="BQ91" s="505"/>
      <c r="BR91" s="505"/>
      <c r="BS91" s="506"/>
      <c r="BV91" s="504" t="str">
        <f>BV26</f>
        <v>Without IUD-LNG</v>
      </c>
      <c r="BW91" s="505"/>
      <c r="BX91" s="505"/>
      <c r="BY91" s="505"/>
      <c r="BZ91" s="505"/>
      <c r="CA91" s="506"/>
      <c r="CD91" s="504" t="str">
        <f>CD26</f>
        <v>Without IUD-LNG</v>
      </c>
      <c r="CE91" s="505"/>
      <c r="CF91" s="505"/>
      <c r="CG91" s="505"/>
      <c r="CH91" s="505"/>
      <c r="CI91" s="506"/>
      <c r="CL91" s="504" t="str">
        <f>CL26</f>
        <v>Without IUD-LNG</v>
      </c>
      <c r="CM91" s="505"/>
      <c r="CN91" s="505"/>
      <c r="CO91" s="505"/>
      <c r="CP91" s="505"/>
      <c r="CQ91" s="506"/>
      <c r="CT91" s="504" t="str">
        <f>CT26</f>
        <v>Without IUD-LNG</v>
      </c>
      <c r="CU91" s="505"/>
      <c r="CV91" s="505"/>
      <c r="CW91" s="505"/>
      <c r="CX91" s="505"/>
      <c r="CY91" s="506"/>
      <c r="DB91" s="504" t="str">
        <f>DB26</f>
        <v>Without IUD-LNG</v>
      </c>
      <c r="DC91" s="505"/>
      <c r="DD91" s="505"/>
      <c r="DE91" s="505"/>
      <c r="DF91" s="505"/>
      <c r="DG91" s="506"/>
    </row>
    <row r="92" spans="2:113">
      <c r="B92" s="84"/>
      <c r="C92" s="101">
        <f>C27</f>
        <v>2026</v>
      </c>
      <c r="D92" s="101">
        <f t="shared" ref="D92:F92" si="272">D27</f>
        <v>2027</v>
      </c>
      <c r="E92" s="101">
        <f t="shared" si="272"/>
        <v>2028</v>
      </c>
      <c r="F92" s="101">
        <f t="shared" si="272"/>
        <v>2029</v>
      </c>
      <c r="G92" s="102">
        <f>G27</f>
        <v>2030</v>
      </c>
      <c r="J92" s="84"/>
      <c r="K92" s="101">
        <f>K27</f>
        <v>2026</v>
      </c>
      <c r="L92" s="101">
        <f t="shared" ref="L92:N92" si="273">L27</f>
        <v>2027</v>
      </c>
      <c r="M92" s="101">
        <f t="shared" si="273"/>
        <v>2028</v>
      </c>
      <c r="N92" s="101">
        <f t="shared" si="273"/>
        <v>2029</v>
      </c>
      <c r="O92" s="102">
        <f>O27</f>
        <v>2030</v>
      </c>
      <c r="R92" s="84"/>
      <c r="S92" s="101">
        <f>S27</f>
        <v>2026</v>
      </c>
      <c r="T92" s="101">
        <f t="shared" ref="T92:V92" si="274">T27</f>
        <v>2027</v>
      </c>
      <c r="U92" s="101">
        <f t="shared" si="274"/>
        <v>2028</v>
      </c>
      <c r="V92" s="101">
        <f t="shared" si="274"/>
        <v>2029</v>
      </c>
      <c r="W92" s="102">
        <f>W27</f>
        <v>2030</v>
      </c>
      <c r="Z92" s="84"/>
      <c r="AA92" s="101">
        <f>AA27</f>
        <v>2026</v>
      </c>
      <c r="AB92" s="101">
        <f t="shared" ref="AB92:AD92" si="275">AB27</f>
        <v>2027</v>
      </c>
      <c r="AC92" s="101">
        <f t="shared" si="275"/>
        <v>2028</v>
      </c>
      <c r="AD92" s="101">
        <f t="shared" si="275"/>
        <v>2029</v>
      </c>
      <c r="AE92" s="102">
        <f>AE27</f>
        <v>2030</v>
      </c>
      <c r="AH92" s="84"/>
      <c r="AI92" s="101">
        <f>AI27</f>
        <v>2026</v>
      </c>
      <c r="AJ92" s="101">
        <f t="shared" ref="AJ92:AL92" si="276">AJ27</f>
        <v>2027</v>
      </c>
      <c r="AK92" s="101">
        <f t="shared" si="276"/>
        <v>2028</v>
      </c>
      <c r="AL92" s="101">
        <f t="shared" si="276"/>
        <v>2029</v>
      </c>
      <c r="AM92" s="102">
        <f>AM27</f>
        <v>2030</v>
      </c>
      <c r="AP92" s="84"/>
      <c r="AQ92" s="101">
        <f>AQ27</f>
        <v>2026</v>
      </c>
      <c r="AR92" s="101">
        <f t="shared" ref="AR92:AT92" si="277">AR27</f>
        <v>2027</v>
      </c>
      <c r="AS92" s="101">
        <f t="shared" si="277"/>
        <v>2028</v>
      </c>
      <c r="AT92" s="101">
        <f t="shared" si="277"/>
        <v>2029</v>
      </c>
      <c r="AU92" s="102">
        <f>AU27</f>
        <v>2030</v>
      </c>
      <c r="AX92" s="84"/>
      <c r="AY92" s="101">
        <f>AY27</f>
        <v>2026</v>
      </c>
      <c r="AZ92" s="101">
        <f t="shared" ref="AZ92:BB92" si="278">AZ27</f>
        <v>2027</v>
      </c>
      <c r="BA92" s="101">
        <f t="shared" si="278"/>
        <v>2028</v>
      </c>
      <c r="BB92" s="101">
        <f t="shared" si="278"/>
        <v>2029</v>
      </c>
      <c r="BC92" s="102">
        <f>BC27</f>
        <v>2030</v>
      </c>
      <c r="BF92" s="84"/>
      <c r="BG92" s="101">
        <f>BG27</f>
        <v>2026</v>
      </c>
      <c r="BH92" s="101">
        <f t="shared" ref="BH92:BJ92" si="279">BH27</f>
        <v>2027</v>
      </c>
      <c r="BI92" s="101">
        <f t="shared" si="279"/>
        <v>2028</v>
      </c>
      <c r="BJ92" s="101">
        <f t="shared" si="279"/>
        <v>2029</v>
      </c>
      <c r="BK92" s="102">
        <f>BK27</f>
        <v>2030</v>
      </c>
      <c r="BN92" s="84"/>
      <c r="BO92" s="101">
        <f>BO27</f>
        <v>2026</v>
      </c>
      <c r="BP92" s="101">
        <f t="shared" ref="BP92:BR92" si="280">BP27</f>
        <v>2027</v>
      </c>
      <c r="BQ92" s="101">
        <f t="shared" si="280"/>
        <v>2028</v>
      </c>
      <c r="BR92" s="101">
        <f t="shared" si="280"/>
        <v>2029</v>
      </c>
      <c r="BS92" s="102">
        <f>BS27</f>
        <v>2030</v>
      </c>
      <c r="BV92" s="84"/>
      <c r="BW92" s="101">
        <f>BW27</f>
        <v>2026</v>
      </c>
      <c r="BX92" s="101">
        <f t="shared" ref="BX92:BZ92" si="281">BX27</f>
        <v>2027</v>
      </c>
      <c r="BY92" s="101">
        <f t="shared" si="281"/>
        <v>2028</v>
      </c>
      <c r="BZ92" s="101">
        <f t="shared" si="281"/>
        <v>2029</v>
      </c>
      <c r="CA92" s="102">
        <f>CA27</f>
        <v>2030</v>
      </c>
      <c r="CD92" s="84"/>
      <c r="CE92" s="101">
        <f>CE27</f>
        <v>2026</v>
      </c>
      <c r="CF92" s="101">
        <f t="shared" ref="CF92:CH92" si="282">CF27</f>
        <v>2027</v>
      </c>
      <c r="CG92" s="101">
        <f t="shared" si="282"/>
        <v>2028</v>
      </c>
      <c r="CH92" s="101">
        <f t="shared" si="282"/>
        <v>2029</v>
      </c>
      <c r="CI92" s="102">
        <f>CI27</f>
        <v>2030</v>
      </c>
      <c r="CL92" s="84"/>
      <c r="CM92" s="101">
        <f>CM27</f>
        <v>2026</v>
      </c>
      <c r="CN92" s="101">
        <f t="shared" ref="CN92:CP92" si="283">CN27</f>
        <v>2027</v>
      </c>
      <c r="CO92" s="101">
        <f t="shared" si="283"/>
        <v>2028</v>
      </c>
      <c r="CP92" s="101">
        <f t="shared" si="283"/>
        <v>2029</v>
      </c>
      <c r="CQ92" s="102">
        <f>CQ27</f>
        <v>2030</v>
      </c>
      <c r="CT92" s="84"/>
      <c r="CU92" s="101">
        <f>CU27</f>
        <v>2026</v>
      </c>
      <c r="CV92" s="101">
        <f t="shared" ref="CV92:CX92" si="284">CV27</f>
        <v>2027</v>
      </c>
      <c r="CW92" s="101">
        <f t="shared" si="284"/>
        <v>2028</v>
      </c>
      <c r="CX92" s="101">
        <f t="shared" si="284"/>
        <v>2029</v>
      </c>
      <c r="CY92" s="102">
        <f>CY27</f>
        <v>2030</v>
      </c>
      <c r="DB92" s="84"/>
      <c r="DC92" s="101">
        <f>DC27</f>
        <v>2026</v>
      </c>
      <c r="DD92" s="101">
        <f t="shared" ref="DD92:DF92" si="285">DD27</f>
        <v>2027</v>
      </c>
      <c r="DE92" s="101">
        <f t="shared" si="285"/>
        <v>2028</v>
      </c>
      <c r="DF92" s="101">
        <f t="shared" si="285"/>
        <v>2029</v>
      </c>
      <c r="DG92" s="102">
        <f>DG27</f>
        <v>2030</v>
      </c>
    </row>
    <row r="93" spans="2:113">
      <c r="B93" s="87" t="s">
        <v>170</v>
      </c>
      <c r="C93" s="109">
        <f ca="1">(C28*c_inicial)+(C28*c_on*12)+(C28*ci_int1)+(C28*(ct_int1+ca_int1)*'Time on treatment'!$D$12)</f>
        <v>0</v>
      </c>
      <c r="D93" s="109">
        <f ca="1">(D28*c_on*12)+(D28*(ct_int1+ca_int1)*'Time on treatment'!$E$12)</f>
        <v>0</v>
      </c>
      <c r="E93" s="109">
        <f ca="1">(E28*c_on*12)+(E28*(ct_int1+ca_int1)*'Time on treatment'!$F$12)</f>
        <v>0</v>
      </c>
      <c r="F93" s="109">
        <f ca="1">(F28*c_on*12)+(F28*(ct_int1+ca_int1)*'Time on treatment'!$G$12)</f>
        <v>0</v>
      </c>
      <c r="G93" s="110">
        <f ca="1">(G28*c_on*12)+(G28*(ct_int1+ca_int1)*'Time on treatment'!$H$12)</f>
        <v>0</v>
      </c>
      <c r="J93" s="87" t="s">
        <v>170</v>
      </c>
      <c r="K93" s="109">
        <f ca="1">(K28*c_inicial)+(K28*c_on*12)+(K28*ci_int2)+(K28*(ct_int2+ca_int2)*'Time on treatment'!$D$13)</f>
        <v>0</v>
      </c>
      <c r="L93" s="109">
        <f ca="1">(L28*c_on*12)+(L28*(ct_int2+ca_int2)*'Time on treatment'!$E$13)</f>
        <v>0</v>
      </c>
      <c r="M93" s="109">
        <f ca="1">(M28*c_on*12)+(M28*(ct_int2+ca_int2)*'Time on treatment'!$F$13)</f>
        <v>0</v>
      </c>
      <c r="N93" s="109">
        <f ca="1">(N28*c_on*12)+(N28*(ct_int2+ca_int2)*'Time on treatment'!$G$13)</f>
        <v>0</v>
      </c>
      <c r="O93" s="110">
        <f ca="1">(O28*c_on*12)+(O28*(ct_int2+ca_int2)*'Time on treatment'!$H$13)</f>
        <v>0</v>
      </c>
      <c r="R93" s="87" t="s">
        <v>170</v>
      </c>
      <c r="S93" s="109">
        <f ca="1">(S28*c_inicial)+(S28*c_on*12)+(S28*ci_int3)+(S28*(ct_int3+ca_int3)*'Time on treatment'!$D$14)</f>
        <v>0</v>
      </c>
      <c r="T93" s="109">
        <f ca="1">(T28*c_on*12)+(T28*(ct_int3+ca_int3)*'Time on treatment'!$E$14)</f>
        <v>0</v>
      </c>
      <c r="U93" s="109">
        <f ca="1">(U28*c_on*12)+(U28*(ct_int3+ca_int3)*'Time on treatment'!$F$14)</f>
        <v>0</v>
      </c>
      <c r="V93" s="109">
        <f ca="1">(V28*c_on*12)+(V28*(ct_int3+ca_int3)*'Time on treatment'!$G$14)</f>
        <v>0</v>
      </c>
      <c r="W93" s="110">
        <f ca="1">(W28*c_on*12)+(W28*(ct_int3+ca_int3)*'Time on treatment'!$H$14)</f>
        <v>0</v>
      </c>
      <c r="Z93" s="87" t="s">
        <v>170</v>
      </c>
      <c r="AA93" s="109">
        <f ca="1">(AA28*c_inicial)+(AA28*c_on*12)+(AA28*ci_int4)+(AA28*(ct_int4+ca_int4)*'Time on treatment'!$D$15)</f>
        <v>0</v>
      </c>
      <c r="AB93" s="109">
        <f ca="1">(AB28*c_on*12)+(AB28*(ct_int4+ca_int4)*'Time on treatment'!$E$15)</f>
        <v>0</v>
      </c>
      <c r="AC93" s="109">
        <f ca="1">(AC28*c_on*12)+(AC28*(ct_int4+ca_int4)*'Time on treatment'!$F$15)</f>
        <v>0</v>
      </c>
      <c r="AD93" s="109">
        <f ca="1">(AD28*c_on*12)+(AD28*(ct_int4+ca_int4)*'Time on treatment'!$G$15)</f>
        <v>0</v>
      </c>
      <c r="AE93" s="110">
        <f ca="1">(AE28*c_on*12)+(AE28*(ct_int4+ca_int4)*'Time on treatment'!$H$15)</f>
        <v>0</v>
      </c>
      <c r="AH93" s="87" t="s">
        <v>170</v>
      </c>
      <c r="AI93" s="109">
        <f ca="1">(AI28*c_inicial)+(AI28*c_on*12)+(AI28*ci_comp1)+(AI28*(ct_comp1+ca_comp1)*'Time on treatment'!$D$19)</f>
        <v>5487460.7252860991</v>
      </c>
      <c r="AJ93" s="109">
        <f ca="1">(AJ28*c_on*12)+(AJ28*(ct_comp1+ca_comp1)*'Time on treatment'!$E$19)</f>
        <v>5487460.7252860991</v>
      </c>
      <c r="AK93" s="109">
        <f ca="1">(AK28*c_on*12)+(AK28*(ct_comp1+ca_comp1)*'Time on treatment'!$F$19)</f>
        <v>5487460.7252860991</v>
      </c>
      <c r="AL93" s="109">
        <f ca="1">(AL28*c_on*12)+(AL28*(ct_comp1+ca_comp1)*'Time on treatment'!$G$19)</f>
        <v>5487460.7252860991</v>
      </c>
      <c r="AM93" s="110">
        <f ca="1">(AM28*c_on*12)+(AM28*(ct_comp1+ca_comp1)*'Time on treatment'!$H$19)</f>
        <v>5487460.7252860991</v>
      </c>
      <c r="AP93" s="87" t="s">
        <v>170</v>
      </c>
      <c r="AQ93" s="109">
        <f ca="1">(AQ28*c_inicial)+(AQ28*c_on*12)+(AQ28*ci_comp2)+(AQ28*(ct_comp2+ca_comp2)*'Time on treatment'!$D$20)</f>
        <v>0</v>
      </c>
      <c r="AR93" s="109">
        <f ca="1">(AR28*c_on*12)+(AR28*(ct_comp2+ca_comp2)*'Time on treatment'!$E$20)</f>
        <v>0</v>
      </c>
      <c r="AS93" s="109">
        <f ca="1">(AS28*c_on*12)+(AS28*(ct_comp2+ca_comp2)*'Time on treatment'!$F$20)</f>
        <v>0</v>
      </c>
      <c r="AT93" s="109">
        <f ca="1">(AT28*c_on*12)+(AT28*(ct_comp2+ca_comp2)*'Time on treatment'!$G$20)</f>
        <v>0</v>
      </c>
      <c r="AU93" s="110">
        <f ca="1">(AU28*c_on*12)+(AU28*(ct_comp2+ca_comp2)*'Time on treatment'!$H$20)</f>
        <v>0</v>
      </c>
      <c r="AX93" s="87" t="s">
        <v>170</v>
      </c>
      <c r="AY93" s="109">
        <f ca="1">(AY28*c_inicial)+(AY28*c_on*12)+(AY28*ci_comp3)+(AY28*(ct_comp3+ca_comp3)*'Time on treatment'!$D$21)</f>
        <v>0</v>
      </c>
      <c r="AZ93" s="109">
        <f ca="1">(AZ28*c_on*12)+(AZ28*(ct_comp3+ca_comp3)*'Time on treatment'!$E$21)</f>
        <v>0</v>
      </c>
      <c r="BA93" s="109">
        <f ca="1">(BA28*c_on*12)+(BA28*(ct_comp3+ca_comp3)*'Time on treatment'!$F$21)</f>
        <v>0</v>
      </c>
      <c r="BB93" s="109">
        <f ca="1">(BB28*c_on*12)+(BB28*(ct_comp3+ca_comp3)*'Time on treatment'!$G$21)</f>
        <v>0</v>
      </c>
      <c r="BC93" s="110">
        <f ca="1">(BC28*c_on*12)+(BC28*(ct_comp3+ca_comp3)*'Time on treatment'!$H$21)</f>
        <v>0</v>
      </c>
      <c r="BF93" s="87" t="s">
        <v>170</v>
      </c>
      <c r="BG93" s="109">
        <f ca="1">(BG28*c_inicial)+(BG28*c_on*12)+(BG28*ci_comp4)+(BG28*(ct_comp4+ca_comp4)*'Time on treatment'!$D$22)</f>
        <v>0</v>
      </c>
      <c r="BH93" s="109">
        <f ca="1">(BH28*c_on*12)+(BH28*(ct_comp4+ca_comp4)*'Time on treatment'!$E$22)</f>
        <v>0</v>
      </c>
      <c r="BI93" s="109">
        <f ca="1">(BI28*c_on*12)+(BI28*(ct_comp4+ca_comp4)*'Time on treatment'!$F$22)</f>
        <v>0</v>
      </c>
      <c r="BJ93" s="109">
        <f ca="1">(BJ28*c_on*12)+(BJ28*(ct_comp4+ca_comp4)*'Time on treatment'!$G$22)</f>
        <v>0</v>
      </c>
      <c r="BK93" s="110">
        <f ca="1">(BK28*c_on*12)+(BK28*(ct_comp4+ca_comp4)*'Time on treatment'!$H$22)</f>
        <v>0</v>
      </c>
      <c r="BN93" s="87" t="s">
        <v>170</v>
      </c>
      <c r="BO93" s="109">
        <f ca="1">(BO28*c_inicial)+(BO28*c_on*12)+(BO28*ci_comp5)+(BO28*(ct_comp5+ca_comp5)*'Time on treatment'!$D$23)</f>
        <v>0</v>
      </c>
      <c r="BP93" s="109">
        <f ca="1">(BP28*c_on*12)+(BP28*(ct_comp5+ca_comp5)*'Time on treatment'!$E$23)</f>
        <v>0</v>
      </c>
      <c r="BQ93" s="109">
        <f ca="1">(BQ28*c_on*12)+(BQ28*(ct_comp5+ca_comp5)*'Time on treatment'!$F$23)</f>
        <v>0</v>
      </c>
      <c r="BR93" s="109">
        <f ca="1">(BR28*c_on*12)+(BR28*(ct_comp5+ca_comp5)*'Time on treatment'!$G$23)</f>
        <v>0</v>
      </c>
      <c r="BS93" s="110">
        <f ca="1">(BS28*c_on*12)+(BS28*(ct_comp5+ca_comp5)*'Time on treatment'!$H$23)</f>
        <v>0</v>
      </c>
      <c r="BV93" s="87" t="s">
        <v>170</v>
      </c>
      <c r="BW93" s="109">
        <f ca="1">(BW28*c_inicial)+(BW28*c_on*12)+(BW28*ci_comp6)+(BW28*(ct_comp6+ca_comp6)*'Time on treatment'!$D$24)</f>
        <v>0</v>
      </c>
      <c r="BX93" s="109">
        <f ca="1">(BX28*c_on*12)+(BX28*(ct_comp6+ca_comp6)*'Time on treatment'!$E$24)</f>
        <v>0</v>
      </c>
      <c r="BY93" s="109">
        <f ca="1">(BY28*c_on*12)+(BY28*(ct_comp6+ca_comp6)*'Time on treatment'!$F$24)</f>
        <v>0</v>
      </c>
      <c r="BZ93" s="109">
        <f ca="1">(BZ28*c_on*12)+(BZ28*(ct_comp6+ca_comp6)*'Time on treatment'!$G$24)</f>
        <v>0</v>
      </c>
      <c r="CA93" s="110">
        <f ca="1">(CA28*c_on*12)+(CA28*(ct_comp6+ca_comp6)*'Time on treatment'!$H$24)</f>
        <v>0</v>
      </c>
      <c r="CD93" s="87" t="s">
        <v>170</v>
      </c>
      <c r="CE93" s="109">
        <f ca="1">(CE28*c_inicial)+(CE28*c_on*12)+(CE28*ci_comp7)+(CE28*(ct_comp7+ca_comp7)*'Time on treatment'!$D$25)</f>
        <v>0</v>
      </c>
      <c r="CF93" s="109">
        <f ca="1">(CF28*c_on*12)+(CF28*(ct_comp7+ca_comp7)*'Time on treatment'!$E$25)</f>
        <v>0</v>
      </c>
      <c r="CG93" s="109">
        <f ca="1">(CG28*c_on*12)+(CG28*(ct_comp7+ca_comp7)*'Time on treatment'!$F$25)</f>
        <v>0</v>
      </c>
      <c r="CH93" s="109">
        <f ca="1">(CH28*c_on*12)+(CH28*(ct_comp7+ca_comp7)*'Time on treatment'!$G$25)</f>
        <v>0</v>
      </c>
      <c r="CI93" s="110">
        <f ca="1">(CI28*c_on*12)+(CI28*(ct_comp7+ca_comp7)*'Time on treatment'!$H$25)</f>
        <v>0</v>
      </c>
      <c r="CL93" s="87" t="s">
        <v>170</v>
      </c>
      <c r="CM93" s="109">
        <f ca="1">(CM28*c_inicial)+(CM28*c_on*12)+(CM28*ci_comp8)+(CM28*(ct_comp8+ca_comp8)*'Time on treatment'!$D$26)</f>
        <v>0</v>
      </c>
      <c r="CN93" s="109">
        <f ca="1">(CN28*c_on*12)+(CN28*(ct_comp8+ca_comp8)*'Time on treatment'!$E$26)</f>
        <v>0</v>
      </c>
      <c r="CO93" s="109">
        <f ca="1">(CO28*c_on*12)+(CO28*(ct_comp8+ca_comp8)*'Time on treatment'!$F$26)</f>
        <v>0</v>
      </c>
      <c r="CP93" s="109">
        <f ca="1">(CP28*c_on*12)+(CP28*(ct_comp8+ca_comp8)*'Time on treatment'!$G$26)</f>
        <v>0</v>
      </c>
      <c r="CQ93" s="110">
        <f ca="1">(CQ28*c_on*12)+(CQ28*(ct_comp8+ca_comp8)*'Time on treatment'!$H$26)</f>
        <v>0</v>
      </c>
      <c r="CT93" s="87" t="s">
        <v>170</v>
      </c>
      <c r="CU93" s="109">
        <f ca="1">(CU28*c_inicial)+(CU28*c_on*12)+(CU28*ci_comp9)+(CU28*(ct_comp9+ca_comp9)*'Time on treatment'!$D$27)</f>
        <v>0</v>
      </c>
      <c r="CV93" s="109">
        <f ca="1">(CV28*c_on*12)+(CV28*(ct_comp9+ca_comp9)*'Time on treatment'!$E$27)</f>
        <v>0</v>
      </c>
      <c r="CW93" s="109">
        <f ca="1">(CW28*c_on*12)+(CW28*(ct_comp9+ca_comp9)*'Time on treatment'!$F$27)</f>
        <v>0</v>
      </c>
      <c r="CX93" s="109">
        <f ca="1">(CX28*c_on*12)+(CX28*(ct_comp9+ca_comp9)*'Time on treatment'!$G$27)</f>
        <v>0</v>
      </c>
      <c r="CY93" s="110">
        <f ca="1">(CY28*c_on*12)+(CY28*(ct_comp9+ca_comp9)*'Time on treatment'!$H$27)</f>
        <v>0</v>
      </c>
      <c r="DB93" s="87" t="s">
        <v>170</v>
      </c>
      <c r="DC93" s="109">
        <f ca="1">(DC28*c_inicial)+(DC28*c_on*12)+(DC28*ci_comp10)+(DC28*(ct_comp10+ca_comp10)*'Time on treatment'!$D$28)</f>
        <v>0</v>
      </c>
      <c r="DD93" s="109">
        <f ca="1">(DD28*c_on*12)+(DD28*(ct_comp10+ca_comp10)*'Time on treatment'!$E$28)</f>
        <v>0</v>
      </c>
      <c r="DE93" s="109">
        <f ca="1">(DE28*c_on*12)+(DE28*(ct_comp10+ca_comp10)*'Time on treatment'!$F$28)</f>
        <v>0</v>
      </c>
      <c r="DF93" s="109">
        <f ca="1">(DF28*c_on*12)+(DF28*(ct_comp10+ca_comp10)*'Time on treatment'!$G$28)</f>
        <v>0</v>
      </c>
      <c r="DG93" s="110">
        <f ca="1">(DG28*c_on*12)+(DG28*(ct_comp10+ca_comp10)*'Time on treatment'!$H$28)</f>
        <v>0</v>
      </c>
    </row>
    <row r="94" spans="2:113">
      <c r="B94" s="87" t="s">
        <v>175</v>
      </c>
      <c r="C94" s="109">
        <f>C29*c_off</f>
        <v>0</v>
      </c>
      <c r="D94" s="109">
        <f>D29*c_off</f>
        <v>0</v>
      </c>
      <c r="E94" s="109">
        <f>E29*c_off</f>
        <v>0</v>
      </c>
      <c r="F94" s="109">
        <f>F29*c_off</f>
        <v>0</v>
      </c>
      <c r="G94" s="110">
        <f>G29*c_off</f>
        <v>0</v>
      </c>
      <c r="J94" s="87" t="s">
        <v>175</v>
      </c>
      <c r="K94" s="109">
        <f>K29*c_off</f>
        <v>0</v>
      </c>
      <c r="L94" s="109">
        <f>L29*c_off</f>
        <v>0</v>
      </c>
      <c r="M94" s="109">
        <f>M29*c_off</f>
        <v>0</v>
      </c>
      <c r="N94" s="109">
        <f>N29*c_off</f>
        <v>0</v>
      </c>
      <c r="O94" s="110">
        <f>O29*c_off</f>
        <v>0</v>
      </c>
      <c r="R94" s="87" t="s">
        <v>175</v>
      </c>
      <c r="S94" s="109">
        <f>S29*c_off</f>
        <v>0</v>
      </c>
      <c r="T94" s="109">
        <f>T29*c_off</f>
        <v>0</v>
      </c>
      <c r="U94" s="109">
        <f>U29*c_off</f>
        <v>0</v>
      </c>
      <c r="V94" s="109">
        <f>V29*c_off</f>
        <v>0</v>
      </c>
      <c r="W94" s="110">
        <f>W29*c_off</f>
        <v>0</v>
      </c>
      <c r="Z94" s="87" t="s">
        <v>175</v>
      </c>
      <c r="AA94" s="109">
        <f>AA29*c_off</f>
        <v>0</v>
      </c>
      <c r="AB94" s="109">
        <f>AB29*c_off</f>
        <v>0</v>
      </c>
      <c r="AC94" s="109">
        <f>AC29*c_off</f>
        <v>0</v>
      </c>
      <c r="AD94" s="109">
        <f>AD29*c_off</f>
        <v>0</v>
      </c>
      <c r="AE94" s="110">
        <f>AE29*c_off</f>
        <v>0</v>
      </c>
      <c r="AH94" s="87" t="s">
        <v>175</v>
      </c>
      <c r="AI94" s="109">
        <f>AI29*c_off</f>
        <v>0</v>
      </c>
      <c r="AJ94" s="109">
        <f>AJ29*c_off</f>
        <v>0</v>
      </c>
      <c r="AK94" s="109">
        <f>AK29*c_off</f>
        <v>0</v>
      </c>
      <c r="AL94" s="109">
        <f>AL29*c_off</f>
        <v>0</v>
      </c>
      <c r="AM94" s="110">
        <f>AM29*c_off</f>
        <v>0</v>
      </c>
      <c r="AP94" s="87" t="s">
        <v>175</v>
      </c>
      <c r="AQ94" s="109">
        <f>AQ29*c_off</f>
        <v>0</v>
      </c>
      <c r="AR94" s="109">
        <f>AR29*c_off</f>
        <v>0</v>
      </c>
      <c r="AS94" s="109">
        <f>AS29*c_off</f>
        <v>0</v>
      </c>
      <c r="AT94" s="109">
        <f>AT29*c_off</f>
        <v>0</v>
      </c>
      <c r="AU94" s="110">
        <f>AU29*c_off</f>
        <v>0</v>
      </c>
      <c r="AX94" s="87" t="s">
        <v>175</v>
      </c>
      <c r="AY94" s="109">
        <f>AY29*c_off</f>
        <v>0</v>
      </c>
      <c r="AZ94" s="109">
        <f>AZ29*c_off</f>
        <v>0</v>
      </c>
      <c r="BA94" s="109">
        <f>BA29*c_off</f>
        <v>0</v>
      </c>
      <c r="BB94" s="109">
        <f>BB29*c_off</f>
        <v>0</v>
      </c>
      <c r="BC94" s="110">
        <f>BC29*c_off</f>
        <v>0</v>
      </c>
      <c r="BF94" s="87" t="s">
        <v>175</v>
      </c>
      <c r="BG94" s="109">
        <f>BG29*c_off</f>
        <v>0</v>
      </c>
      <c r="BH94" s="109">
        <f>BH29*c_off</f>
        <v>0</v>
      </c>
      <c r="BI94" s="109">
        <f>BI29*c_off</f>
        <v>0</v>
      </c>
      <c r="BJ94" s="109">
        <f>BJ29*c_off</f>
        <v>0</v>
      </c>
      <c r="BK94" s="110">
        <f>BK29*c_off</f>
        <v>0</v>
      </c>
      <c r="BN94" s="87" t="s">
        <v>175</v>
      </c>
      <c r="BO94" s="109">
        <f>BO29*c_off</f>
        <v>0</v>
      </c>
      <c r="BP94" s="109">
        <f>BP29*c_off</f>
        <v>0</v>
      </c>
      <c r="BQ94" s="109">
        <f>BQ29*c_off</f>
        <v>0</v>
      </c>
      <c r="BR94" s="109">
        <f>BR29*c_off</f>
        <v>0</v>
      </c>
      <c r="BS94" s="110">
        <f>BS29*c_off</f>
        <v>0</v>
      </c>
      <c r="BV94" s="87" t="s">
        <v>175</v>
      </c>
      <c r="BW94" s="109">
        <f>BW29*c_off</f>
        <v>0</v>
      </c>
      <c r="BX94" s="109">
        <f>BX29*c_off</f>
        <v>0</v>
      </c>
      <c r="BY94" s="109">
        <f>BY29*c_off</f>
        <v>0</v>
      </c>
      <c r="BZ94" s="109">
        <f>BZ29*c_off</f>
        <v>0</v>
      </c>
      <c r="CA94" s="110">
        <f>CA29*c_off</f>
        <v>0</v>
      </c>
      <c r="CD94" s="87" t="s">
        <v>175</v>
      </c>
      <c r="CE94" s="109">
        <f>CE29*c_off</f>
        <v>0</v>
      </c>
      <c r="CF94" s="109">
        <f>CF29*c_off</f>
        <v>0</v>
      </c>
      <c r="CG94" s="109">
        <f>CG29*c_off</f>
        <v>0</v>
      </c>
      <c r="CH94" s="109">
        <f>CH29*c_off</f>
        <v>0</v>
      </c>
      <c r="CI94" s="110">
        <f>CI29*c_off</f>
        <v>0</v>
      </c>
      <c r="CL94" s="87" t="s">
        <v>175</v>
      </c>
      <c r="CM94" s="109">
        <f>CM29*c_off</f>
        <v>0</v>
      </c>
      <c r="CN94" s="109">
        <f>CN29*c_off</f>
        <v>0</v>
      </c>
      <c r="CO94" s="109">
        <f>CO29*c_off</f>
        <v>0</v>
      </c>
      <c r="CP94" s="109">
        <f>CP29*c_off</f>
        <v>0</v>
      </c>
      <c r="CQ94" s="110">
        <f>CQ29*c_off</f>
        <v>0</v>
      </c>
      <c r="CT94" s="87" t="s">
        <v>175</v>
      </c>
      <c r="CU94" s="109">
        <f>CU29*c_off</f>
        <v>0</v>
      </c>
      <c r="CV94" s="109">
        <f>CV29*c_off</f>
        <v>0</v>
      </c>
      <c r="CW94" s="109">
        <f>CW29*c_off</f>
        <v>0</v>
      </c>
      <c r="CX94" s="109">
        <f>CX29*c_off</f>
        <v>0</v>
      </c>
      <c r="CY94" s="110">
        <f>CY29*c_off</f>
        <v>0</v>
      </c>
      <c r="DB94" s="87" t="s">
        <v>175</v>
      </c>
      <c r="DC94" s="109">
        <f>DC29*c_off</f>
        <v>0</v>
      </c>
      <c r="DD94" s="109">
        <f>DD29*c_off</f>
        <v>0</v>
      </c>
      <c r="DE94" s="109">
        <f>DE29*c_off</f>
        <v>0</v>
      </c>
      <c r="DF94" s="109">
        <f>DF29*c_off</f>
        <v>0</v>
      </c>
      <c r="DG94" s="110">
        <f>DG29*c_off</f>
        <v>0</v>
      </c>
    </row>
    <row r="95" spans="2:113">
      <c r="B95" s="87" t="s">
        <v>171</v>
      </c>
      <c r="C95" s="111"/>
      <c r="D95" s="109">
        <f ca="1">(D30*c_inicial)+(D30*c_on*12)+(D30*ci_int1)+(D30*(ct_int1+ca_int1)*'Time on treatment'!$D$12)</f>
        <v>0</v>
      </c>
      <c r="E95" s="109">
        <f ca="1">(E30*c_on*12)+(E30*(ct_int1+ca_int1)*'Time on treatment'!$E$12)</f>
        <v>0</v>
      </c>
      <c r="F95" s="109">
        <f ca="1">(F30*c_on*12)+(F30*(ct_int1+ca_int1)*'Time on treatment'!$F$12)</f>
        <v>0</v>
      </c>
      <c r="G95" s="110">
        <f ca="1">(G30*c_on*12)+(G30*(ct_int1+ca_int1)*'Time on treatment'!$G$12)</f>
        <v>0</v>
      </c>
      <c r="J95" s="87" t="s">
        <v>171</v>
      </c>
      <c r="K95" s="111"/>
      <c r="L95" s="109">
        <f ca="1">(L30*c_inicial)+(L30*c_on*12)+(L30*ci_int2)+(L30*(ct_int2+ca_int2)*'Time on treatment'!$D$13)</f>
        <v>0</v>
      </c>
      <c r="M95" s="109">
        <f ca="1">(M30*c_on*12)+(M30*(ct_int2+ca_int2)*'Time on treatment'!$E$13)</f>
        <v>0</v>
      </c>
      <c r="N95" s="109">
        <f ca="1">(N30*c_on*12)+(N30*(ct_int2+ca_int2)*'Time on treatment'!$F$13)</f>
        <v>0</v>
      </c>
      <c r="O95" s="110">
        <f ca="1">(O30*c_on*12)+(O30*(ct_int2+ca_int2)*'Time on treatment'!$G$13)</f>
        <v>0</v>
      </c>
      <c r="R95" s="87" t="s">
        <v>171</v>
      </c>
      <c r="S95" s="111"/>
      <c r="T95" s="109">
        <f ca="1">(T30*c_inicial)+(T30*c_on*12)+(T30*ci_int3)+(T30*(ct_int3+ca_int3)*'Time on treatment'!$D$14)</f>
        <v>0</v>
      </c>
      <c r="U95" s="109">
        <f ca="1">(U30*c_on*12)+(U30*(ct_int3+ca_int3)*'Time on treatment'!$E$14)</f>
        <v>0</v>
      </c>
      <c r="V95" s="109">
        <f ca="1">(V30*c_on*12)+(V30*(ct_int3+ca_int3)*'Time on treatment'!$F$14)</f>
        <v>0</v>
      </c>
      <c r="W95" s="110">
        <f ca="1">(W30*c_on*12)+(W30*(ct_int3+ca_int3)*'Time on treatment'!$G$14)</f>
        <v>0</v>
      </c>
      <c r="Z95" s="87" t="s">
        <v>171</v>
      </c>
      <c r="AA95" s="111"/>
      <c r="AB95" s="109">
        <f ca="1">(AB30*c_inicial)+(AB30*c_on*12)+(AB30*ci_int4)+(AB30*(ct_int4+ca_int4)*'Time on treatment'!$D$15)</f>
        <v>0</v>
      </c>
      <c r="AC95" s="109">
        <f ca="1">(AC30*c_on*12)+(AC30*(ct_int4+ca_int4)*'Time on treatment'!$E$15)</f>
        <v>0</v>
      </c>
      <c r="AD95" s="109">
        <f ca="1">(AD30*c_on*12)+(AD30*(ct_int4+ca_int4)*'Time on treatment'!$F$15)</f>
        <v>0</v>
      </c>
      <c r="AE95" s="110">
        <f ca="1">(AE30*c_on*12)+(AE30*(ct_int4+ca_int4)*'Time on treatment'!$G$15)</f>
        <v>0</v>
      </c>
      <c r="AH95" s="87" t="s">
        <v>171</v>
      </c>
      <c r="AI95" s="111"/>
      <c r="AJ95" s="109">
        <f ca="1">(AJ30*c_inicial)+(AJ30*c_on*12)+(AJ30*ci_comp1)+(AJ30*(ct_comp1+ca_comp1)*'Time on treatment'!$D$19)</f>
        <v>5467685.6632549856</v>
      </c>
      <c r="AK95" s="109">
        <f ca="1">(AK30*c_on*12)+(AK30*(ct_comp1+ca_comp1)*'Time on treatment'!$E$19)</f>
        <v>5467685.6632549856</v>
      </c>
      <c r="AL95" s="109">
        <f ca="1">(AL30*c_on*12)+(AL30*(ct_comp1+ca_comp1)*'Time on treatment'!$F$19)</f>
        <v>5467685.6632549856</v>
      </c>
      <c r="AM95" s="110">
        <f ca="1">(AM30*c_on*12)+(AM30*(ct_comp1+ca_comp1)*'Time on treatment'!$G$19)</f>
        <v>5467685.6632549856</v>
      </c>
      <c r="AP95" s="87" t="s">
        <v>171</v>
      </c>
      <c r="AQ95" s="111"/>
      <c r="AR95" s="109">
        <f ca="1">(AR30*c_inicial)+(AR30*c_on*12)+(AR30*ci_comp2)+(AR30*(ct_comp2+ca_comp2)*'Time on treatment'!$D$20)</f>
        <v>0</v>
      </c>
      <c r="AS95" s="109">
        <f ca="1">(AS30*c_on*12)+(AS30*(ct_comp2+ca_comp2)*'Time on treatment'!$E$20)</f>
        <v>0</v>
      </c>
      <c r="AT95" s="109">
        <f ca="1">(AT30*c_on*12)+(AT30*(ct_comp2+ca_comp2)*'Time on treatment'!$F$20)</f>
        <v>0</v>
      </c>
      <c r="AU95" s="110">
        <f ca="1">(AU30*c_on*12)+(AU30*(ct_comp2+ca_comp2)*'Time on treatment'!$G$20)</f>
        <v>0</v>
      </c>
      <c r="AX95" s="87" t="s">
        <v>171</v>
      </c>
      <c r="AY95" s="111"/>
      <c r="AZ95" s="109">
        <f ca="1">(AZ30*c_inicial)+(AZ30*c_on*12)+(AZ30*ci_comp3)+(AZ30*(ct_comp3+ca_comp3)*'Time on treatment'!$D$21)</f>
        <v>0</v>
      </c>
      <c r="BA95" s="109">
        <f ca="1">(BA30*c_on*12)+(BA30*(ct_comp3+ca_comp3)*'Time on treatment'!$E$21)</f>
        <v>0</v>
      </c>
      <c r="BB95" s="109">
        <f ca="1">(BB30*c_on*12)+(BB30*(ct_comp3+ca_comp3)*'Time on treatment'!$F$21)</f>
        <v>0</v>
      </c>
      <c r="BC95" s="110">
        <f ca="1">(BC30*c_on*12)+(BC30*(ct_comp3+ca_comp3)*'Time on treatment'!$G$21)</f>
        <v>0</v>
      </c>
      <c r="BF95" s="87" t="s">
        <v>171</v>
      </c>
      <c r="BG95" s="111"/>
      <c r="BH95" s="109">
        <f ca="1">(BH30*c_inicial)+(BH30*c_on*12)+(BH30*ci_comp4)+(BH30*(ct_comp4+ca_comp4)*'Time on treatment'!$D$22)</f>
        <v>0</v>
      </c>
      <c r="BI95" s="109">
        <f ca="1">(BI30*c_on*12)+(BI30*(ct_comp4+ca_comp4)*'Time on treatment'!$E$22)</f>
        <v>0</v>
      </c>
      <c r="BJ95" s="109">
        <f ca="1">(BJ30*c_on*12)+(BJ30*(ct_comp4+ca_comp4)*'Time on treatment'!$F$22)</f>
        <v>0</v>
      </c>
      <c r="BK95" s="110">
        <f ca="1">(BK30*c_on*12)+(BK30*(ct_comp4+ca_comp4)*'Time on treatment'!$G$22)</f>
        <v>0</v>
      </c>
      <c r="BN95" s="87" t="s">
        <v>171</v>
      </c>
      <c r="BO95" s="111"/>
      <c r="BP95" s="109">
        <f ca="1">(BP30*c_inicial)+(BP30*c_on*12)+(BP30*ci_comp5)+(BP30*(ct_comp5+ca_comp5)*'Time on treatment'!$D$23)</f>
        <v>0</v>
      </c>
      <c r="BQ95" s="109">
        <f ca="1">(BQ30*c_on*12)+(BQ30*(ct_comp5+ca_comp5)*'Time on treatment'!$E$23)</f>
        <v>0</v>
      </c>
      <c r="BR95" s="109">
        <f ca="1">(BR30*c_on*12)+(BR30*(ct_comp5+ca_comp5)*'Time on treatment'!$F$23)</f>
        <v>0</v>
      </c>
      <c r="BS95" s="110">
        <f ca="1">(BS30*c_on*12)+(BS30*(ct_comp5+ca_comp5)*'Time on treatment'!$G$23)</f>
        <v>0</v>
      </c>
      <c r="BV95" s="87" t="s">
        <v>171</v>
      </c>
      <c r="BW95" s="111"/>
      <c r="BX95" s="109">
        <f ca="1">(BX30*c_inicial)+(BX30*c_on*12)+(BX30*ci_comp6)+(BX30*(ct_comp6+ca_comp6)*'Time on treatment'!$D$24)</f>
        <v>0</v>
      </c>
      <c r="BY95" s="109">
        <f ca="1">(BY30*c_on*12)+(BY30*(ct_comp6+ca_comp6)*'Time on treatment'!$E$24)</f>
        <v>0</v>
      </c>
      <c r="BZ95" s="109">
        <f ca="1">(BZ30*c_on*12)+(BZ30*(ct_comp6+ca_comp6)*'Time on treatment'!$F$24)</f>
        <v>0</v>
      </c>
      <c r="CA95" s="110">
        <f ca="1">(CA30*c_on*12)+(CA30*(ct_comp6+ca_comp6)*'Time on treatment'!$G$24)</f>
        <v>0</v>
      </c>
      <c r="CD95" s="87" t="s">
        <v>171</v>
      </c>
      <c r="CE95" s="111"/>
      <c r="CF95" s="109">
        <f ca="1">(CF30*c_inicial)+(CF30*c_on*12)+(CF30*ci_comp7)+(CF30*(ct_comp7+ca_comp7)*'Time on treatment'!$D$25)</f>
        <v>0</v>
      </c>
      <c r="CG95" s="109">
        <f ca="1">(CG30*c_on*12)+(CG30*(ct_comp7+ca_comp7)*'Time on treatment'!$E$25)</f>
        <v>0</v>
      </c>
      <c r="CH95" s="109">
        <f ca="1">(CH30*c_on*12)+(CH30*(ct_comp7+ca_comp7)*'Time on treatment'!$F$25)</f>
        <v>0</v>
      </c>
      <c r="CI95" s="110">
        <f ca="1">(CI30*c_on*12)+(CI30*(ct_comp7+ca_comp7)*'Time on treatment'!$G$25)</f>
        <v>0</v>
      </c>
      <c r="CL95" s="87" t="s">
        <v>171</v>
      </c>
      <c r="CM95" s="111"/>
      <c r="CN95" s="109">
        <f ca="1">(CN30*c_inicial)+(CN30*c_on*12)+(CN30*ci_comp8)+(CN30*(ct_comp8+ca_comp8)*'Time on treatment'!$D$26)</f>
        <v>0</v>
      </c>
      <c r="CO95" s="109">
        <f ca="1">(CO30*c_on*12)+(CO30*(ct_comp8+ca_comp8)*'Time on treatment'!$E$26)</f>
        <v>0</v>
      </c>
      <c r="CP95" s="109">
        <f ca="1">(CP30*c_on*12)+(CP30*(ct_comp8+ca_comp8)*'Time on treatment'!$F$26)</f>
        <v>0</v>
      </c>
      <c r="CQ95" s="110">
        <f ca="1">(CQ30*c_on*12)+(CQ30*(ct_comp8+ca_comp8)*'Time on treatment'!$G$26)</f>
        <v>0</v>
      </c>
      <c r="CT95" s="87" t="s">
        <v>171</v>
      </c>
      <c r="CU95" s="111"/>
      <c r="CV95" s="109">
        <f ca="1">(CV30*c_inicial)+(CV30*c_on*12)+(CV30*ci_comp9)+(CV30*(ct_comp9+ca_comp9)*'Time on treatment'!$D$27)</f>
        <v>0</v>
      </c>
      <c r="CW95" s="109">
        <f ca="1">(CW30*c_on*12)+(CW30*(ct_comp9+ca_comp9)*'Time on treatment'!$E$27)</f>
        <v>0</v>
      </c>
      <c r="CX95" s="109">
        <f ca="1">(CX30*c_on*12)+(CX30*(ct_comp9+ca_comp9)*'Time on treatment'!$F$27)</f>
        <v>0</v>
      </c>
      <c r="CY95" s="110">
        <f ca="1">(CY30*c_on*12)+(CY30*(ct_comp9+ca_comp9)*'Time on treatment'!$G$27)</f>
        <v>0</v>
      </c>
      <c r="DB95" s="87" t="s">
        <v>171</v>
      </c>
      <c r="DC95" s="111"/>
      <c r="DD95" s="109">
        <f ca="1">(DD30*c_inicial)+(DD30*c_on*12)+(DD30*ci_comp10)+(DD30*(ct_comp10+ca_comp10)*'Time on treatment'!$D$28)</f>
        <v>0</v>
      </c>
      <c r="DE95" s="109">
        <f ca="1">(DE30*c_on*12)+(DE30*(ct_comp10+ca_comp10)*'Time on treatment'!$E$28)</f>
        <v>0</v>
      </c>
      <c r="DF95" s="109">
        <f ca="1">(DF30*c_on*12)+(DF30*(ct_comp10+ca_comp10)*'Time on treatment'!$F$28)</f>
        <v>0</v>
      </c>
      <c r="DG95" s="110">
        <f ca="1">(DG30*c_on*12)+(DG30*(ct_comp10+ca_comp10)*'Time on treatment'!$G$28)</f>
        <v>0</v>
      </c>
    </row>
    <row r="96" spans="2:113">
      <c r="B96" s="87" t="s">
        <v>176</v>
      </c>
      <c r="C96" s="111"/>
      <c r="D96" s="109">
        <f>D31*c_off</f>
        <v>0</v>
      </c>
      <c r="E96" s="109">
        <f>E31*c_off</f>
        <v>0</v>
      </c>
      <c r="F96" s="109">
        <f>F31*c_off</f>
        <v>0</v>
      </c>
      <c r="G96" s="110">
        <f>G31*c_off</f>
        <v>0</v>
      </c>
      <c r="J96" s="87" t="s">
        <v>176</v>
      </c>
      <c r="K96" s="111"/>
      <c r="L96" s="109">
        <f>L31*c_off</f>
        <v>0</v>
      </c>
      <c r="M96" s="109">
        <f>M31*c_off</f>
        <v>0</v>
      </c>
      <c r="N96" s="109">
        <f>N31*c_off</f>
        <v>0</v>
      </c>
      <c r="O96" s="110">
        <f>O31*c_off</f>
        <v>0</v>
      </c>
      <c r="R96" s="87" t="s">
        <v>176</v>
      </c>
      <c r="S96" s="111"/>
      <c r="T96" s="109">
        <f>T31*c_off</f>
        <v>0</v>
      </c>
      <c r="U96" s="109">
        <f>U31*c_off</f>
        <v>0</v>
      </c>
      <c r="V96" s="109">
        <f>V31*c_off</f>
        <v>0</v>
      </c>
      <c r="W96" s="110">
        <f>W31*c_off</f>
        <v>0</v>
      </c>
      <c r="Z96" s="87" t="s">
        <v>176</v>
      </c>
      <c r="AA96" s="111"/>
      <c r="AB96" s="109">
        <f>AB31*c_off</f>
        <v>0</v>
      </c>
      <c r="AC96" s="109">
        <f>AC31*c_off</f>
        <v>0</v>
      </c>
      <c r="AD96" s="109">
        <f>AD31*c_off</f>
        <v>0</v>
      </c>
      <c r="AE96" s="110">
        <f>AE31*c_off</f>
        <v>0</v>
      </c>
      <c r="AH96" s="87" t="s">
        <v>176</v>
      </c>
      <c r="AI96" s="111"/>
      <c r="AJ96" s="109">
        <f>AJ31*c_off</f>
        <v>0</v>
      </c>
      <c r="AK96" s="109">
        <f>AK31*c_off</f>
        <v>0</v>
      </c>
      <c r="AL96" s="109">
        <f>AL31*c_off</f>
        <v>0</v>
      </c>
      <c r="AM96" s="110">
        <f>AM31*c_off</f>
        <v>0</v>
      </c>
      <c r="AP96" s="87" t="s">
        <v>176</v>
      </c>
      <c r="AQ96" s="111"/>
      <c r="AR96" s="109">
        <f>AR31*c_off</f>
        <v>0</v>
      </c>
      <c r="AS96" s="109">
        <f>AS31*c_off</f>
        <v>0</v>
      </c>
      <c r="AT96" s="109">
        <f>AT31*c_off</f>
        <v>0</v>
      </c>
      <c r="AU96" s="110">
        <f>AU31*c_off</f>
        <v>0</v>
      </c>
      <c r="AX96" s="87" t="s">
        <v>176</v>
      </c>
      <c r="AY96" s="111"/>
      <c r="AZ96" s="109">
        <f>AZ31*c_off</f>
        <v>0</v>
      </c>
      <c r="BA96" s="109">
        <f>BA31*c_off</f>
        <v>0</v>
      </c>
      <c r="BB96" s="109">
        <f>BB31*c_off</f>
        <v>0</v>
      </c>
      <c r="BC96" s="110">
        <f>BC31*c_off</f>
        <v>0</v>
      </c>
      <c r="BF96" s="87" t="s">
        <v>176</v>
      </c>
      <c r="BG96" s="111"/>
      <c r="BH96" s="109">
        <f>BH31*c_off</f>
        <v>0</v>
      </c>
      <c r="BI96" s="109">
        <f>BI31*c_off</f>
        <v>0</v>
      </c>
      <c r="BJ96" s="109">
        <f>BJ31*c_off</f>
        <v>0</v>
      </c>
      <c r="BK96" s="110">
        <f>BK31*c_off</f>
        <v>0</v>
      </c>
      <c r="BN96" s="87" t="s">
        <v>176</v>
      </c>
      <c r="BO96" s="111"/>
      <c r="BP96" s="109">
        <f>BP31*c_off</f>
        <v>0</v>
      </c>
      <c r="BQ96" s="109">
        <f>BQ31*c_off</f>
        <v>0</v>
      </c>
      <c r="BR96" s="109">
        <f>BR31*c_off</f>
        <v>0</v>
      </c>
      <c r="BS96" s="110">
        <f>BS31*c_off</f>
        <v>0</v>
      </c>
      <c r="BV96" s="87" t="s">
        <v>176</v>
      </c>
      <c r="BW96" s="111"/>
      <c r="BX96" s="109">
        <f>BX31*c_off</f>
        <v>0</v>
      </c>
      <c r="BY96" s="109">
        <f>BY31*c_off</f>
        <v>0</v>
      </c>
      <c r="BZ96" s="109">
        <f>BZ31*c_off</f>
        <v>0</v>
      </c>
      <c r="CA96" s="110">
        <f>CA31*c_off</f>
        <v>0</v>
      </c>
      <c r="CD96" s="87" t="s">
        <v>176</v>
      </c>
      <c r="CE96" s="111"/>
      <c r="CF96" s="109">
        <f>CF31*c_off</f>
        <v>0</v>
      </c>
      <c r="CG96" s="109">
        <f>CG31*c_off</f>
        <v>0</v>
      </c>
      <c r="CH96" s="109">
        <f>CH31*c_off</f>
        <v>0</v>
      </c>
      <c r="CI96" s="110">
        <f>CI31*c_off</f>
        <v>0</v>
      </c>
      <c r="CL96" s="87" t="s">
        <v>176</v>
      </c>
      <c r="CM96" s="111"/>
      <c r="CN96" s="109">
        <f>CN31*c_off</f>
        <v>0</v>
      </c>
      <c r="CO96" s="109">
        <f>CO31*c_off</f>
        <v>0</v>
      </c>
      <c r="CP96" s="109">
        <f>CP31*c_off</f>
        <v>0</v>
      </c>
      <c r="CQ96" s="110">
        <f>CQ31*c_off</f>
        <v>0</v>
      </c>
      <c r="CT96" s="87" t="s">
        <v>176</v>
      </c>
      <c r="CU96" s="111"/>
      <c r="CV96" s="109">
        <f>CV31*c_off</f>
        <v>0</v>
      </c>
      <c r="CW96" s="109">
        <f>CW31*c_off</f>
        <v>0</v>
      </c>
      <c r="CX96" s="109">
        <f>CX31*c_off</f>
        <v>0</v>
      </c>
      <c r="CY96" s="110">
        <f>CY31*c_off</f>
        <v>0</v>
      </c>
      <c r="DB96" s="87" t="s">
        <v>176</v>
      </c>
      <c r="DC96" s="111"/>
      <c r="DD96" s="109">
        <f>DD31*c_off</f>
        <v>0</v>
      </c>
      <c r="DE96" s="109">
        <f>DE31*c_off</f>
        <v>0</v>
      </c>
      <c r="DF96" s="109">
        <f>DF31*c_off</f>
        <v>0</v>
      </c>
      <c r="DG96" s="110">
        <f>DG31*c_off</f>
        <v>0</v>
      </c>
    </row>
    <row r="97" spans="2:111">
      <c r="B97" s="87" t="s">
        <v>172</v>
      </c>
      <c r="C97" s="111"/>
      <c r="D97" s="111"/>
      <c r="E97" s="109">
        <f ca="1">(E32*c_inicial)+(E32*c_on*12)+(E32*ci_int1)+(E32*(ct_int1+ca_int1)*'Time on treatment'!$D$12)</f>
        <v>0</v>
      </c>
      <c r="F97" s="109">
        <f ca="1">(F32*c_on*12)+(F32*(ct_int1+ca_int1)*'Time on treatment'!$E$12)</f>
        <v>0</v>
      </c>
      <c r="G97" s="110">
        <f ca="1">(G32*c_on*12)+(G32*(ct_int1+ca_int1)*'Time on treatment'!$F$12)</f>
        <v>0</v>
      </c>
      <c r="J97" s="87" t="s">
        <v>172</v>
      </c>
      <c r="K97" s="111"/>
      <c r="L97" s="111"/>
      <c r="M97" s="109">
        <f ca="1">(M32*c_inicial)+(M32*c_on*12)+(M32*ci_int2)+(M32*(ct_int2+ca_int2)*'Time on treatment'!$D$13)</f>
        <v>0</v>
      </c>
      <c r="N97" s="109">
        <f ca="1">(N32*c_on*12)+(N32*(ct_int2+ca_int2)*'Time on treatment'!$E$13)</f>
        <v>0</v>
      </c>
      <c r="O97" s="110">
        <f ca="1">(O32*c_on*12)+(O32*(ct_int2+ca_int2)*'Time on treatment'!$F$13)</f>
        <v>0</v>
      </c>
      <c r="R97" s="87" t="s">
        <v>172</v>
      </c>
      <c r="S97" s="111"/>
      <c r="T97" s="111"/>
      <c r="U97" s="109">
        <f ca="1">(U32*c_inicial)+(U32*c_on*12)+(U32*ci_int3)+(U32*(ct_int3+ca_int3)*'Time on treatment'!$D$14)</f>
        <v>0</v>
      </c>
      <c r="V97" s="109">
        <f ca="1">(V32*c_on*12)+(V32*(ct_int3+ca_int3)*'Time on treatment'!$E$14)</f>
        <v>0</v>
      </c>
      <c r="W97" s="110">
        <f ca="1">(W32*c_on*12)+(W32*(ct_int3+ca_int3)*'Time on treatment'!$F$14)</f>
        <v>0</v>
      </c>
      <c r="Z97" s="87" t="s">
        <v>172</v>
      </c>
      <c r="AA97" s="111"/>
      <c r="AB97" s="111"/>
      <c r="AC97" s="109">
        <f ca="1">(AC32*c_inicial)+(AC32*c_on*12)+(AC32*ci_int4)+(AC32*(ct_int4+ca_int4)*'Time on treatment'!$D$15)</f>
        <v>0</v>
      </c>
      <c r="AD97" s="109">
        <f ca="1">(AD32*c_on*12)+(AD32*(ct_int4+ca_int4)*'Time on treatment'!$E$15)</f>
        <v>0</v>
      </c>
      <c r="AE97" s="110">
        <f ca="1">(AE32*c_on*12)+(AE32*(ct_int4+ca_int4)*'Time on treatment'!$F$15)</f>
        <v>0</v>
      </c>
      <c r="AH97" s="87" t="s">
        <v>172</v>
      </c>
      <c r="AI97" s="111"/>
      <c r="AJ97" s="111"/>
      <c r="AK97" s="109">
        <f ca="1">(AK32*c_inicial)+(AK32*c_on*12)+(AK32*ci_comp1)+(AK32*(ct_comp1+ca_comp1)*'Time on treatment'!$D$19)</f>
        <v>5446299.9031707607</v>
      </c>
      <c r="AL97" s="109">
        <f ca="1">(AL32*c_on*12)+(AL32*(ct_comp1+ca_comp1)*'Time on treatment'!$E$19)</f>
        <v>5446299.9031707607</v>
      </c>
      <c r="AM97" s="110">
        <f ca="1">(AM32*c_on*12)+(AM32*(ct_comp1+ca_comp1)*'Time on treatment'!$F$19)</f>
        <v>5446299.9031707607</v>
      </c>
      <c r="AP97" s="87" t="s">
        <v>172</v>
      </c>
      <c r="AQ97" s="111"/>
      <c r="AR97" s="111"/>
      <c r="AS97" s="109">
        <f ca="1">(AS32*c_inicial)+(AS32*c_on*12)+(AS32*ci_comp2)+(AS32*(ct_comp2+ca_comp2)*'Time on treatment'!$D$20)</f>
        <v>0</v>
      </c>
      <c r="AT97" s="109">
        <f ca="1">(AT32*c_on*12)+(AT32*(ct_comp2+ca_comp2)*'Time on treatment'!$E$20)</f>
        <v>0</v>
      </c>
      <c r="AU97" s="110">
        <f ca="1">(AU32*c_on*12)+(AU32*(ct_comp2+ca_comp2)*'Time on treatment'!$F$20)</f>
        <v>0</v>
      </c>
      <c r="AX97" s="87" t="s">
        <v>172</v>
      </c>
      <c r="AY97" s="111"/>
      <c r="AZ97" s="111"/>
      <c r="BA97" s="109">
        <f ca="1">(BA32*c_inicial)+(BA32*c_on*12)+(BA32*ci_comp3)+(BA32*(ct_comp3+ca_comp3)*'Time on treatment'!$D$21)</f>
        <v>0</v>
      </c>
      <c r="BB97" s="109">
        <f ca="1">(BB32*c_on*12)+(BB32*(ct_comp3+ca_comp3)*'Time on treatment'!$E$21)</f>
        <v>0</v>
      </c>
      <c r="BC97" s="110">
        <f ca="1">(BC32*c_on*12)+(BC32*(ct_comp3+ca_comp3)*'Time on treatment'!$F$21)</f>
        <v>0</v>
      </c>
      <c r="BF97" s="87" t="s">
        <v>172</v>
      </c>
      <c r="BG97" s="111"/>
      <c r="BH97" s="111"/>
      <c r="BI97" s="109">
        <f ca="1">(BI32*c_inicial)+(BI32*c_on*12)+(BI32*ci_comp4)+(BI32*(ct_comp4+ca_comp4)*'Time on treatment'!$D$22)</f>
        <v>0</v>
      </c>
      <c r="BJ97" s="109">
        <f ca="1">(BJ32*c_on*12)+(BJ32*(ct_comp4+ca_comp4)*'Time on treatment'!$E$22)</f>
        <v>0</v>
      </c>
      <c r="BK97" s="110">
        <f ca="1">(BK32*c_on*12)+(BK32*(ct_comp4+ca_comp4)*'Time on treatment'!$F$22)</f>
        <v>0</v>
      </c>
      <c r="BN97" s="87" t="s">
        <v>172</v>
      </c>
      <c r="BO97" s="111"/>
      <c r="BP97" s="111"/>
      <c r="BQ97" s="109">
        <f ca="1">(BQ32*c_inicial)+(BQ32*c_on*12)+(BQ32*ci_comp5)+(BQ32*(ct_comp5+ca_comp5)*'Time on treatment'!$D$23)</f>
        <v>0</v>
      </c>
      <c r="BR97" s="109">
        <f ca="1">(BR32*c_on*12)+(BR32*(ct_comp5+ca_comp5)*'Time on treatment'!$E$23)</f>
        <v>0</v>
      </c>
      <c r="BS97" s="110">
        <f ca="1">(BS32*c_on*12)+(BS32*(ct_comp5+ca_comp5)*'Time on treatment'!$F$23)</f>
        <v>0</v>
      </c>
      <c r="BV97" s="87" t="s">
        <v>172</v>
      </c>
      <c r="BW97" s="111"/>
      <c r="BX97" s="111"/>
      <c r="BY97" s="109">
        <f ca="1">(BY32*c_inicial)+(BY32*c_on*12)+(BY32*ci_comp6)+(BY32*(ct_comp6+ca_comp6)*'Time on treatment'!$D$24)</f>
        <v>0</v>
      </c>
      <c r="BZ97" s="109">
        <f ca="1">(BZ32*c_on*12)+(BZ32*(ct_comp6+ca_comp6)*'Time on treatment'!$E$24)</f>
        <v>0</v>
      </c>
      <c r="CA97" s="110">
        <f ca="1">(CA32*c_on*12)+(CA32*(ct_comp6+ca_comp6)*'Time on treatment'!$F$24)</f>
        <v>0</v>
      </c>
      <c r="CD97" s="87" t="s">
        <v>172</v>
      </c>
      <c r="CE97" s="111"/>
      <c r="CF97" s="111"/>
      <c r="CG97" s="109">
        <f ca="1">(CG32*c_inicial)+(CG32*c_on*12)+(CG32*ci_comp7)+(CG32*(ct_comp7+ca_comp7)*'Time on treatment'!$D$25)</f>
        <v>0</v>
      </c>
      <c r="CH97" s="109">
        <f ca="1">(CH32*c_on*12)+(CH32*(ct_comp7+ca_comp7)*'Time on treatment'!$E$25)</f>
        <v>0</v>
      </c>
      <c r="CI97" s="110">
        <f ca="1">(CI32*c_on*12)+(CI32*(ct_comp7+ca_comp7)*'Time on treatment'!$F$25)</f>
        <v>0</v>
      </c>
      <c r="CL97" s="87" t="s">
        <v>172</v>
      </c>
      <c r="CM97" s="111"/>
      <c r="CN97" s="111"/>
      <c r="CO97" s="109">
        <f ca="1">(CO32*c_inicial)+(CO32*c_on*12)+(CO32*ci_comp8)+(CO32*(ct_comp8+ca_comp8)*'Time on treatment'!$D$26)</f>
        <v>0</v>
      </c>
      <c r="CP97" s="109">
        <f ca="1">(CP32*c_on*12)+(CP32*(ct_comp8+ca_comp8)*'Time on treatment'!$E$26)</f>
        <v>0</v>
      </c>
      <c r="CQ97" s="110">
        <f ca="1">(CQ32*c_on*12)+(CQ32*(ct_comp8+ca_comp8)*'Time on treatment'!$F$26)</f>
        <v>0</v>
      </c>
      <c r="CT97" s="87" t="s">
        <v>172</v>
      </c>
      <c r="CU97" s="111"/>
      <c r="CV97" s="111"/>
      <c r="CW97" s="109">
        <f ca="1">(CW32*c_inicial)+(CW32*c_on*12)+(CW32*ci_comp9)+(CW32*(ct_comp9+ca_comp9)*'Time on treatment'!$D$27)</f>
        <v>0</v>
      </c>
      <c r="CX97" s="109">
        <f ca="1">(CX32*c_on*12)+(CX32*(ct_comp9+ca_comp9)*'Time on treatment'!$E$27)</f>
        <v>0</v>
      </c>
      <c r="CY97" s="110">
        <f ca="1">(CY32*c_on*12)+(CY32*(ct_comp9+ca_comp9)*'Time on treatment'!$F$27)</f>
        <v>0</v>
      </c>
      <c r="DB97" s="87" t="s">
        <v>172</v>
      </c>
      <c r="DC97" s="111"/>
      <c r="DD97" s="111"/>
      <c r="DE97" s="109">
        <f ca="1">(DE32*c_inicial)+(DE32*c_on*12)+(DE32*ci_comp10)+(DE32*(ct_comp10+ca_comp10)*'Time on treatment'!$D$28)</f>
        <v>0</v>
      </c>
      <c r="DF97" s="109">
        <f ca="1">(DF32*c_on*12)+(DF32*(ct_comp10+ca_comp10)*'Time on treatment'!$E$28)</f>
        <v>0</v>
      </c>
      <c r="DG97" s="110">
        <f ca="1">(DG32*c_on*12)+(DG32*(ct_comp10+ca_comp10)*'Time on treatment'!$F$28)</f>
        <v>0</v>
      </c>
    </row>
    <row r="98" spans="2:111">
      <c r="B98" s="87" t="s">
        <v>177</v>
      </c>
      <c r="C98" s="111"/>
      <c r="D98" s="111"/>
      <c r="E98" s="109">
        <f>E33*c_off</f>
        <v>0</v>
      </c>
      <c r="F98" s="109">
        <f>F33*c_off</f>
        <v>0</v>
      </c>
      <c r="G98" s="110">
        <f>G33*c_off</f>
        <v>0</v>
      </c>
      <c r="J98" s="87" t="s">
        <v>177</v>
      </c>
      <c r="K98" s="111"/>
      <c r="L98" s="111"/>
      <c r="M98" s="109">
        <f>M33*c_off</f>
        <v>0</v>
      </c>
      <c r="N98" s="109">
        <f>N33*c_off</f>
        <v>0</v>
      </c>
      <c r="O98" s="110">
        <f>O33*c_off</f>
        <v>0</v>
      </c>
      <c r="R98" s="87" t="s">
        <v>177</v>
      </c>
      <c r="S98" s="111"/>
      <c r="T98" s="111"/>
      <c r="U98" s="109">
        <f>U33*c_off</f>
        <v>0</v>
      </c>
      <c r="V98" s="109">
        <f>V33*c_off</f>
        <v>0</v>
      </c>
      <c r="W98" s="110">
        <f>W33*c_off</f>
        <v>0</v>
      </c>
      <c r="Z98" s="87" t="s">
        <v>177</v>
      </c>
      <c r="AA98" s="111"/>
      <c r="AB98" s="111"/>
      <c r="AC98" s="109">
        <f>AC33*c_off</f>
        <v>0</v>
      </c>
      <c r="AD98" s="109">
        <f>AD33*c_off</f>
        <v>0</v>
      </c>
      <c r="AE98" s="110">
        <f>AE33*c_off</f>
        <v>0</v>
      </c>
      <c r="AH98" s="87" t="s">
        <v>177</v>
      </c>
      <c r="AI98" s="111"/>
      <c r="AJ98" s="111"/>
      <c r="AK98" s="109">
        <f>AK33*c_off</f>
        <v>0</v>
      </c>
      <c r="AL98" s="109">
        <f>AL33*c_off</f>
        <v>0</v>
      </c>
      <c r="AM98" s="110">
        <f>AM33*c_off</f>
        <v>0</v>
      </c>
      <c r="AP98" s="87" t="s">
        <v>177</v>
      </c>
      <c r="AQ98" s="111"/>
      <c r="AR98" s="111"/>
      <c r="AS98" s="109">
        <f>AS33*c_off</f>
        <v>0</v>
      </c>
      <c r="AT98" s="109">
        <f>AT33*c_off</f>
        <v>0</v>
      </c>
      <c r="AU98" s="110">
        <f>AU33*c_off</f>
        <v>0</v>
      </c>
      <c r="AX98" s="87" t="s">
        <v>177</v>
      </c>
      <c r="AY98" s="111"/>
      <c r="AZ98" s="111"/>
      <c r="BA98" s="109">
        <f>BA33*c_off</f>
        <v>0</v>
      </c>
      <c r="BB98" s="109">
        <f>BB33*c_off</f>
        <v>0</v>
      </c>
      <c r="BC98" s="110">
        <f>BC33*c_off</f>
        <v>0</v>
      </c>
      <c r="BF98" s="87" t="s">
        <v>177</v>
      </c>
      <c r="BG98" s="111"/>
      <c r="BH98" s="111"/>
      <c r="BI98" s="109">
        <f>BI33*c_off</f>
        <v>0</v>
      </c>
      <c r="BJ98" s="109">
        <f>BJ33*c_off</f>
        <v>0</v>
      </c>
      <c r="BK98" s="110">
        <f>BK33*c_off</f>
        <v>0</v>
      </c>
      <c r="BN98" s="87" t="s">
        <v>177</v>
      </c>
      <c r="BO98" s="111"/>
      <c r="BP98" s="111"/>
      <c r="BQ98" s="109">
        <f>BQ33*c_off</f>
        <v>0</v>
      </c>
      <c r="BR98" s="109">
        <f>BR33*c_off</f>
        <v>0</v>
      </c>
      <c r="BS98" s="110">
        <f>BS33*c_off</f>
        <v>0</v>
      </c>
      <c r="BV98" s="87" t="s">
        <v>177</v>
      </c>
      <c r="BW98" s="111"/>
      <c r="BX98" s="111"/>
      <c r="BY98" s="109">
        <f>BY33*c_off</f>
        <v>0</v>
      </c>
      <c r="BZ98" s="109">
        <f>BZ33*c_off</f>
        <v>0</v>
      </c>
      <c r="CA98" s="110">
        <f>CA33*c_off</f>
        <v>0</v>
      </c>
      <c r="CD98" s="87" t="s">
        <v>177</v>
      </c>
      <c r="CE98" s="111"/>
      <c r="CF98" s="111"/>
      <c r="CG98" s="109">
        <f>CG33*c_off</f>
        <v>0</v>
      </c>
      <c r="CH98" s="109">
        <f>CH33*c_off</f>
        <v>0</v>
      </c>
      <c r="CI98" s="110">
        <f>CI33*c_off</f>
        <v>0</v>
      </c>
      <c r="CL98" s="87" t="s">
        <v>177</v>
      </c>
      <c r="CM98" s="111"/>
      <c r="CN98" s="111"/>
      <c r="CO98" s="109">
        <f>CO33*c_off</f>
        <v>0</v>
      </c>
      <c r="CP98" s="109">
        <f>CP33*c_off</f>
        <v>0</v>
      </c>
      <c r="CQ98" s="110">
        <f>CQ33*c_off</f>
        <v>0</v>
      </c>
      <c r="CT98" s="87" t="s">
        <v>177</v>
      </c>
      <c r="CU98" s="111"/>
      <c r="CV98" s="111"/>
      <c r="CW98" s="109">
        <f>CW33*c_off</f>
        <v>0</v>
      </c>
      <c r="CX98" s="109">
        <f>CX33*c_off</f>
        <v>0</v>
      </c>
      <c r="CY98" s="110">
        <f>CY33*c_off</f>
        <v>0</v>
      </c>
      <c r="DB98" s="87" t="s">
        <v>177</v>
      </c>
      <c r="DC98" s="111"/>
      <c r="DD98" s="111"/>
      <c r="DE98" s="109">
        <f>DE33*c_off</f>
        <v>0</v>
      </c>
      <c r="DF98" s="109">
        <f>DF33*c_off</f>
        <v>0</v>
      </c>
      <c r="DG98" s="110">
        <f>DG33*c_off</f>
        <v>0</v>
      </c>
    </row>
    <row r="99" spans="2:111">
      <c r="B99" s="87" t="s">
        <v>173</v>
      </c>
      <c r="C99" s="111"/>
      <c r="D99" s="111"/>
      <c r="E99" s="111"/>
      <c r="F99" s="109">
        <f ca="1">(F34*c_inicial)+(F34*c_on*12)+(F34*ci_int1)+(F34*(ct_int1+ca_int1)*'Time on treatment'!$D$12)</f>
        <v>0</v>
      </c>
      <c r="G99" s="110">
        <f ca="1">(G34*c_on*12)+(G34*(ct_int1+ca_int1)*'Time on treatment'!$E$12)</f>
        <v>0</v>
      </c>
      <c r="J99" s="87" t="s">
        <v>173</v>
      </c>
      <c r="K99" s="111"/>
      <c r="L99" s="111"/>
      <c r="M99" s="111"/>
      <c r="N99" s="109">
        <f ca="1">(N34*c_inicial)+(N34*c_on*12)+(N34*ci_int2)+(N34*(ct_int2+ca_int2)*'Time on treatment'!$D$13)</f>
        <v>0</v>
      </c>
      <c r="O99" s="110">
        <f ca="1">(O34*c_on*12)+(O34*(ct_int2+ca_int2)*'Time on treatment'!$E$13)</f>
        <v>0</v>
      </c>
      <c r="R99" s="87" t="s">
        <v>173</v>
      </c>
      <c r="S99" s="111"/>
      <c r="T99" s="111"/>
      <c r="U99" s="111"/>
      <c r="V99" s="109">
        <f ca="1">(V34*c_inicial)+(V34*c_on*12)+(V34*ci_int3)+(V34*(ct_int3+ca_int3)*'Time on treatment'!$D$14)</f>
        <v>0</v>
      </c>
      <c r="W99" s="110">
        <f ca="1">(W34*c_on*12)+(W34*(ct_int3+ca_int3)*'Time on treatment'!$E$14)</f>
        <v>0</v>
      </c>
      <c r="Z99" s="87" t="s">
        <v>173</v>
      </c>
      <c r="AA99" s="111"/>
      <c r="AB99" s="111"/>
      <c r="AC99" s="111"/>
      <c r="AD99" s="109">
        <f ca="1">(AD34*c_inicial)+(AD34*c_on*12)+(AD34*ci_int4)+(AD34*(ct_int4+ca_int4)*'Time on treatment'!$D$15)</f>
        <v>0</v>
      </c>
      <c r="AE99" s="110">
        <f ca="1">(AE34*c_on*12)+(AE34*(ct_int4+ca_int4)*'Time on treatment'!$E$15)</f>
        <v>0</v>
      </c>
      <c r="AH99" s="87" t="s">
        <v>173</v>
      </c>
      <c r="AI99" s="111"/>
      <c r="AJ99" s="111"/>
      <c r="AK99" s="111"/>
      <c r="AL99" s="109">
        <f ca="1">(AL34*c_inicial)+(AL34*c_on*12)+(AL34*ci_comp1)+(AL34*(ct_comp1+ca_comp1)*'Time on treatment'!$D$19)</f>
        <v>5420643.1059906445</v>
      </c>
      <c r="AM99" s="110">
        <f ca="1">(AM34*c_on*12)+(AM34*(ct_comp1+ca_comp1)*'Time on treatment'!$E$19)</f>
        <v>5420643.1059906445</v>
      </c>
      <c r="AP99" s="87" t="s">
        <v>173</v>
      </c>
      <c r="AQ99" s="111"/>
      <c r="AR99" s="111"/>
      <c r="AS99" s="111"/>
      <c r="AT99" s="109">
        <f ca="1">(AT34*c_inicial)+(AT34*c_on*12)+(AT34*ci_comp2)+(AT34*(ct_comp2+ca_comp2)*'Time on treatment'!$D$20)</f>
        <v>0</v>
      </c>
      <c r="AU99" s="110">
        <f ca="1">(AU34*c_on*12)+(AU34*(ct_comp2+ca_comp2)*'Time on treatment'!$E$20)</f>
        <v>0</v>
      </c>
      <c r="AX99" s="87" t="s">
        <v>173</v>
      </c>
      <c r="AY99" s="111"/>
      <c r="AZ99" s="111"/>
      <c r="BA99" s="111"/>
      <c r="BB99" s="109">
        <f ca="1">(BB34*c_inicial)+(BB34*c_on*12)+(BB34*ci_comp3)+(BB34*(ct_comp3+ca_comp3)*'Time on treatment'!$D$21)</f>
        <v>0</v>
      </c>
      <c r="BC99" s="110">
        <f ca="1">(BC34*c_on*12)+(BC34*(ct_comp3+ca_comp3)*'Time on treatment'!$E$21)</f>
        <v>0</v>
      </c>
      <c r="BF99" s="87" t="s">
        <v>173</v>
      </c>
      <c r="BG99" s="111"/>
      <c r="BH99" s="111"/>
      <c r="BI99" s="111"/>
      <c r="BJ99" s="109">
        <f ca="1">(BJ34*c_inicial)+(BJ34*c_on*12)+(BJ34*ci_comp4)+(BJ34*(ct_comp4+ca_comp4)*'Time on treatment'!$D$22)</f>
        <v>0</v>
      </c>
      <c r="BK99" s="110">
        <f ca="1">(BK34*c_on*12)+(BK34*(ct_comp4+ca_comp4)*'Time on treatment'!$E$22)</f>
        <v>0</v>
      </c>
      <c r="BN99" s="87" t="s">
        <v>173</v>
      </c>
      <c r="BO99" s="111"/>
      <c r="BP99" s="111"/>
      <c r="BQ99" s="111"/>
      <c r="BR99" s="109">
        <f ca="1">(BR34*c_inicial)+(BR34*c_on*12)+(BR34*ci_comp5)+(BR34*(ct_comp5+ca_comp5)*'Time on treatment'!$D$23)</f>
        <v>0</v>
      </c>
      <c r="BS99" s="110">
        <f ca="1">(BS34*c_on*12)+(BS34*(ct_comp5+ca_comp5)*'Time on treatment'!$E$23)</f>
        <v>0</v>
      </c>
      <c r="BV99" s="87" t="s">
        <v>173</v>
      </c>
      <c r="BW99" s="111"/>
      <c r="BX99" s="111"/>
      <c r="BY99" s="111"/>
      <c r="BZ99" s="109">
        <f ca="1">(BZ34*c_inicial)+(BZ34*c_on*12)+(BZ34*ci_comp6)+(BZ34*(ct_comp6+ca_comp6)*'Time on treatment'!$D$24)</f>
        <v>0</v>
      </c>
      <c r="CA99" s="110">
        <f ca="1">(CA34*c_on*12)+(CA34*(ct_comp6+ca_comp6)*'Time on treatment'!$E$24)</f>
        <v>0</v>
      </c>
      <c r="CD99" s="87" t="s">
        <v>173</v>
      </c>
      <c r="CE99" s="111"/>
      <c r="CF99" s="111"/>
      <c r="CG99" s="111"/>
      <c r="CH99" s="109">
        <f ca="1">(CH34*c_inicial)+(CH34*c_on*12)+(CH34*ci_comp7)+(CH34*(ct_comp7+ca_comp7)*'Time on treatment'!$D$25)</f>
        <v>0</v>
      </c>
      <c r="CI99" s="110">
        <f ca="1">(CI34*c_on*12)+(CI34*(ct_comp7+ca_comp7)*'Time on treatment'!$E$25)</f>
        <v>0</v>
      </c>
      <c r="CL99" s="87" t="s">
        <v>173</v>
      </c>
      <c r="CM99" s="111"/>
      <c r="CN99" s="111"/>
      <c r="CO99" s="111"/>
      <c r="CP99" s="109">
        <f ca="1">(CP34*c_inicial)+(CP34*c_on*12)+(CP34*ci_comp8)+(CP34*(ct_comp8+ca_comp8)*'Time on treatment'!$D$26)</f>
        <v>0</v>
      </c>
      <c r="CQ99" s="110">
        <f ca="1">(CQ34*c_on*12)+(CQ34*(ct_comp8+ca_comp8)*'Time on treatment'!$E$26)</f>
        <v>0</v>
      </c>
      <c r="CT99" s="87" t="s">
        <v>173</v>
      </c>
      <c r="CU99" s="111"/>
      <c r="CV99" s="111"/>
      <c r="CW99" s="111"/>
      <c r="CX99" s="109">
        <f ca="1">(CX34*c_inicial)+(CX34*c_on*12)+(CX34*ci_comp9)+(CX34*(ct_comp9+ca_comp9)*'Time on treatment'!$D$27)</f>
        <v>0</v>
      </c>
      <c r="CY99" s="110">
        <f ca="1">(CY34*c_on*12)+(CY34*(ct_comp9+ca_comp9)*'Time on treatment'!$E$27)</f>
        <v>0</v>
      </c>
      <c r="DB99" s="87" t="s">
        <v>173</v>
      </c>
      <c r="DC99" s="111"/>
      <c r="DD99" s="111"/>
      <c r="DE99" s="111"/>
      <c r="DF99" s="109">
        <f ca="1">(DF34*c_inicial)+(DF34*c_on*12)+(DF34*ci_comp10)+(DF34*(ct_comp10+ca_comp10)*'Time on treatment'!$D$28)</f>
        <v>0</v>
      </c>
      <c r="DG99" s="110">
        <f ca="1">(DG34*c_on*12)+(DG34*(ct_comp10+ca_comp10)*'Time on treatment'!$E$28)</f>
        <v>0</v>
      </c>
    </row>
    <row r="100" spans="2:111">
      <c r="B100" s="87" t="s">
        <v>178</v>
      </c>
      <c r="C100" s="111"/>
      <c r="D100" s="111"/>
      <c r="E100" s="111"/>
      <c r="F100" s="109">
        <f>F35*c_off</f>
        <v>0</v>
      </c>
      <c r="G100" s="110">
        <f>G35*c_off</f>
        <v>0</v>
      </c>
      <c r="J100" s="87" t="s">
        <v>178</v>
      </c>
      <c r="K100" s="111"/>
      <c r="L100" s="111"/>
      <c r="M100" s="111"/>
      <c r="N100" s="109">
        <f>N35*c_off</f>
        <v>0</v>
      </c>
      <c r="O100" s="110">
        <f>O35*c_off</f>
        <v>0</v>
      </c>
      <c r="R100" s="87" t="s">
        <v>178</v>
      </c>
      <c r="S100" s="111"/>
      <c r="T100" s="111"/>
      <c r="U100" s="111"/>
      <c r="V100" s="109">
        <f>V35*c_off</f>
        <v>0</v>
      </c>
      <c r="W100" s="110">
        <f>W35*c_off</f>
        <v>0</v>
      </c>
      <c r="Z100" s="87" t="s">
        <v>178</v>
      </c>
      <c r="AA100" s="111"/>
      <c r="AB100" s="111"/>
      <c r="AC100" s="111"/>
      <c r="AD100" s="109">
        <f>AD35*c_off</f>
        <v>0</v>
      </c>
      <c r="AE100" s="110">
        <f>AE35*c_off</f>
        <v>0</v>
      </c>
      <c r="AH100" s="87" t="s">
        <v>178</v>
      </c>
      <c r="AI100" s="111"/>
      <c r="AJ100" s="111"/>
      <c r="AK100" s="111"/>
      <c r="AL100" s="109">
        <f>AL35*c_off</f>
        <v>0</v>
      </c>
      <c r="AM100" s="110">
        <f>AM35*c_off</f>
        <v>0</v>
      </c>
      <c r="AP100" s="87" t="s">
        <v>178</v>
      </c>
      <c r="AQ100" s="111"/>
      <c r="AR100" s="111"/>
      <c r="AS100" s="111"/>
      <c r="AT100" s="109">
        <f>AT35*c_off</f>
        <v>0</v>
      </c>
      <c r="AU100" s="110">
        <f>AU35*c_off</f>
        <v>0</v>
      </c>
      <c r="AX100" s="87" t="s">
        <v>178</v>
      </c>
      <c r="AY100" s="111"/>
      <c r="AZ100" s="111"/>
      <c r="BA100" s="111"/>
      <c r="BB100" s="109">
        <f>BB35*c_off</f>
        <v>0</v>
      </c>
      <c r="BC100" s="110">
        <f>BC35*c_off</f>
        <v>0</v>
      </c>
      <c r="BF100" s="87" t="s">
        <v>178</v>
      </c>
      <c r="BG100" s="111"/>
      <c r="BH100" s="111"/>
      <c r="BI100" s="111"/>
      <c r="BJ100" s="109">
        <f>BJ35*c_off</f>
        <v>0</v>
      </c>
      <c r="BK100" s="110">
        <f>BK35*c_off</f>
        <v>0</v>
      </c>
      <c r="BN100" s="87" t="s">
        <v>178</v>
      </c>
      <c r="BO100" s="111"/>
      <c r="BP100" s="111"/>
      <c r="BQ100" s="111"/>
      <c r="BR100" s="109">
        <f>BR35*c_off</f>
        <v>0</v>
      </c>
      <c r="BS100" s="110">
        <f>BS35*c_off</f>
        <v>0</v>
      </c>
      <c r="BV100" s="87" t="s">
        <v>178</v>
      </c>
      <c r="BW100" s="111"/>
      <c r="BX100" s="111"/>
      <c r="BY100" s="111"/>
      <c r="BZ100" s="109">
        <f>BZ35*c_off</f>
        <v>0</v>
      </c>
      <c r="CA100" s="110">
        <f>CA35*c_off</f>
        <v>0</v>
      </c>
      <c r="CD100" s="87" t="s">
        <v>178</v>
      </c>
      <c r="CE100" s="111"/>
      <c r="CF100" s="111"/>
      <c r="CG100" s="111"/>
      <c r="CH100" s="109">
        <f>CH35*c_off</f>
        <v>0</v>
      </c>
      <c r="CI100" s="110">
        <f>CI35*c_off</f>
        <v>0</v>
      </c>
      <c r="CL100" s="87" t="s">
        <v>178</v>
      </c>
      <c r="CM100" s="111"/>
      <c r="CN100" s="111"/>
      <c r="CO100" s="111"/>
      <c r="CP100" s="109">
        <f>CP35*c_off</f>
        <v>0</v>
      </c>
      <c r="CQ100" s="110">
        <f>CQ35*c_off</f>
        <v>0</v>
      </c>
      <c r="CT100" s="87" t="s">
        <v>178</v>
      </c>
      <c r="CU100" s="111"/>
      <c r="CV100" s="111"/>
      <c r="CW100" s="111"/>
      <c r="CX100" s="109">
        <f>CX35*c_off</f>
        <v>0</v>
      </c>
      <c r="CY100" s="110">
        <f>CY35*c_off</f>
        <v>0</v>
      </c>
      <c r="DB100" s="87" t="s">
        <v>178</v>
      </c>
      <c r="DC100" s="111"/>
      <c r="DD100" s="111"/>
      <c r="DE100" s="111"/>
      <c r="DF100" s="109">
        <f>DF35*c_off</f>
        <v>0</v>
      </c>
      <c r="DG100" s="110">
        <f>DG35*c_off</f>
        <v>0</v>
      </c>
    </row>
    <row r="101" spans="2:111">
      <c r="B101" s="87" t="s">
        <v>174</v>
      </c>
      <c r="C101" s="111"/>
      <c r="D101" s="111"/>
      <c r="E101" s="111"/>
      <c r="F101" s="111"/>
      <c r="G101" s="110">
        <f ca="1">(G36*c_inicial)+(G36*c_on*12)+(G36*ci_int1)+(G36*(ct_int1+ca_int1)*'Time on treatment'!$D$12)</f>
        <v>0</v>
      </c>
      <c r="J101" s="87" t="s">
        <v>174</v>
      </c>
      <c r="K101" s="111"/>
      <c r="L101" s="111"/>
      <c r="M101" s="111"/>
      <c r="N101" s="111"/>
      <c r="O101" s="110">
        <f ca="1">(O36*c_inicial)+(O36*c_on*12)+(O36*ci_int2)+(O36*(ct_int2+ca_int2)*'Time on treatment'!$D$13)</f>
        <v>0</v>
      </c>
      <c r="R101" s="87" t="s">
        <v>174</v>
      </c>
      <c r="S101" s="111"/>
      <c r="T101" s="111"/>
      <c r="U101" s="111"/>
      <c r="V101" s="111"/>
      <c r="W101" s="110">
        <f ca="1">(W36*c_inicial)+(W36*c_on*12)+(W36*ci_int3)+(W36*(ct_int3+ca_int3)*'Time on treatment'!$D$14)</f>
        <v>0</v>
      </c>
      <c r="Z101" s="87" t="s">
        <v>174</v>
      </c>
      <c r="AA101" s="111"/>
      <c r="AB101" s="111"/>
      <c r="AC101" s="111"/>
      <c r="AD101" s="111"/>
      <c r="AE101" s="110">
        <f ca="1">(AE36*c_inicial)+(AE36*c_on*12)+(AE36*ci_int4)+(AE36*(ct_int4+ca_int4)*'Time on treatment'!$D$15)</f>
        <v>0</v>
      </c>
      <c r="AH101" s="87" t="s">
        <v>174</v>
      </c>
      <c r="AI101" s="111"/>
      <c r="AJ101" s="111"/>
      <c r="AK101" s="111"/>
      <c r="AL101" s="111"/>
      <c r="AM101" s="110">
        <f ca="1">(AM36*c_inicial)+(AM36*c_on*12)+(AM36*ci_comp1)+(AM36*(ct_comp1+ca_comp1)*'Time on treatment'!$D$19)</f>
        <v>5388358.501041064</v>
      </c>
      <c r="AP101" s="87" t="s">
        <v>174</v>
      </c>
      <c r="AQ101" s="111"/>
      <c r="AR101" s="111"/>
      <c r="AS101" s="111"/>
      <c r="AT101" s="111"/>
      <c r="AU101" s="110">
        <f ca="1">(AU36*c_inicial)+(AU36*c_on*12)+(AU36*ci_comp2)+(AU36*(ct_comp2+ca_comp2)*'Time on treatment'!$D$20)</f>
        <v>0</v>
      </c>
      <c r="AX101" s="87" t="s">
        <v>174</v>
      </c>
      <c r="AY101" s="111"/>
      <c r="AZ101" s="111"/>
      <c r="BA101" s="111"/>
      <c r="BB101" s="111"/>
      <c r="BC101" s="110">
        <f ca="1">(BC36*c_inicial)+(BC36*c_on*12)+(BC36*ci_comp3)+(BC36*(ct_comp3+ca_comp3)*'Time on treatment'!$D$21)</f>
        <v>0</v>
      </c>
      <c r="BF101" s="87" t="s">
        <v>174</v>
      </c>
      <c r="BG101" s="111"/>
      <c r="BH101" s="111"/>
      <c r="BI101" s="111"/>
      <c r="BJ101" s="111"/>
      <c r="BK101" s="110">
        <f ca="1">(BK36*c_inicial)+(BK36*c_on*12)+(BK36*ci_comp4)+(BK36*(ct_comp4+ca_comp4)*'Time on treatment'!$D$22)</f>
        <v>0</v>
      </c>
      <c r="BN101" s="87" t="s">
        <v>174</v>
      </c>
      <c r="BO101" s="111"/>
      <c r="BP101" s="111"/>
      <c r="BQ101" s="111"/>
      <c r="BR101" s="111"/>
      <c r="BS101" s="110">
        <f ca="1">(BS36*c_inicial)+(BS36*c_on*12)+(BS36*ci_comp5)+(BS36*(ct_comp5+ca_comp5)*'Time on treatment'!$D$23)</f>
        <v>0</v>
      </c>
      <c r="BV101" s="87" t="s">
        <v>174</v>
      </c>
      <c r="BW101" s="111"/>
      <c r="BX101" s="111"/>
      <c r="BY101" s="111"/>
      <c r="BZ101" s="111"/>
      <c r="CA101" s="110">
        <f ca="1">(CA36*c_inicial)+(CA36*c_on*12)+(CA36*ci_comp6)+(CA36*(ct_comp6+ca_comp6)*'Time on treatment'!$D$24)</f>
        <v>0</v>
      </c>
      <c r="CD101" s="87" t="s">
        <v>174</v>
      </c>
      <c r="CE101" s="111"/>
      <c r="CF101" s="111"/>
      <c r="CG101" s="111"/>
      <c r="CH101" s="111"/>
      <c r="CI101" s="110">
        <f ca="1">(CI36*c_inicial)+(CI36*c_on*12)+(CI36*ci_comp7)+(CI36*(ct_comp7+ca_comp7)*'Time on treatment'!$D$25)</f>
        <v>0</v>
      </c>
      <c r="CL101" s="87" t="s">
        <v>174</v>
      </c>
      <c r="CM101" s="111"/>
      <c r="CN101" s="111"/>
      <c r="CO101" s="111"/>
      <c r="CP101" s="111"/>
      <c r="CQ101" s="110">
        <f ca="1">(CQ36*c_inicial)+(CQ36*c_on*12)+(CQ36*ci_comp8)+(CQ36*(ct_comp8+ca_comp8)*'Time on treatment'!$D$26)</f>
        <v>0</v>
      </c>
      <c r="CT101" s="87" t="s">
        <v>174</v>
      </c>
      <c r="CU101" s="111"/>
      <c r="CV101" s="111"/>
      <c r="CW101" s="111"/>
      <c r="CX101" s="111"/>
      <c r="CY101" s="110">
        <f ca="1">(CY36*c_inicial)+(CY36*c_on*12)+(CY36*ci_comp9)+(CY36*(ct_comp9+ca_comp9)*'Time on treatment'!$D$27)</f>
        <v>0</v>
      </c>
      <c r="DB101" s="87" t="s">
        <v>174</v>
      </c>
      <c r="DC101" s="111"/>
      <c r="DD101" s="111"/>
      <c r="DE101" s="111"/>
      <c r="DF101" s="111"/>
      <c r="DG101" s="110">
        <f ca="1">(DG36*c_inicial)+(DG36*c_on*12)+(DG36*ci_comp10)+(DG36*(ct_comp10+ca_comp10)*'Time on treatment'!$D$28)</f>
        <v>0</v>
      </c>
    </row>
    <row r="102" spans="2:111" ht="15" thickBot="1">
      <c r="B102" s="87" t="s">
        <v>179</v>
      </c>
      <c r="C102" s="111"/>
      <c r="D102" s="111"/>
      <c r="E102" s="111"/>
      <c r="F102" s="111"/>
      <c r="G102" s="112">
        <v>0</v>
      </c>
      <c r="J102" s="87" t="s">
        <v>179</v>
      </c>
      <c r="K102" s="111"/>
      <c r="L102" s="111"/>
      <c r="M102" s="111"/>
      <c r="N102" s="111"/>
      <c r="O102" s="112">
        <v>0</v>
      </c>
      <c r="R102" s="87" t="s">
        <v>179</v>
      </c>
      <c r="S102" s="111"/>
      <c r="T102" s="111"/>
      <c r="U102" s="111"/>
      <c r="V102" s="111"/>
      <c r="W102" s="112">
        <v>0</v>
      </c>
      <c r="Z102" s="87" t="s">
        <v>179</v>
      </c>
      <c r="AA102" s="111"/>
      <c r="AB102" s="111"/>
      <c r="AC102" s="111"/>
      <c r="AD102" s="111"/>
      <c r="AE102" s="112">
        <v>0</v>
      </c>
      <c r="AH102" s="87" t="s">
        <v>179</v>
      </c>
      <c r="AI102" s="111"/>
      <c r="AJ102" s="111"/>
      <c r="AK102" s="111"/>
      <c r="AL102" s="111"/>
      <c r="AM102" s="112">
        <v>0</v>
      </c>
      <c r="AP102" s="87" t="s">
        <v>179</v>
      </c>
      <c r="AQ102" s="111"/>
      <c r="AR102" s="111"/>
      <c r="AS102" s="111"/>
      <c r="AT102" s="111"/>
      <c r="AU102" s="112">
        <v>0</v>
      </c>
      <c r="AX102" s="87" t="s">
        <v>179</v>
      </c>
      <c r="AY102" s="111"/>
      <c r="AZ102" s="111"/>
      <c r="BA102" s="111"/>
      <c r="BB102" s="111"/>
      <c r="BC102" s="112">
        <v>0</v>
      </c>
      <c r="BF102" s="87" t="s">
        <v>179</v>
      </c>
      <c r="BG102" s="111"/>
      <c r="BH102" s="111"/>
      <c r="BI102" s="111"/>
      <c r="BJ102" s="111"/>
      <c r="BK102" s="112">
        <v>0</v>
      </c>
      <c r="BN102" s="87" t="s">
        <v>179</v>
      </c>
      <c r="BO102" s="111"/>
      <c r="BP102" s="111"/>
      <c r="BQ102" s="111"/>
      <c r="BR102" s="111"/>
      <c r="BS102" s="112">
        <v>0</v>
      </c>
      <c r="BV102" s="87" t="s">
        <v>179</v>
      </c>
      <c r="BW102" s="111"/>
      <c r="BX102" s="111"/>
      <c r="BY102" s="111"/>
      <c r="BZ102" s="111"/>
      <c r="CA102" s="112">
        <v>0</v>
      </c>
      <c r="CD102" s="87" t="s">
        <v>179</v>
      </c>
      <c r="CE102" s="111"/>
      <c r="CF102" s="111"/>
      <c r="CG102" s="111"/>
      <c r="CH102" s="111"/>
      <c r="CI102" s="112">
        <v>0</v>
      </c>
      <c r="CL102" s="87" t="s">
        <v>179</v>
      </c>
      <c r="CM102" s="111"/>
      <c r="CN102" s="111"/>
      <c r="CO102" s="111"/>
      <c r="CP102" s="111"/>
      <c r="CQ102" s="112">
        <v>0</v>
      </c>
      <c r="CT102" s="87" t="s">
        <v>179</v>
      </c>
      <c r="CU102" s="111"/>
      <c r="CV102" s="111"/>
      <c r="CW102" s="111"/>
      <c r="CX102" s="111"/>
      <c r="CY102" s="112">
        <v>0</v>
      </c>
      <c r="DB102" s="87" t="s">
        <v>179</v>
      </c>
      <c r="DC102" s="111"/>
      <c r="DD102" s="111"/>
      <c r="DE102" s="111"/>
      <c r="DF102" s="111"/>
      <c r="DG102" s="112">
        <v>0</v>
      </c>
    </row>
    <row r="103" spans="2:111" ht="15" thickBot="1">
      <c r="B103" s="85" t="str">
        <f>B5</f>
        <v>Intrauterine device levonorgestrel</v>
      </c>
      <c r="C103" s="113">
        <f ca="1">SUM(C93:C101)</f>
        <v>0</v>
      </c>
      <c r="D103" s="113">
        <f ca="1">SUM(D93:D101)</f>
        <v>0</v>
      </c>
      <c r="E103" s="113">
        <f ca="1">SUM(E93:E101)</f>
        <v>0</v>
      </c>
      <c r="F103" s="113">
        <f ca="1">SUM(F93:F101)</f>
        <v>0</v>
      </c>
      <c r="G103" s="114">
        <f ca="1">SUM(G93:G101)</f>
        <v>0</v>
      </c>
      <c r="J103" s="85">
        <f>J5</f>
        <v>0</v>
      </c>
      <c r="K103" s="113">
        <f ca="1">SUM(K93:K101)</f>
        <v>0</v>
      </c>
      <c r="L103" s="113">
        <f ca="1">SUM(L93:L101)</f>
        <v>0</v>
      </c>
      <c r="M103" s="113">
        <f ca="1">SUM(M93:M101)</f>
        <v>0</v>
      </c>
      <c r="N103" s="113">
        <f ca="1">SUM(N93:N101)</f>
        <v>0</v>
      </c>
      <c r="O103" s="114">
        <f ca="1">SUM(O93:O101)</f>
        <v>0</v>
      </c>
      <c r="R103" s="85">
        <f>R5</f>
        <v>0</v>
      </c>
      <c r="S103" s="113">
        <f ca="1">SUM(S93:S101)</f>
        <v>0</v>
      </c>
      <c r="T103" s="113">
        <f ca="1">SUM(T93:T101)</f>
        <v>0</v>
      </c>
      <c r="U103" s="113">
        <f ca="1">SUM(U93:U101)</f>
        <v>0</v>
      </c>
      <c r="V103" s="113">
        <f ca="1">SUM(V93:V101)</f>
        <v>0</v>
      </c>
      <c r="W103" s="114">
        <f ca="1">SUM(W93:W101)</f>
        <v>0</v>
      </c>
      <c r="Z103" s="85">
        <f>Z5</f>
        <v>0</v>
      </c>
      <c r="AA103" s="113">
        <f ca="1">SUM(AA93:AA101)</f>
        <v>0</v>
      </c>
      <c r="AB103" s="113">
        <f ca="1">SUM(AB93:AB101)</f>
        <v>0</v>
      </c>
      <c r="AC103" s="113">
        <f ca="1">SUM(AC93:AC101)</f>
        <v>0</v>
      </c>
      <c r="AD103" s="113">
        <f ca="1">SUM(AD93:AD101)</f>
        <v>0</v>
      </c>
      <c r="AE103" s="114">
        <f ca="1">SUM(AE93:AE101)</f>
        <v>0</v>
      </c>
      <c r="AH103" s="85" t="str">
        <f>AH5</f>
        <v>Oral contraceptive</v>
      </c>
      <c r="AI103" s="113">
        <f ca="1">SUM(AI93:AI101)</f>
        <v>5487460.7252860991</v>
      </c>
      <c r="AJ103" s="113">
        <f ca="1">SUM(AJ93:AJ101)</f>
        <v>10955146.388541084</v>
      </c>
      <c r="AK103" s="113">
        <f ca="1">SUM(AK93:AK101)</f>
        <v>16401446.291711845</v>
      </c>
      <c r="AL103" s="113">
        <f ca="1">SUM(AL93:AL101)</f>
        <v>21822089.397702489</v>
      </c>
      <c r="AM103" s="114">
        <f ca="1">SUM(AM93:AM101)</f>
        <v>27210447.898743555</v>
      </c>
      <c r="AP103" s="85">
        <f>AP5</f>
        <v>0</v>
      </c>
      <c r="AQ103" s="113">
        <f ca="1">SUM(AQ93:AQ101)</f>
        <v>0</v>
      </c>
      <c r="AR103" s="113">
        <f ca="1">SUM(AR93:AR101)</f>
        <v>0</v>
      </c>
      <c r="AS103" s="113">
        <f ca="1">SUM(AS93:AS101)</f>
        <v>0</v>
      </c>
      <c r="AT103" s="113">
        <f ca="1">SUM(AT93:AT101)</f>
        <v>0</v>
      </c>
      <c r="AU103" s="114">
        <f ca="1">SUM(AU93:AU101)</f>
        <v>0</v>
      </c>
      <c r="AX103" s="85">
        <f>AX5</f>
        <v>0</v>
      </c>
      <c r="AY103" s="113">
        <f ca="1">SUM(AY93:AY101)</f>
        <v>0</v>
      </c>
      <c r="AZ103" s="113">
        <f ca="1">SUM(AZ93:AZ101)</f>
        <v>0</v>
      </c>
      <c r="BA103" s="113">
        <f ca="1">SUM(BA93:BA101)</f>
        <v>0</v>
      </c>
      <c r="BB103" s="113">
        <f ca="1">SUM(BB93:BB101)</f>
        <v>0</v>
      </c>
      <c r="BC103" s="114">
        <f ca="1">SUM(BC93:BC101)</f>
        <v>0</v>
      </c>
      <c r="BF103" s="85">
        <f>BF5</f>
        <v>0</v>
      </c>
      <c r="BG103" s="113">
        <f ca="1">SUM(BG93:BG101)</f>
        <v>0</v>
      </c>
      <c r="BH103" s="113">
        <f ca="1">SUM(BH93:BH101)</f>
        <v>0</v>
      </c>
      <c r="BI103" s="113">
        <f ca="1">SUM(BI93:BI101)</f>
        <v>0</v>
      </c>
      <c r="BJ103" s="113">
        <f ca="1">SUM(BJ93:BJ101)</f>
        <v>0</v>
      </c>
      <c r="BK103" s="114">
        <f ca="1">SUM(BK93:BK101)</f>
        <v>0</v>
      </c>
      <c r="BN103" s="85">
        <f>BN5</f>
        <v>0</v>
      </c>
      <c r="BO103" s="113">
        <f ca="1">SUM(BO93:BO101)</f>
        <v>0</v>
      </c>
      <c r="BP103" s="113">
        <f ca="1">SUM(BP93:BP101)</f>
        <v>0</v>
      </c>
      <c r="BQ103" s="113">
        <f ca="1">SUM(BQ93:BQ101)</f>
        <v>0</v>
      </c>
      <c r="BR103" s="113">
        <f ca="1">SUM(BR93:BR101)</f>
        <v>0</v>
      </c>
      <c r="BS103" s="114">
        <f ca="1">SUM(BS93:BS101)</f>
        <v>0</v>
      </c>
      <c r="BV103" s="85">
        <f>BV5</f>
        <v>0</v>
      </c>
      <c r="BW103" s="113">
        <f ca="1">SUM(BW93:BW101)</f>
        <v>0</v>
      </c>
      <c r="BX103" s="113">
        <f ca="1">SUM(BX93:BX101)</f>
        <v>0</v>
      </c>
      <c r="BY103" s="113">
        <f ca="1">SUM(BY93:BY101)</f>
        <v>0</v>
      </c>
      <c r="BZ103" s="113">
        <f ca="1">SUM(BZ93:BZ101)</f>
        <v>0</v>
      </c>
      <c r="CA103" s="114">
        <f ca="1">SUM(CA93:CA101)</f>
        <v>0</v>
      </c>
      <c r="CD103" s="85">
        <f>CD5</f>
        <v>0</v>
      </c>
      <c r="CE103" s="113">
        <f ca="1">SUM(CE93:CE101)</f>
        <v>0</v>
      </c>
      <c r="CF103" s="113">
        <f ca="1">SUM(CF93:CF101)</f>
        <v>0</v>
      </c>
      <c r="CG103" s="113">
        <f ca="1">SUM(CG93:CG101)</f>
        <v>0</v>
      </c>
      <c r="CH103" s="113">
        <f ca="1">SUM(CH93:CH101)</f>
        <v>0</v>
      </c>
      <c r="CI103" s="114">
        <f ca="1">SUM(CI93:CI101)</f>
        <v>0</v>
      </c>
      <c r="CL103" s="85">
        <f>CL5</f>
        <v>0</v>
      </c>
      <c r="CM103" s="113">
        <f ca="1">SUM(CM93:CM101)</f>
        <v>0</v>
      </c>
      <c r="CN103" s="113">
        <f ca="1">SUM(CN93:CN101)</f>
        <v>0</v>
      </c>
      <c r="CO103" s="113">
        <f ca="1">SUM(CO93:CO101)</f>
        <v>0</v>
      </c>
      <c r="CP103" s="113">
        <f ca="1">SUM(CP93:CP101)</f>
        <v>0</v>
      </c>
      <c r="CQ103" s="114">
        <f ca="1">SUM(CQ93:CQ101)</f>
        <v>0</v>
      </c>
      <c r="CT103" s="85">
        <f>CT5</f>
        <v>0</v>
      </c>
      <c r="CU103" s="113">
        <f ca="1">SUM(CU93:CU101)</f>
        <v>0</v>
      </c>
      <c r="CV103" s="113">
        <f ca="1">SUM(CV93:CV101)</f>
        <v>0</v>
      </c>
      <c r="CW103" s="113">
        <f ca="1">SUM(CW93:CW101)</f>
        <v>0</v>
      </c>
      <c r="CX103" s="113">
        <f ca="1">SUM(CX93:CX101)</f>
        <v>0</v>
      </c>
      <c r="CY103" s="114">
        <f ca="1">SUM(CY93:CY101)</f>
        <v>0</v>
      </c>
      <c r="DB103" s="85">
        <f>DB5</f>
        <v>0</v>
      </c>
      <c r="DC103" s="113">
        <f ca="1">SUM(DC93:DC101)</f>
        <v>0</v>
      </c>
      <c r="DD103" s="113">
        <f ca="1">SUM(DD93:DD101)</f>
        <v>0</v>
      </c>
      <c r="DE103" s="113">
        <f ca="1">SUM(DE93:DE101)</f>
        <v>0</v>
      </c>
      <c r="DF103" s="113">
        <f ca="1">SUM(DF93:DF101)</f>
        <v>0</v>
      </c>
      <c r="DG103" s="114">
        <f ca="1">SUM(DG93:DG101)</f>
        <v>0</v>
      </c>
    </row>
    <row r="104" spans="2:111" ht="15" thickBot="1">
      <c r="B104" s="83"/>
      <c r="C104" s="86"/>
      <c r="D104" s="86"/>
      <c r="E104" s="86"/>
      <c r="F104" s="86"/>
      <c r="G104" s="86"/>
      <c r="J104" s="83"/>
      <c r="K104" s="86"/>
      <c r="L104" s="86"/>
      <c r="M104" s="86"/>
      <c r="N104" s="86"/>
      <c r="O104" s="86"/>
      <c r="R104" s="83"/>
      <c r="S104" s="86"/>
      <c r="T104" s="86"/>
      <c r="U104" s="86"/>
      <c r="V104" s="86"/>
      <c r="W104" s="86"/>
      <c r="Z104" s="83"/>
      <c r="AA104" s="86"/>
      <c r="AB104" s="86"/>
      <c r="AC104" s="86"/>
      <c r="AD104" s="86"/>
      <c r="AE104" s="86"/>
      <c r="AH104" s="83"/>
      <c r="AI104" s="86"/>
      <c r="AJ104" s="86"/>
      <c r="AK104" s="86"/>
      <c r="AL104" s="86"/>
      <c r="AM104" s="86"/>
      <c r="AP104" s="83"/>
      <c r="AQ104" s="86"/>
      <c r="AR104" s="86"/>
      <c r="AS104" s="86"/>
      <c r="AT104" s="86"/>
      <c r="AU104" s="86"/>
      <c r="AX104" s="83"/>
      <c r="AY104" s="86"/>
      <c r="AZ104" s="86"/>
      <c r="BA104" s="86"/>
      <c r="BB104" s="86"/>
      <c r="BC104" s="86"/>
      <c r="BF104" s="83"/>
      <c r="BG104" s="86"/>
      <c r="BH104" s="86"/>
      <c r="BI104" s="86"/>
      <c r="BJ104" s="86"/>
      <c r="BK104" s="86"/>
      <c r="BN104" s="83"/>
      <c r="BO104" s="86"/>
      <c r="BP104" s="86"/>
      <c r="BQ104" s="86"/>
      <c r="BR104" s="86"/>
      <c r="BS104" s="86"/>
      <c r="BV104" s="83"/>
      <c r="BW104" s="86"/>
      <c r="BX104" s="86"/>
      <c r="BY104" s="86"/>
      <c r="BZ104" s="86"/>
      <c r="CA104" s="86"/>
      <c r="CD104" s="83"/>
      <c r="CE104" s="86"/>
      <c r="CF104" s="86"/>
      <c r="CG104" s="86"/>
      <c r="CH104" s="86"/>
      <c r="CI104" s="86"/>
      <c r="CL104" s="83"/>
      <c r="CM104" s="86"/>
      <c r="CN104" s="86"/>
      <c r="CO104" s="86"/>
      <c r="CP104" s="86"/>
      <c r="CQ104" s="86"/>
      <c r="CT104" s="83"/>
      <c r="CU104" s="86"/>
      <c r="CV104" s="86"/>
      <c r="CW104" s="86"/>
      <c r="CX104" s="86"/>
      <c r="CY104" s="86"/>
      <c r="DB104" s="83"/>
      <c r="DC104" s="86"/>
      <c r="DD104" s="86"/>
      <c r="DE104" s="86"/>
      <c r="DF104" s="86"/>
      <c r="DG104" s="86"/>
    </row>
    <row r="105" spans="2:111" ht="15" thickBot="1">
      <c r="B105" s="507" t="str">
        <f>B41</f>
        <v>With IUD-LNG 5-25%</v>
      </c>
      <c r="C105" s="505"/>
      <c r="D105" s="505"/>
      <c r="E105" s="505"/>
      <c r="F105" s="505"/>
      <c r="G105" s="506"/>
      <c r="J105" s="507" t="str">
        <f>J41</f>
        <v>With IUD-LNG 5-25%</v>
      </c>
      <c r="K105" s="505"/>
      <c r="L105" s="505"/>
      <c r="M105" s="505"/>
      <c r="N105" s="505"/>
      <c r="O105" s="506"/>
      <c r="R105" s="507" t="str">
        <f>R41</f>
        <v>With IUD-LNG 5-25%</v>
      </c>
      <c r="S105" s="505"/>
      <c r="T105" s="505"/>
      <c r="U105" s="505"/>
      <c r="V105" s="505"/>
      <c r="W105" s="506"/>
      <c r="Z105" s="507" t="str">
        <f>Z41</f>
        <v>With IUD-LNG 5-25%</v>
      </c>
      <c r="AA105" s="505"/>
      <c r="AB105" s="505"/>
      <c r="AC105" s="505"/>
      <c r="AD105" s="505"/>
      <c r="AE105" s="506"/>
      <c r="AH105" s="507" t="str">
        <f>AH41</f>
        <v>With IUD-LNG 5-25%</v>
      </c>
      <c r="AI105" s="505"/>
      <c r="AJ105" s="505"/>
      <c r="AK105" s="505"/>
      <c r="AL105" s="505"/>
      <c r="AM105" s="506"/>
      <c r="AP105" s="507" t="str">
        <f>AP41</f>
        <v>With IUD-LNG 5-25%</v>
      </c>
      <c r="AQ105" s="505"/>
      <c r="AR105" s="505"/>
      <c r="AS105" s="505"/>
      <c r="AT105" s="505"/>
      <c r="AU105" s="506"/>
      <c r="AX105" s="507" t="str">
        <f>AX41</f>
        <v>With IUD-LNG 5-25%</v>
      </c>
      <c r="AY105" s="505"/>
      <c r="AZ105" s="505"/>
      <c r="BA105" s="505"/>
      <c r="BB105" s="505"/>
      <c r="BC105" s="506"/>
      <c r="BF105" s="507" t="str">
        <f>BF41</f>
        <v>With IUD-LNG 5-25%</v>
      </c>
      <c r="BG105" s="505"/>
      <c r="BH105" s="505"/>
      <c r="BI105" s="505"/>
      <c r="BJ105" s="505"/>
      <c r="BK105" s="506"/>
      <c r="BN105" s="507" t="str">
        <f>BN41</f>
        <v>With IUD-LNG 5-25%</v>
      </c>
      <c r="BO105" s="505"/>
      <c r="BP105" s="505"/>
      <c r="BQ105" s="505"/>
      <c r="BR105" s="505"/>
      <c r="BS105" s="506"/>
      <c r="BV105" s="507" t="str">
        <f>BV41</f>
        <v>With IUD-LNG 5-25%</v>
      </c>
      <c r="BW105" s="505"/>
      <c r="BX105" s="505"/>
      <c r="BY105" s="505"/>
      <c r="BZ105" s="505"/>
      <c r="CA105" s="506"/>
      <c r="CD105" s="507" t="str">
        <f>CD41</f>
        <v>With IUD-LNG 5-25%</v>
      </c>
      <c r="CE105" s="505"/>
      <c r="CF105" s="505"/>
      <c r="CG105" s="505"/>
      <c r="CH105" s="505"/>
      <c r="CI105" s="506"/>
      <c r="CL105" s="507" t="str">
        <f>CL41</f>
        <v>With IUD-LNG 5-25%</v>
      </c>
      <c r="CM105" s="505"/>
      <c r="CN105" s="505"/>
      <c r="CO105" s="505"/>
      <c r="CP105" s="505"/>
      <c r="CQ105" s="506"/>
      <c r="CT105" s="507" t="str">
        <f>CT41</f>
        <v>With IUD-LNG 5-25%</v>
      </c>
      <c r="CU105" s="505"/>
      <c r="CV105" s="505"/>
      <c r="CW105" s="505"/>
      <c r="CX105" s="505"/>
      <c r="CY105" s="506"/>
      <c r="DB105" s="507" t="str">
        <f>DB41</f>
        <v>With IUD-LNG 5-25%</v>
      </c>
      <c r="DC105" s="505"/>
      <c r="DD105" s="505"/>
      <c r="DE105" s="505"/>
      <c r="DF105" s="505"/>
      <c r="DG105" s="506"/>
    </row>
    <row r="106" spans="2:111">
      <c r="B106" s="84"/>
      <c r="C106" s="101">
        <f>C42</f>
        <v>2026</v>
      </c>
      <c r="D106" s="101">
        <f t="shared" ref="D106:F106" si="286">D42</f>
        <v>2027</v>
      </c>
      <c r="E106" s="101">
        <f t="shared" si="286"/>
        <v>2028</v>
      </c>
      <c r="F106" s="101">
        <f t="shared" si="286"/>
        <v>2029</v>
      </c>
      <c r="G106" s="102">
        <f>G42</f>
        <v>2030</v>
      </c>
      <c r="J106" s="84"/>
      <c r="K106" s="101">
        <f>K42</f>
        <v>2026</v>
      </c>
      <c r="L106" s="101">
        <f t="shared" ref="L106:N106" si="287">L42</f>
        <v>2027</v>
      </c>
      <c r="M106" s="101">
        <f t="shared" si="287"/>
        <v>2028</v>
      </c>
      <c r="N106" s="101">
        <f t="shared" si="287"/>
        <v>2029</v>
      </c>
      <c r="O106" s="102">
        <f>O42</f>
        <v>2030</v>
      </c>
      <c r="R106" s="84"/>
      <c r="S106" s="101">
        <f>S42</f>
        <v>2026</v>
      </c>
      <c r="T106" s="101">
        <f t="shared" ref="T106:V106" si="288">T42</f>
        <v>2027</v>
      </c>
      <c r="U106" s="101">
        <f t="shared" si="288"/>
        <v>2028</v>
      </c>
      <c r="V106" s="101">
        <f t="shared" si="288"/>
        <v>2029</v>
      </c>
      <c r="W106" s="102">
        <f>W42</f>
        <v>2030</v>
      </c>
      <c r="Z106" s="84"/>
      <c r="AA106" s="101">
        <f>AA42</f>
        <v>2026</v>
      </c>
      <c r="AB106" s="101">
        <f t="shared" ref="AB106:AD106" si="289">AB42</f>
        <v>2027</v>
      </c>
      <c r="AC106" s="101">
        <f t="shared" si="289"/>
        <v>2028</v>
      </c>
      <c r="AD106" s="101">
        <f t="shared" si="289"/>
        <v>2029</v>
      </c>
      <c r="AE106" s="102">
        <f>AE42</f>
        <v>2030</v>
      </c>
      <c r="AH106" s="84"/>
      <c r="AI106" s="101">
        <f>AI42</f>
        <v>2026</v>
      </c>
      <c r="AJ106" s="101">
        <f t="shared" ref="AJ106:AL106" si="290">AJ42</f>
        <v>2027</v>
      </c>
      <c r="AK106" s="101">
        <f t="shared" si="290"/>
        <v>2028</v>
      </c>
      <c r="AL106" s="101">
        <f t="shared" si="290"/>
        <v>2029</v>
      </c>
      <c r="AM106" s="102">
        <f>AM42</f>
        <v>2030</v>
      </c>
      <c r="AP106" s="84"/>
      <c r="AQ106" s="101">
        <f>AQ42</f>
        <v>2026</v>
      </c>
      <c r="AR106" s="101">
        <f t="shared" ref="AR106:AT106" si="291">AR42</f>
        <v>2027</v>
      </c>
      <c r="AS106" s="101">
        <f t="shared" si="291"/>
        <v>2028</v>
      </c>
      <c r="AT106" s="101">
        <f t="shared" si="291"/>
        <v>2029</v>
      </c>
      <c r="AU106" s="102">
        <f>AU42</f>
        <v>2030</v>
      </c>
      <c r="AX106" s="84"/>
      <c r="AY106" s="101">
        <f>AY42</f>
        <v>2026</v>
      </c>
      <c r="AZ106" s="101">
        <f t="shared" ref="AZ106:BB106" si="292">AZ42</f>
        <v>2027</v>
      </c>
      <c r="BA106" s="101">
        <f t="shared" si="292"/>
        <v>2028</v>
      </c>
      <c r="BB106" s="101">
        <f t="shared" si="292"/>
        <v>2029</v>
      </c>
      <c r="BC106" s="102">
        <f>BC42</f>
        <v>2030</v>
      </c>
      <c r="BF106" s="84"/>
      <c r="BG106" s="101">
        <f>BG42</f>
        <v>2026</v>
      </c>
      <c r="BH106" s="101">
        <f t="shared" ref="BH106:BJ106" si="293">BH42</f>
        <v>2027</v>
      </c>
      <c r="BI106" s="101">
        <f t="shared" si="293"/>
        <v>2028</v>
      </c>
      <c r="BJ106" s="101">
        <f t="shared" si="293"/>
        <v>2029</v>
      </c>
      <c r="BK106" s="102">
        <f>BK42</f>
        <v>2030</v>
      </c>
      <c r="BN106" s="84"/>
      <c r="BO106" s="101">
        <f>BO42</f>
        <v>2026</v>
      </c>
      <c r="BP106" s="101">
        <f t="shared" ref="BP106:BR106" si="294">BP42</f>
        <v>2027</v>
      </c>
      <c r="BQ106" s="101">
        <f t="shared" si="294"/>
        <v>2028</v>
      </c>
      <c r="BR106" s="101">
        <f t="shared" si="294"/>
        <v>2029</v>
      </c>
      <c r="BS106" s="102">
        <f>BS42</f>
        <v>2030</v>
      </c>
      <c r="BV106" s="84"/>
      <c r="BW106" s="101">
        <f>BW42</f>
        <v>2026</v>
      </c>
      <c r="BX106" s="101">
        <f t="shared" ref="BX106:BZ106" si="295">BX42</f>
        <v>2027</v>
      </c>
      <c r="BY106" s="101">
        <f t="shared" si="295"/>
        <v>2028</v>
      </c>
      <c r="BZ106" s="101">
        <f t="shared" si="295"/>
        <v>2029</v>
      </c>
      <c r="CA106" s="102">
        <f>CA42</f>
        <v>2030</v>
      </c>
      <c r="CD106" s="84"/>
      <c r="CE106" s="101">
        <f>CE42</f>
        <v>2026</v>
      </c>
      <c r="CF106" s="101">
        <f t="shared" ref="CF106:CH106" si="296">CF42</f>
        <v>2027</v>
      </c>
      <c r="CG106" s="101">
        <f t="shared" si="296"/>
        <v>2028</v>
      </c>
      <c r="CH106" s="101">
        <f t="shared" si="296"/>
        <v>2029</v>
      </c>
      <c r="CI106" s="102">
        <f>CI42</f>
        <v>2030</v>
      </c>
      <c r="CL106" s="84"/>
      <c r="CM106" s="101">
        <f>CM42</f>
        <v>2026</v>
      </c>
      <c r="CN106" s="101">
        <f t="shared" ref="CN106:CP106" si="297">CN42</f>
        <v>2027</v>
      </c>
      <c r="CO106" s="101">
        <f t="shared" si="297"/>
        <v>2028</v>
      </c>
      <c r="CP106" s="101">
        <f t="shared" si="297"/>
        <v>2029</v>
      </c>
      <c r="CQ106" s="102">
        <f>CQ42</f>
        <v>2030</v>
      </c>
      <c r="CT106" s="84"/>
      <c r="CU106" s="101">
        <f>CU42</f>
        <v>2026</v>
      </c>
      <c r="CV106" s="101">
        <f t="shared" ref="CV106:CX106" si="298">CV42</f>
        <v>2027</v>
      </c>
      <c r="CW106" s="101">
        <f t="shared" si="298"/>
        <v>2028</v>
      </c>
      <c r="CX106" s="101">
        <f t="shared" si="298"/>
        <v>2029</v>
      </c>
      <c r="CY106" s="102">
        <f>CY42</f>
        <v>2030</v>
      </c>
      <c r="DB106" s="84"/>
      <c r="DC106" s="101">
        <f>DC42</f>
        <v>2026</v>
      </c>
      <c r="DD106" s="101">
        <f t="shared" ref="DD106:DF106" si="299">DD42</f>
        <v>2027</v>
      </c>
      <c r="DE106" s="101">
        <f t="shared" si="299"/>
        <v>2028</v>
      </c>
      <c r="DF106" s="101">
        <f t="shared" si="299"/>
        <v>2029</v>
      </c>
      <c r="DG106" s="102">
        <f>DG42</f>
        <v>2030</v>
      </c>
    </row>
    <row r="107" spans="2:111">
      <c r="B107" s="87" t="s">
        <v>170</v>
      </c>
      <c r="C107" s="109">
        <f ca="1">(C43*c_inicial)+(C43*c_on*12)+(C43*ci_int1)+(C43*(ct_int1+ca_int1)*'Time on treatment'!$D$12)</f>
        <v>13269140.432940962</v>
      </c>
      <c r="D107" s="109">
        <f ca="1">(D43*c_on*12)+(D43*(ct_int1+ca_int1)*'Time on treatment'!$E$12)</f>
        <v>0</v>
      </c>
      <c r="E107" s="109">
        <f ca="1">(E43*c_on*12)+(E43*(ct_int1+ca_int1)*'Time on treatment'!$F$12)</f>
        <v>0</v>
      </c>
      <c r="F107" s="109">
        <f ca="1">(F43*c_on*12)+(F43*(ct_int1+ca_int1)*'Time on treatment'!$G$12)</f>
        <v>0</v>
      </c>
      <c r="G107" s="110">
        <f ca="1">(G43*c_on*12)+(G43*(ct_int1+ca_int1)*'Time on treatment'!$H$12)</f>
        <v>0</v>
      </c>
      <c r="J107" s="87" t="s">
        <v>170</v>
      </c>
      <c r="K107" s="109">
        <f ca="1">(K43*c_inicial)+(K43*c_on*12)+(K43*ci_int2)+(K43*(ct_int2+ca_int2)*'Time on treatment'!$D$13)</f>
        <v>0</v>
      </c>
      <c r="L107" s="109">
        <f ca="1">(L43*c_on*12)+(L43*(ct_int2+ca_int2)*'Time on treatment'!$E$13)</f>
        <v>0</v>
      </c>
      <c r="M107" s="109">
        <f ca="1">(M43*c_on*12)+(M43*(ct_int2+ca_int2)*'Time on treatment'!$F$13)</f>
        <v>0</v>
      </c>
      <c r="N107" s="109">
        <f ca="1">(N43*c_on*12)+(N43*(ct_int2+ca_int2)*'Time on treatment'!$G$13)</f>
        <v>0</v>
      </c>
      <c r="O107" s="110">
        <f ca="1">(O43*c_on*12)+(O43*(ct_int2+ca_int2)*'Time on treatment'!$H$13)</f>
        <v>0</v>
      </c>
      <c r="R107" s="87" t="s">
        <v>170</v>
      </c>
      <c r="S107" s="109">
        <f ca="1">(S43*c_inicial)+(S43*c_on*12)+(S43*ci_int3)+(S43*(ct_int3+ca_int3)*'Time on treatment'!$D$14)</f>
        <v>0</v>
      </c>
      <c r="T107" s="109">
        <f ca="1">(T43*c_on*12)+(T43*(ct_int3+ca_int3)*'Time on treatment'!$E$14)</f>
        <v>0</v>
      </c>
      <c r="U107" s="109">
        <f ca="1">(U43*c_on*12)+(U43*(ct_int3+ca_int3)*'Time on treatment'!$F$14)</f>
        <v>0</v>
      </c>
      <c r="V107" s="109">
        <f ca="1">(V43*c_on*12)+(V43*(ct_int3+ca_int3)*'Time on treatment'!$G$14)</f>
        <v>0</v>
      </c>
      <c r="W107" s="110">
        <f ca="1">(W43*c_on*12)+(W43*(ct_int3+ca_int3)*'Time on treatment'!$H$14)</f>
        <v>0</v>
      </c>
      <c r="Z107" s="87" t="s">
        <v>170</v>
      </c>
      <c r="AA107" s="109">
        <f ca="1">(AA43*c_inicial)+(AA43*c_on*12)+(AA43*ci_int4)+(AA43*(ct_int4+ca_int4)*'Time on treatment'!$D$15)</f>
        <v>0</v>
      </c>
      <c r="AB107" s="109">
        <f ca="1">(AB43*c_on*12)+(AB43*(ct_int4+ca_int4)*'Time on treatment'!$E$15)</f>
        <v>0</v>
      </c>
      <c r="AC107" s="109">
        <f ca="1">(AC43*c_on*12)+(AC43*(ct_int4+ca_int4)*'Time on treatment'!$F$15)</f>
        <v>0</v>
      </c>
      <c r="AD107" s="109">
        <f ca="1">(AD43*c_on*12)+(AD43*(ct_int4+ca_int4)*'Time on treatment'!$G$15)</f>
        <v>0</v>
      </c>
      <c r="AE107" s="110">
        <f ca="1">(AE43*c_on*12)+(AE43*(ct_int4+ca_int4)*'Time on treatment'!$H$15)</f>
        <v>0</v>
      </c>
      <c r="AH107" s="87" t="s">
        <v>170</v>
      </c>
      <c r="AI107" s="109">
        <f ca="1">(AI43*c_inicial)+(AI43*c_on*12)+(AI43*ci_comp1)+(AI43*(ct_comp1+ca_comp1)*'Time on treatment'!$D$19)</f>
        <v>5213087.6890217941</v>
      </c>
      <c r="AJ107" s="109">
        <f ca="1">(AJ43*c_on*12)+(AJ43*(ct_comp1+ca_comp1)*'Time on treatment'!$E$19)</f>
        <v>5213087.6890217941</v>
      </c>
      <c r="AK107" s="109">
        <f ca="1">(AK43*c_on*12)+(AK43*(ct_comp1+ca_comp1)*'Time on treatment'!$F$19)</f>
        <v>5213087.6890217941</v>
      </c>
      <c r="AL107" s="109">
        <f ca="1">(AL43*c_on*12)+(AL43*(ct_comp1+ca_comp1)*'Time on treatment'!$G$19)</f>
        <v>5213087.6890217941</v>
      </c>
      <c r="AM107" s="110">
        <f ca="1">(AM43*c_on*12)+(AM43*(ct_comp1+ca_comp1)*'Time on treatment'!$H$19)</f>
        <v>5213087.6890217941</v>
      </c>
      <c r="AP107" s="87" t="s">
        <v>170</v>
      </c>
      <c r="AQ107" s="109">
        <f ca="1">(AQ43*c_inicial)+(AQ43*c_on*12)+(AQ43*ci_comp2)+(AQ43*(ct_comp2+ca_comp2)*'Time on treatment'!$D$20)</f>
        <v>0</v>
      </c>
      <c r="AR107" s="109">
        <f ca="1">(AR43*c_on*12)+(AR43*(ct_comp2+ca_comp2)*'Time on treatment'!$E$20)</f>
        <v>0</v>
      </c>
      <c r="AS107" s="109">
        <f ca="1">(AS43*c_on*12)+(AS43*(ct_comp2+ca_comp2)*'Time on treatment'!$F$20)</f>
        <v>0</v>
      </c>
      <c r="AT107" s="109">
        <f ca="1">(AT43*c_on*12)+(AT43*(ct_comp2+ca_comp2)*'Time on treatment'!$G$20)</f>
        <v>0</v>
      </c>
      <c r="AU107" s="110">
        <f ca="1">(AU43*c_on*12)+(AU43*(ct_comp2+ca_comp2)*'Time on treatment'!$H$20)</f>
        <v>0</v>
      </c>
      <c r="AX107" s="87" t="s">
        <v>170</v>
      </c>
      <c r="AY107" s="109">
        <f ca="1">(AY43*c_inicial)+(AY43*c_on*12)+(AY43*ci_comp3)+(AY43*(ct_comp3+ca_comp3)*'Time on treatment'!$D$21)</f>
        <v>0</v>
      </c>
      <c r="AZ107" s="109">
        <f ca="1">(AZ43*c_on*12)+(AZ43*(ct_comp3+ca_comp3)*'Time on treatment'!$E$21)</f>
        <v>0</v>
      </c>
      <c r="BA107" s="109">
        <f ca="1">(BA43*c_on*12)+(BA43*(ct_comp3+ca_comp3)*'Time on treatment'!$F$21)</f>
        <v>0</v>
      </c>
      <c r="BB107" s="109">
        <f ca="1">(BB43*c_on*12)+(BB43*(ct_comp3+ca_comp3)*'Time on treatment'!$G$21)</f>
        <v>0</v>
      </c>
      <c r="BC107" s="110">
        <f ca="1">(BC43*c_on*12)+(BC43*(ct_comp3+ca_comp3)*'Time on treatment'!$H$21)</f>
        <v>0</v>
      </c>
      <c r="BF107" s="87" t="s">
        <v>170</v>
      </c>
      <c r="BG107" s="109">
        <f ca="1">(BG43*c_inicial)+(BG43*c_on*12)+(BG43*ci_comp4)+(BG43*(ct_comp4+ca_comp4)*'Time on treatment'!$D$22)</f>
        <v>0</v>
      </c>
      <c r="BH107" s="109">
        <f ca="1">(BH43*c_on*12)+(BH43*(ct_comp4+ca_comp4)*'Time on treatment'!$E$22)</f>
        <v>0</v>
      </c>
      <c r="BI107" s="109">
        <f ca="1">(BI43*c_on*12)+(BI43*(ct_comp4+ca_comp4)*'Time on treatment'!$F$22)</f>
        <v>0</v>
      </c>
      <c r="BJ107" s="109">
        <f ca="1">(BJ43*c_on*12)+(BJ43*(ct_comp4+ca_comp4)*'Time on treatment'!$G$22)</f>
        <v>0</v>
      </c>
      <c r="BK107" s="110">
        <f ca="1">(BK43*c_on*12)+(BK43*(ct_comp4+ca_comp4)*'Time on treatment'!$H$22)</f>
        <v>0</v>
      </c>
      <c r="BN107" s="87" t="s">
        <v>170</v>
      </c>
      <c r="BO107" s="109">
        <f ca="1">(BO43*c_inicial)+(BO43*c_on*12)+(BO43*ci_comp5)+(BO43*(ct_comp5+ca_comp5)*'Time on treatment'!$D$23)</f>
        <v>0</v>
      </c>
      <c r="BP107" s="109">
        <f ca="1">(BP43*c_on*12)+(BP43*(ct_comp5+ca_comp5)*'Time on treatment'!$E$23)</f>
        <v>0</v>
      </c>
      <c r="BQ107" s="109">
        <f ca="1">(BQ43*c_on*12)+(BQ43*(ct_comp5+ca_comp5)*'Time on treatment'!$F$23)</f>
        <v>0</v>
      </c>
      <c r="BR107" s="109">
        <f ca="1">(BR43*c_on*12)+(BR43*(ct_comp5+ca_comp5)*'Time on treatment'!$G$23)</f>
        <v>0</v>
      </c>
      <c r="BS107" s="110">
        <f ca="1">(BS43*c_on*12)+(BS43*(ct_comp5+ca_comp5)*'Time on treatment'!$H$23)</f>
        <v>0</v>
      </c>
      <c r="BV107" s="87" t="s">
        <v>170</v>
      </c>
      <c r="BW107" s="109">
        <f ca="1">(BW43*c_inicial)+(BW43*c_on*12)+(BW43*ci_comp6)+(BW43*(ct_comp6+ca_comp6)*'Time on treatment'!$D$24)</f>
        <v>0</v>
      </c>
      <c r="BX107" s="109">
        <f ca="1">(BX43*c_on*12)+(BX43*(ct_comp6+ca_comp6)*'Time on treatment'!$E$24)</f>
        <v>0</v>
      </c>
      <c r="BY107" s="109">
        <f ca="1">(BY43*c_on*12)+(BY43*(ct_comp6+ca_comp6)*'Time on treatment'!$F$24)</f>
        <v>0</v>
      </c>
      <c r="BZ107" s="109">
        <f ca="1">(BZ43*c_on*12)+(BZ43*(ct_comp6+ca_comp6)*'Time on treatment'!$G$24)</f>
        <v>0</v>
      </c>
      <c r="CA107" s="110">
        <f ca="1">(CA43*c_on*12)+(CA43*(ct_comp6+ca_comp6)*'Time on treatment'!$H$24)</f>
        <v>0</v>
      </c>
      <c r="CD107" s="87" t="s">
        <v>170</v>
      </c>
      <c r="CE107" s="109">
        <f ca="1">(CE43*c_inicial)+(CE43*c_on*12)+(CE43*ci_comp7)+(CE43*(ct_comp7+ca_comp7)*'Time on treatment'!$D$25)</f>
        <v>0</v>
      </c>
      <c r="CF107" s="109">
        <f ca="1">(CF43*c_on*12)+(CF43*(ct_comp7+ca_comp7)*'Time on treatment'!$E$25)</f>
        <v>0</v>
      </c>
      <c r="CG107" s="109">
        <f ca="1">(CG43*c_on*12)+(CG43*(ct_comp7+ca_comp7)*'Time on treatment'!$F$25)</f>
        <v>0</v>
      </c>
      <c r="CH107" s="109">
        <f ca="1">(CH43*c_on*12)+(CH43*(ct_comp7+ca_comp7)*'Time on treatment'!$G$25)</f>
        <v>0</v>
      </c>
      <c r="CI107" s="110">
        <f ca="1">(CI43*c_on*12)+(CI43*(ct_comp7+ca_comp7)*'Time on treatment'!$H$25)</f>
        <v>0</v>
      </c>
      <c r="CL107" s="87" t="s">
        <v>170</v>
      </c>
      <c r="CM107" s="109">
        <f ca="1">(CM43*c_inicial)+(CM43*c_on*12)+(CM43*ci_comp8)+(CM43*(ct_comp8+ca_comp8)*'Time on treatment'!$D$26)</f>
        <v>0</v>
      </c>
      <c r="CN107" s="109">
        <f ca="1">(CN43*c_on*12)+(CN43*(ct_comp8+ca_comp8)*'Time on treatment'!$E$26)</f>
        <v>0</v>
      </c>
      <c r="CO107" s="109">
        <f ca="1">(CO43*c_on*12)+(CO43*(ct_comp8+ca_comp8)*'Time on treatment'!$F$26)</f>
        <v>0</v>
      </c>
      <c r="CP107" s="109">
        <f ca="1">(CP43*c_on*12)+(CP43*(ct_comp8+ca_comp8)*'Time on treatment'!$G$26)</f>
        <v>0</v>
      </c>
      <c r="CQ107" s="110">
        <f ca="1">(CQ43*c_on*12)+(CQ43*(ct_comp8+ca_comp8)*'Time on treatment'!$H$26)</f>
        <v>0</v>
      </c>
      <c r="CT107" s="87" t="s">
        <v>170</v>
      </c>
      <c r="CU107" s="109">
        <f ca="1">(CU43*c_inicial)+(CU43*c_on*12)+(CU43*ci_comp9)+(CU43*(ct_comp9+ca_comp9)*'Time on treatment'!$D$27)</f>
        <v>0</v>
      </c>
      <c r="CV107" s="109">
        <f ca="1">(CV43*c_on*12)+(CV43*(ct_comp9+ca_comp9)*'Time on treatment'!$E$27)</f>
        <v>0</v>
      </c>
      <c r="CW107" s="109">
        <f ca="1">(CW43*c_on*12)+(CW43*(ct_comp9+ca_comp9)*'Time on treatment'!$F$27)</f>
        <v>0</v>
      </c>
      <c r="CX107" s="109">
        <f ca="1">(CX43*c_on*12)+(CX43*(ct_comp9+ca_comp9)*'Time on treatment'!$G$27)</f>
        <v>0</v>
      </c>
      <c r="CY107" s="110">
        <f ca="1">(CY43*c_on*12)+(CY43*(ct_comp9+ca_comp9)*'Time on treatment'!$H$27)</f>
        <v>0</v>
      </c>
      <c r="DB107" s="87" t="s">
        <v>170</v>
      </c>
      <c r="DC107" s="109">
        <f ca="1">(DC43*c_inicial)+(DC43*c_on*12)+(DC43*ci_comp10)+(DC43*(ct_comp10+ca_comp10)*'Time on treatment'!$D$28)</f>
        <v>0</v>
      </c>
      <c r="DD107" s="109">
        <f ca="1">(DD43*c_on*12)+(DD43*(ct_comp10+ca_comp10)*'Time on treatment'!$E$28)</f>
        <v>0</v>
      </c>
      <c r="DE107" s="109">
        <f ca="1">(DE43*c_on*12)+(DE43*(ct_comp10+ca_comp10)*'Time on treatment'!$F$28)</f>
        <v>0</v>
      </c>
      <c r="DF107" s="109">
        <f ca="1">(DF43*c_on*12)+(DF43*(ct_comp10+ca_comp10)*'Time on treatment'!$G$28)</f>
        <v>0</v>
      </c>
      <c r="DG107" s="110">
        <f ca="1">(DG43*c_on*12)+(DG43*(ct_comp10+ca_comp10)*'Time on treatment'!$H$28)</f>
        <v>0</v>
      </c>
    </row>
    <row r="108" spans="2:111">
      <c r="B108" s="87" t="s">
        <v>175</v>
      </c>
      <c r="C108" s="109">
        <f>C44*c_off</f>
        <v>0</v>
      </c>
      <c r="D108" s="109">
        <f>D44*c_off</f>
        <v>0</v>
      </c>
      <c r="E108" s="109">
        <f>E44*c_off</f>
        <v>0</v>
      </c>
      <c r="F108" s="109">
        <f>F44*c_off</f>
        <v>0</v>
      </c>
      <c r="G108" s="110">
        <f>G44*c_off</f>
        <v>0</v>
      </c>
      <c r="J108" s="87" t="s">
        <v>175</v>
      </c>
      <c r="K108" s="109">
        <f>K44*c_off</f>
        <v>0</v>
      </c>
      <c r="L108" s="109">
        <f>L44*c_off</f>
        <v>0</v>
      </c>
      <c r="M108" s="109">
        <f>M44*c_off</f>
        <v>0</v>
      </c>
      <c r="N108" s="109">
        <f>N44*c_off</f>
        <v>0</v>
      </c>
      <c r="O108" s="110">
        <f>O44*c_off</f>
        <v>0</v>
      </c>
      <c r="R108" s="87" t="s">
        <v>175</v>
      </c>
      <c r="S108" s="109">
        <f>S44*c_off</f>
        <v>0</v>
      </c>
      <c r="T108" s="109">
        <f>T44*c_off</f>
        <v>0</v>
      </c>
      <c r="U108" s="109">
        <f>U44*c_off</f>
        <v>0</v>
      </c>
      <c r="V108" s="109">
        <f>V44*c_off</f>
        <v>0</v>
      </c>
      <c r="W108" s="110">
        <f>W44*c_off</f>
        <v>0</v>
      </c>
      <c r="Z108" s="87" t="s">
        <v>175</v>
      </c>
      <c r="AA108" s="109">
        <f>AA44*c_off</f>
        <v>0</v>
      </c>
      <c r="AB108" s="109">
        <f>AB44*c_off</f>
        <v>0</v>
      </c>
      <c r="AC108" s="109">
        <f>AC44*c_off</f>
        <v>0</v>
      </c>
      <c r="AD108" s="109">
        <f>AD44*c_off</f>
        <v>0</v>
      </c>
      <c r="AE108" s="110">
        <f>AE44*c_off</f>
        <v>0</v>
      </c>
      <c r="AH108" s="87" t="s">
        <v>175</v>
      </c>
      <c r="AI108" s="109">
        <f>AI44*c_off</f>
        <v>0</v>
      </c>
      <c r="AJ108" s="109">
        <f>AJ44*c_off</f>
        <v>0</v>
      </c>
      <c r="AK108" s="109">
        <f>AK44*c_off</f>
        <v>0</v>
      </c>
      <c r="AL108" s="109">
        <f>AL44*c_off</f>
        <v>0</v>
      </c>
      <c r="AM108" s="110">
        <f>AM44*c_off</f>
        <v>0</v>
      </c>
      <c r="AP108" s="87" t="s">
        <v>175</v>
      </c>
      <c r="AQ108" s="109">
        <f>AQ44*c_off</f>
        <v>0</v>
      </c>
      <c r="AR108" s="109">
        <f>AR44*c_off</f>
        <v>0</v>
      </c>
      <c r="AS108" s="109">
        <f>AS44*c_off</f>
        <v>0</v>
      </c>
      <c r="AT108" s="109">
        <f>AT44*c_off</f>
        <v>0</v>
      </c>
      <c r="AU108" s="110">
        <f>AU44*c_off</f>
        <v>0</v>
      </c>
      <c r="AX108" s="87" t="s">
        <v>175</v>
      </c>
      <c r="AY108" s="109">
        <f>AY44*c_off</f>
        <v>0</v>
      </c>
      <c r="AZ108" s="109">
        <f>AZ44*c_off</f>
        <v>0</v>
      </c>
      <c r="BA108" s="109">
        <f>BA44*c_off</f>
        <v>0</v>
      </c>
      <c r="BB108" s="109">
        <f>BB44*c_off</f>
        <v>0</v>
      </c>
      <c r="BC108" s="110">
        <f>BC44*c_off</f>
        <v>0</v>
      </c>
      <c r="BF108" s="87" t="s">
        <v>175</v>
      </c>
      <c r="BG108" s="109">
        <f>BG44*c_off</f>
        <v>0</v>
      </c>
      <c r="BH108" s="109">
        <f>BH44*c_off</f>
        <v>0</v>
      </c>
      <c r="BI108" s="109">
        <f>BI44*c_off</f>
        <v>0</v>
      </c>
      <c r="BJ108" s="109">
        <f>BJ44*c_off</f>
        <v>0</v>
      </c>
      <c r="BK108" s="110">
        <f>BK44*c_off</f>
        <v>0</v>
      </c>
      <c r="BN108" s="87" t="s">
        <v>175</v>
      </c>
      <c r="BO108" s="109">
        <f>BO44*c_off</f>
        <v>0</v>
      </c>
      <c r="BP108" s="109">
        <f>BP44*c_off</f>
        <v>0</v>
      </c>
      <c r="BQ108" s="109">
        <f>BQ44*c_off</f>
        <v>0</v>
      </c>
      <c r="BR108" s="109">
        <f>BR44*c_off</f>
        <v>0</v>
      </c>
      <c r="BS108" s="110">
        <f>BS44*c_off</f>
        <v>0</v>
      </c>
      <c r="BV108" s="87" t="s">
        <v>175</v>
      </c>
      <c r="BW108" s="109">
        <f>BW44*c_off</f>
        <v>0</v>
      </c>
      <c r="BX108" s="109">
        <f>BX44*c_off</f>
        <v>0</v>
      </c>
      <c r="BY108" s="109">
        <f>BY44*c_off</f>
        <v>0</v>
      </c>
      <c r="BZ108" s="109">
        <f>BZ44*c_off</f>
        <v>0</v>
      </c>
      <c r="CA108" s="110">
        <f>CA44*c_off</f>
        <v>0</v>
      </c>
      <c r="CD108" s="87" t="s">
        <v>175</v>
      </c>
      <c r="CE108" s="109">
        <f>CE44*c_off</f>
        <v>0</v>
      </c>
      <c r="CF108" s="109">
        <f>CF44*c_off</f>
        <v>0</v>
      </c>
      <c r="CG108" s="109">
        <f>CG44*c_off</f>
        <v>0</v>
      </c>
      <c r="CH108" s="109">
        <f>CH44*c_off</f>
        <v>0</v>
      </c>
      <c r="CI108" s="110">
        <f>CI44*c_off</f>
        <v>0</v>
      </c>
      <c r="CL108" s="87" t="s">
        <v>175</v>
      </c>
      <c r="CM108" s="109">
        <f>CM44*c_off</f>
        <v>0</v>
      </c>
      <c r="CN108" s="109">
        <f>CN44*c_off</f>
        <v>0</v>
      </c>
      <c r="CO108" s="109">
        <f>CO44*c_off</f>
        <v>0</v>
      </c>
      <c r="CP108" s="109">
        <f>CP44*c_off</f>
        <v>0</v>
      </c>
      <c r="CQ108" s="110">
        <f>CQ44*c_off</f>
        <v>0</v>
      </c>
      <c r="CT108" s="87" t="s">
        <v>175</v>
      </c>
      <c r="CU108" s="109">
        <f>CU44*c_off</f>
        <v>0</v>
      </c>
      <c r="CV108" s="109">
        <f>CV44*c_off</f>
        <v>0</v>
      </c>
      <c r="CW108" s="109">
        <f>CW44*c_off</f>
        <v>0</v>
      </c>
      <c r="CX108" s="109">
        <f>CX44*c_off</f>
        <v>0</v>
      </c>
      <c r="CY108" s="110">
        <f>CY44*c_off</f>
        <v>0</v>
      </c>
      <c r="DB108" s="87" t="s">
        <v>175</v>
      </c>
      <c r="DC108" s="109">
        <f>DC44*c_off</f>
        <v>0</v>
      </c>
      <c r="DD108" s="109">
        <f>DD44*c_off</f>
        <v>0</v>
      </c>
      <c r="DE108" s="109">
        <f>DE44*c_off</f>
        <v>0</v>
      </c>
      <c r="DF108" s="109">
        <f>DF44*c_off</f>
        <v>0</v>
      </c>
      <c r="DG108" s="110">
        <f>DG44*c_off</f>
        <v>0</v>
      </c>
    </row>
    <row r="109" spans="2:111">
      <c r="B109" s="87" t="s">
        <v>171</v>
      </c>
      <c r="C109" s="111"/>
      <c r="D109" s="109">
        <f ca="1">(D45*c_inicial)+(D45*c_on*12)+(D45*ci_int1)+(D45*(ct_int1+ca_int1)*'Time on treatment'!$D$12)</f>
        <v>26442645.347635079</v>
      </c>
      <c r="E109" s="109">
        <f ca="1">(E45*c_on*12)+(E45*(ct_int1+ca_int1)*'Time on treatment'!$E$12)</f>
        <v>0</v>
      </c>
      <c r="F109" s="109">
        <f ca="1">(F45*c_on*12)+(F45*(ct_int1+ca_int1)*'Time on treatment'!$F$12)</f>
        <v>0</v>
      </c>
      <c r="G109" s="110">
        <f ca="1">(G45*c_on*12)+(G45*(ct_int1+ca_int1)*'Time on treatment'!$G$12)</f>
        <v>0</v>
      </c>
      <c r="J109" s="87" t="s">
        <v>171</v>
      </c>
      <c r="K109" s="111"/>
      <c r="L109" s="109">
        <f ca="1">(L45*c_inicial)+(L45*c_on*12)+(L45*ci_int2)+(L45*(ct_int2+ca_int2)*'Time on treatment'!$D$13)</f>
        <v>0</v>
      </c>
      <c r="M109" s="109">
        <f ca="1">(M45*c_on*12)+(M45*(ct_int2+ca_int2)*'Time on treatment'!$E$13)</f>
        <v>0</v>
      </c>
      <c r="N109" s="109">
        <f ca="1">(N45*c_on*12)+(N45*(ct_int2+ca_int2)*'Time on treatment'!$F$13)</f>
        <v>0</v>
      </c>
      <c r="O109" s="110">
        <f ca="1">(O45*c_on*12)+(O45*(ct_int2+ca_int2)*'Time on treatment'!$G$13)</f>
        <v>0</v>
      </c>
      <c r="R109" s="87" t="s">
        <v>171</v>
      </c>
      <c r="S109" s="111"/>
      <c r="T109" s="109">
        <f ca="1">(T45*c_inicial)+(T45*c_on*12)+(T45*ci_int3)+(T45*(ct_int3+ca_int3)*'Time on treatment'!$D$14)</f>
        <v>0</v>
      </c>
      <c r="U109" s="109">
        <f ca="1">(U45*c_on*12)+(U45*(ct_int3+ca_int3)*'Time on treatment'!$E$14)</f>
        <v>0</v>
      </c>
      <c r="V109" s="109">
        <f ca="1">(V45*c_on*12)+(V45*(ct_int3+ca_int3)*'Time on treatment'!$F$14)</f>
        <v>0</v>
      </c>
      <c r="W109" s="110">
        <f ca="1">(W45*c_on*12)+(W45*(ct_int3+ca_int3)*'Time on treatment'!$G$14)</f>
        <v>0</v>
      </c>
      <c r="Z109" s="87" t="s">
        <v>171</v>
      </c>
      <c r="AA109" s="111"/>
      <c r="AB109" s="109">
        <f ca="1">(AB45*c_inicial)+(AB45*c_on*12)+(AB45*ci_int4)+(AB45*(ct_int4+ca_int4)*'Time on treatment'!$D$15)</f>
        <v>0</v>
      </c>
      <c r="AC109" s="109">
        <f ca="1">(AC45*c_on*12)+(AC45*(ct_int4+ca_int4)*'Time on treatment'!$E$15)</f>
        <v>0</v>
      </c>
      <c r="AD109" s="109">
        <f ca="1">(AD45*c_on*12)+(AD45*(ct_int4+ca_int4)*'Time on treatment'!$F$15)</f>
        <v>0</v>
      </c>
      <c r="AE109" s="110">
        <f ca="1">(AE45*c_on*12)+(AE45*(ct_int4+ca_int4)*'Time on treatment'!$G$15)</f>
        <v>0</v>
      </c>
      <c r="AH109" s="87" t="s">
        <v>171</v>
      </c>
      <c r="AI109" s="111"/>
      <c r="AJ109" s="109">
        <f ca="1">(AJ45*c_inicial)+(AJ45*c_on*12)+(AJ45*ci_comp1)+(AJ45*(ct_comp1+ca_comp1)*'Time on treatment'!$D$19)</f>
        <v>4920917.0969294868</v>
      </c>
      <c r="AK109" s="109">
        <f ca="1">(AK45*c_on*12)+(AK45*(ct_comp1+ca_comp1)*'Time on treatment'!$E$19)</f>
        <v>4920917.0969294868</v>
      </c>
      <c r="AL109" s="109">
        <f ca="1">(AL45*c_on*12)+(AL45*(ct_comp1+ca_comp1)*'Time on treatment'!$F$19)</f>
        <v>4920917.0969294868</v>
      </c>
      <c r="AM109" s="110">
        <f ca="1">(AM45*c_on*12)+(AM45*(ct_comp1+ca_comp1)*'Time on treatment'!$G$19)</f>
        <v>4920917.0969294868</v>
      </c>
      <c r="AP109" s="87" t="s">
        <v>171</v>
      </c>
      <c r="AQ109" s="111"/>
      <c r="AR109" s="109">
        <f ca="1">(AR45*c_inicial)+(AR45*c_on*12)+(AR45*ci_comp2)+(AR45*(ct_comp2+ca_comp2)*'Time on treatment'!$D$20)</f>
        <v>0</v>
      </c>
      <c r="AS109" s="109">
        <f ca="1">(AS45*c_on*12)+(AS45*(ct_comp2+ca_comp2)*'Time on treatment'!$E$20)</f>
        <v>0</v>
      </c>
      <c r="AT109" s="109">
        <f ca="1">(AT45*c_on*12)+(AT45*(ct_comp2+ca_comp2)*'Time on treatment'!$F$20)</f>
        <v>0</v>
      </c>
      <c r="AU109" s="110">
        <f ca="1">(AU45*c_on*12)+(AU45*(ct_comp2+ca_comp2)*'Time on treatment'!$G$20)</f>
        <v>0</v>
      </c>
      <c r="AX109" s="87" t="s">
        <v>171</v>
      </c>
      <c r="AY109" s="111"/>
      <c r="AZ109" s="109">
        <f ca="1">(AZ45*c_inicial)+(AZ45*c_on*12)+(AZ45*ci_comp3)+(AZ45*(ct_comp3+ca_comp3)*'Time on treatment'!$D$21)</f>
        <v>0</v>
      </c>
      <c r="BA109" s="109">
        <f ca="1">(BA45*c_on*12)+(BA45*(ct_comp3+ca_comp3)*'Time on treatment'!$E$21)</f>
        <v>0</v>
      </c>
      <c r="BB109" s="109">
        <f ca="1">(BB45*c_on*12)+(BB45*(ct_comp3+ca_comp3)*'Time on treatment'!$F$21)</f>
        <v>0</v>
      </c>
      <c r="BC109" s="110">
        <f ca="1">(BC45*c_on*12)+(BC45*(ct_comp3+ca_comp3)*'Time on treatment'!$G$21)</f>
        <v>0</v>
      </c>
      <c r="BF109" s="87" t="s">
        <v>171</v>
      </c>
      <c r="BG109" s="111"/>
      <c r="BH109" s="109">
        <f ca="1">(BH45*c_inicial)+(BH45*c_on*12)+(BH45*ci_comp4)+(BH45*(ct_comp4+ca_comp4)*'Time on treatment'!$D$22)</f>
        <v>0</v>
      </c>
      <c r="BI109" s="109">
        <f ca="1">(BI45*c_on*12)+(BI45*(ct_comp4+ca_comp4)*'Time on treatment'!$E$22)</f>
        <v>0</v>
      </c>
      <c r="BJ109" s="109">
        <f ca="1">(BJ45*c_on*12)+(BJ45*(ct_comp4+ca_comp4)*'Time on treatment'!$F$22)</f>
        <v>0</v>
      </c>
      <c r="BK109" s="110">
        <f ca="1">(BK45*c_on*12)+(BK45*(ct_comp4+ca_comp4)*'Time on treatment'!$G$22)</f>
        <v>0</v>
      </c>
      <c r="BN109" s="87" t="s">
        <v>171</v>
      </c>
      <c r="BO109" s="111"/>
      <c r="BP109" s="109">
        <f ca="1">(BP45*c_inicial)+(BP45*c_on*12)+(BP45*ci_comp5)+(BP45*(ct_comp5+ca_comp5)*'Time on treatment'!$D$23)</f>
        <v>0</v>
      </c>
      <c r="BQ109" s="109">
        <f ca="1">(BQ45*c_on*12)+(BQ45*(ct_comp5+ca_comp5)*'Time on treatment'!$E$23)</f>
        <v>0</v>
      </c>
      <c r="BR109" s="109">
        <f ca="1">(BR45*c_on*12)+(BR45*(ct_comp5+ca_comp5)*'Time on treatment'!$F$23)</f>
        <v>0</v>
      </c>
      <c r="BS109" s="110">
        <f ca="1">(BS45*c_on*12)+(BS45*(ct_comp5+ca_comp5)*'Time on treatment'!$G$23)</f>
        <v>0</v>
      </c>
      <c r="BV109" s="87" t="s">
        <v>171</v>
      </c>
      <c r="BW109" s="111"/>
      <c r="BX109" s="109">
        <f ca="1">(BX45*c_inicial)+(BX45*c_on*12)+(BX45*ci_comp6)+(BX45*(ct_comp6+ca_comp6)*'Time on treatment'!$D$24)</f>
        <v>0</v>
      </c>
      <c r="BY109" s="109">
        <f ca="1">(BY45*c_on*12)+(BY45*(ct_comp6+ca_comp6)*'Time on treatment'!$E$24)</f>
        <v>0</v>
      </c>
      <c r="BZ109" s="109">
        <f ca="1">(BZ45*c_on*12)+(BZ45*(ct_comp6+ca_comp6)*'Time on treatment'!$F$24)</f>
        <v>0</v>
      </c>
      <c r="CA109" s="110">
        <f ca="1">(CA45*c_on*12)+(CA45*(ct_comp6+ca_comp6)*'Time on treatment'!$G$24)</f>
        <v>0</v>
      </c>
      <c r="CD109" s="87" t="s">
        <v>171</v>
      </c>
      <c r="CE109" s="111"/>
      <c r="CF109" s="109">
        <f ca="1">(CF45*c_inicial)+(CF45*c_on*12)+(CF45*ci_comp7)+(CF45*(ct_comp7+ca_comp7)*'Time on treatment'!$D$25)</f>
        <v>0</v>
      </c>
      <c r="CG109" s="109">
        <f ca="1">(CG45*c_on*12)+(CG45*(ct_comp7+ca_comp7)*'Time on treatment'!$E$25)</f>
        <v>0</v>
      </c>
      <c r="CH109" s="109">
        <f ca="1">(CH45*c_on*12)+(CH45*(ct_comp7+ca_comp7)*'Time on treatment'!$F$25)</f>
        <v>0</v>
      </c>
      <c r="CI109" s="110">
        <f ca="1">(CI45*c_on*12)+(CI45*(ct_comp7+ca_comp7)*'Time on treatment'!$G$25)</f>
        <v>0</v>
      </c>
      <c r="CL109" s="87" t="s">
        <v>171</v>
      </c>
      <c r="CM109" s="111"/>
      <c r="CN109" s="109">
        <f ca="1">(CN45*c_inicial)+(CN45*c_on*12)+(CN45*ci_comp8)+(CN45*(ct_comp8+ca_comp8)*'Time on treatment'!$D$26)</f>
        <v>0</v>
      </c>
      <c r="CO109" s="109">
        <f ca="1">(CO45*c_on*12)+(CO45*(ct_comp8+ca_comp8)*'Time on treatment'!$E$26)</f>
        <v>0</v>
      </c>
      <c r="CP109" s="109">
        <f ca="1">(CP45*c_on*12)+(CP45*(ct_comp8+ca_comp8)*'Time on treatment'!$F$26)</f>
        <v>0</v>
      </c>
      <c r="CQ109" s="110">
        <f ca="1">(CQ45*c_on*12)+(CQ45*(ct_comp8+ca_comp8)*'Time on treatment'!$G$26)</f>
        <v>0</v>
      </c>
      <c r="CT109" s="87" t="s">
        <v>171</v>
      </c>
      <c r="CU109" s="111"/>
      <c r="CV109" s="109">
        <f ca="1">(CV45*c_inicial)+(CV45*c_on*12)+(CV45*ci_comp9)+(CV45*(ct_comp9+ca_comp9)*'Time on treatment'!$D$27)</f>
        <v>0</v>
      </c>
      <c r="CW109" s="109">
        <f ca="1">(CW45*c_on*12)+(CW45*(ct_comp9+ca_comp9)*'Time on treatment'!$E$27)</f>
        <v>0</v>
      </c>
      <c r="CX109" s="109">
        <f ca="1">(CX45*c_on*12)+(CX45*(ct_comp9+ca_comp9)*'Time on treatment'!$F$27)</f>
        <v>0</v>
      </c>
      <c r="CY109" s="110">
        <f ca="1">(CY45*c_on*12)+(CY45*(ct_comp9+ca_comp9)*'Time on treatment'!$G$27)</f>
        <v>0</v>
      </c>
      <c r="DB109" s="87" t="s">
        <v>171</v>
      </c>
      <c r="DC109" s="111"/>
      <c r="DD109" s="109">
        <f ca="1">(DD45*c_inicial)+(DD45*c_on*12)+(DD45*ci_comp10)+(DD45*(ct_comp10+ca_comp10)*'Time on treatment'!$D$28)</f>
        <v>0</v>
      </c>
      <c r="DE109" s="109">
        <f ca="1">(DE45*c_on*12)+(DE45*(ct_comp10+ca_comp10)*'Time on treatment'!$E$28)</f>
        <v>0</v>
      </c>
      <c r="DF109" s="109">
        <f ca="1">(DF45*c_on*12)+(DF45*(ct_comp10+ca_comp10)*'Time on treatment'!$F$28)</f>
        <v>0</v>
      </c>
      <c r="DG109" s="110">
        <f ca="1">(DG45*c_on*12)+(DG45*(ct_comp10+ca_comp10)*'Time on treatment'!$G$28)</f>
        <v>0</v>
      </c>
    </row>
    <row r="110" spans="2:111">
      <c r="B110" s="87" t="s">
        <v>176</v>
      </c>
      <c r="C110" s="111"/>
      <c r="D110" s="109">
        <f>D46*c_off</f>
        <v>0</v>
      </c>
      <c r="E110" s="109">
        <f>E46*c_off</f>
        <v>0</v>
      </c>
      <c r="F110" s="109">
        <f>F46*c_off</f>
        <v>0</v>
      </c>
      <c r="G110" s="110">
        <f>G46*c_off</f>
        <v>0</v>
      </c>
      <c r="J110" s="87" t="s">
        <v>176</v>
      </c>
      <c r="K110" s="111"/>
      <c r="L110" s="109">
        <f>L46*c_off</f>
        <v>0</v>
      </c>
      <c r="M110" s="109">
        <f>M46*c_off</f>
        <v>0</v>
      </c>
      <c r="N110" s="109">
        <f>N46*c_off</f>
        <v>0</v>
      </c>
      <c r="O110" s="110">
        <f>O46*c_off</f>
        <v>0</v>
      </c>
      <c r="R110" s="87" t="s">
        <v>176</v>
      </c>
      <c r="S110" s="111"/>
      <c r="T110" s="109">
        <f>T46*c_off</f>
        <v>0</v>
      </c>
      <c r="U110" s="109">
        <f>U46*c_off</f>
        <v>0</v>
      </c>
      <c r="V110" s="109">
        <f>V46*c_off</f>
        <v>0</v>
      </c>
      <c r="W110" s="110">
        <f>W46*c_off</f>
        <v>0</v>
      </c>
      <c r="Z110" s="87" t="s">
        <v>176</v>
      </c>
      <c r="AA110" s="111"/>
      <c r="AB110" s="109">
        <f>AB46*c_off</f>
        <v>0</v>
      </c>
      <c r="AC110" s="109">
        <f>AC46*c_off</f>
        <v>0</v>
      </c>
      <c r="AD110" s="109">
        <f>AD46*c_off</f>
        <v>0</v>
      </c>
      <c r="AE110" s="110">
        <f>AE46*c_off</f>
        <v>0</v>
      </c>
      <c r="AH110" s="87" t="s">
        <v>176</v>
      </c>
      <c r="AI110" s="111"/>
      <c r="AJ110" s="109">
        <f>AJ46*c_off</f>
        <v>0</v>
      </c>
      <c r="AK110" s="109">
        <f>AK46*c_off</f>
        <v>0</v>
      </c>
      <c r="AL110" s="109">
        <f>AL46*c_off</f>
        <v>0</v>
      </c>
      <c r="AM110" s="110">
        <f>AM46*c_off</f>
        <v>0</v>
      </c>
      <c r="AP110" s="87" t="s">
        <v>176</v>
      </c>
      <c r="AQ110" s="111"/>
      <c r="AR110" s="109">
        <f>AR46*c_off</f>
        <v>0</v>
      </c>
      <c r="AS110" s="109">
        <f>AS46*c_off</f>
        <v>0</v>
      </c>
      <c r="AT110" s="109">
        <f>AT46*c_off</f>
        <v>0</v>
      </c>
      <c r="AU110" s="110">
        <f>AU46*c_off</f>
        <v>0</v>
      </c>
      <c r="AX110" s="87" t="s">
        <v>176</v>
      </c>
      <c r="AY110" s="111"/>
      <c r="AZ110" s="109">
        <f>AZ46*c_off</f>
        <v>0</v>
      </c>
      <c r="BA110" s="109">
        <f>BA46*c_off</f>
        <v>0</v>
      </c>
      <c r="BB110" s="109">
        <f>BB46*c_off</f>
        <v>0</v>
      </c>
      <c r="BC110" s="110">
        <f>BC46*c_off</f>
        <v>0</v>
      </c>
      <c r="BF110" s="87" t="s">
        <v>176</v>
      </c>
      <c r="BG110" s="111"/>
      <c r="BH110" s="109">
        <f>BH46*c_off</f>
        <v>0</v>
      </c>
      <c r="BI110" s="109">
        <f>BI46*c_off</f>
        <v>0</v>
      </c>
      <c r="BJ110" s="109">
        <f>BJ46*c_off</f>
        <v>0</v>
      </c>
      <c r="BK110" s="110">
        <f>BK46*c_off</f>
        <v>0</v>
      </c>
      <c r="BN110" s="87" t="s">
        <v>176</v>
      </c>
      <c r="BO110" s="111"/>
      <c r="BP110" s="109">
        <f>BP46*c_off</f>
        <v>0</v>
      </c>
      <c r="BQ110" s="109">
        <f>BQ46*c_off</f>
        <v>0</v>
      </c>
      <c r="BR110" s="109">
        <f>BR46*c_off</f>
        <v>0</v>
      </c>
      <c r="BS110" s="110">
        <f>BS46*c_off</f>
        <v>0</v>
      </c>
      <c r="BV110" s="87" t="s">
        <v>176</v>
      </c>
      <c r="BW110" s="111"/>
      <c r="BX110" s="109">
        <f>BX46*c_off</f>
        <v>0</v>
      </c>
      <c r="BY110" s="109">
        <f>BY46*c_off</f>
        <v>0</v>
      </c>
      <c r="BZ110" s="109">
        <f>BZ46*c_off</f>
        <v>0</v>
      </c>
      <c r="CA110" s="110">
        <f>CA46*c_off</f>
        <v>0</v>
      </c>
      <c r="CD110" s="87" t="s">
        <v>176</v>
      </c>
      <c r="CE110" s="111"/>
      <c r="CF110" s="109">
        <f>CF46*c_off</f>
        <v>0</v>
      </c>
      <c r="CG110" s="109">
        <f>CG46*c_off</f>
        <v>0</v>
      </c>
      <c r="CH110" s="109">
        <f>CH46*c_off</f>
        <v>0</v>
      </c>
      <c r="CI110" s="110">
        <f>CI46*c_off</f>
        <v>0</v>
      </c>
      <c r="CL110" s="87" t="s">
        <v>176</v>
      </c>
      <c r="CM110" s="111"/>
      <c r="CN110" s="109">
        <f>CN46*c_off</f>
        <v>0</v>
      </c>
      <c r="CO110" s="109">
        <f>CO46*c_off</f>
        <v>0</v>
      </c>
      <c r="CP110" s="109">
        <f>CP46*c_off</f>
        <v>0</v>
      </c>
      <c r="CQ110" s="110">
        <f>CQ46*c_off</f>
        <v>0</v>
      </c>
      <c r="CT110" s="87" t="s">
        <v>176</v>
      </c>
      <c r="CU110" s="111"/>
      <c r="CV110" s="109">
        <f>CV46*c_off</f>
        <v>0</v>
      </c>
      <c r="CW110" s="109">
        <f>CW46*c_off</f>
        <v>0</v>
      </c>
      <c r="CX110" s="109">
        <f>CX46*c_off</f>
        <v>0</v>
      </c>
      <c r="CY110" s="110">
        <f>CY46*c_off</f>
        <v>0</v>
      </c>
      <c r="DB110" s="87" t="s">
        <v>176</v>
      </c>
      <c r="DC110" s="111"/>
      <c r="DD110" s="109">
        <f>DD46*c_off</f>
        <v>0</v>
      </c>
      <c r="DE110" s="109">
        <f>DE46*c_off</f>
        <v>0</v>
      </c>
      <c r="DF110" s="109">
        <f>DF46*c_off</f>
        <v>0</v>
      </c>
      <c r="DG110" s="110">
        <f>DG46*c_off</f>
        <v>0</v>
      </c>
    </row>
    <row r="111" spans="2:111">
      <c r="B111" s="87" t="s">
        <v>172</v>
      </c>
      <c r="C111" s="111"/>
      <c r="D111" s="111"/>
      <c r="E111" s="109">
        <f ca="1">(E47*c_inicial)+(E47*c_on*12)+(E47*ci_int1)+(E47*(ct_int1+ca_int1)*'Time on treatment'!$D$12)</f>
        <v>39508830.334991291</v>
      </c>
      <c r="F111" s="109">
        <f ca="1">(F47*c_on*12)+(F47*(ct_int1+ca_int1)*'Time on treatment'!$E$12)</f>
        <v>0</v>
      </c>
      <c r="G111" s="110">
        <f ca="1">(G47*c_on*12)+(G47*(ct_int1+ca_int1)*'Time on treatment'!$F$12)</f>
        <v>0</v>
      </c>
      <c r="J111" s="87" t="s">
        <v>172</v>
      </c>
      <c r="K111" s="111"/>
      <c r="L111" s="111"/>
      <c r="M111" s="109">
        <f ca="1">(M47*c_inicial)+(M47*c_on*12)+(M47*ci_int2)+(M47*(ct_int2+ca_int2)*'Time on treatment'!$D$13)</f>
        <v>0</v>
      </c>
      <c r="N111" s="109">
        <f ca="1">(N47*c_on*12)+(N47*(ct_int2+ca_int2)*'Time on treatment'!$E$13)</f>
        <v>0</v>
      </c>
      <c r="O111" s="110">
        <f ca="1">(O47*c_on*12)+(O47*(ct_int2+ca_int2)*'Time on treatment'!$F$13)</f>
        <v>0</v>
      </c>
      <c r="R111" s="87" t="s">
        <v>172</v>
      </c>
      <c r="S111" s="111"/>
      <c r="T111" s="111"/>
      <c r="U111" s="109">
        <f ca="1">(U47*c_inicial)+(U47*c_on*12)+(U47*ci_int3)+(U47*(ct_int3+ca_int3)*'Time on treatment'!$D$14)</f>
        <v>0</v>
      </c>
      <c r="V111" s="109">
        <f ca="1">(V47*c_on*12)+(V47*(ct_int3+ca_int3)*'Time on treatment'!$E$14)</f>
        <v>0</v>
      </c>
      <c r="W111" s="110">
        <f ca="1">(W47*c_on*12)+(W47*(ct_int3+ca_int3)*'Time on treatment'!$F$14)</f>
        <v>0</v>
      </c>
      <c r="Z111" s="87" t="s">
        <v>172</v>
      </c>
      <c r="AA111" s="111"/>
      <c r="AB111" s="111"/>
      <c r="AC111" s="109">
        <f ca="1">(AC47*c_inicial)+(AC47*c_on*12)+(AC47*ci_int4)+(AC47*(ct_int4+ca_int4)*'Time on treatment'!$D$15)</f>
        <v>0</v>
      </c>
      <c r="AD111" s="109">
        <f ca="1">(AD47*c_on*12)+(AD47*(ct_int4+ca_int4)*'Time on treatment'!$E$15)</f>
        <v>0</v>
      </c>
      <c r="AE111" s="110">
        <f ca="1">(AE47*c_on*12)+(AE47*(ct_int4+ca_int4)*'Time on treatment'!$F$15)</f>
        <v>0</v>
      </c>
      <c r="AH111" s="87" t="s">
        <v>172</v>
      </c>
      <c r="AI111" s="111"/>
      <c r="AJ111" s="111"/>
      <c r="AK111" s="109">
        <f ca="1">(AK47*c_inicial)+(AK47*c_on*12)+(AK47*ci_comp1)+(AK47*(ct_comp1+ca_comp1)*'Time on treatment'!$D$19)</f>
        <v>4629354.917695147</v>
      </c>
      <c r="AL111" s="109">
        <f ca="1">(AL47*c_on*12)+(AL47*(ct_comp1+ca_comp1)*'Time on treatment'!$E$19)</f>
        <v>4629354.917695147</v>
      </c>
      <c r="AM111" s="110">
        <f ca="1">(AM47*c_on*12)+(AM47*(ct_comp1+ca_comp1)*'Time on treatment'!$F$19)</f>
        <v>4629354.917695147</v>
      </c>
      <c r="AP111" s="87" t="s">
        <v>172</v>
      </c>
      <c r="AQ111" s="111"/>
      <c r="AR111" s="111"/>
      <c r="AS111" s="109">
        <f ca="1">(AS47*c_inicial)+(AS47*c_on*12)+(AS47*ci_comp2)+(AS47*(ct_comp2+ca_comp2)*'Time on treatment'!$D$20)</f>
        <v>0</v>
      </c>
      <c r="AT111" s="109">
        <f ca="1">(AT47*c_on*12)+(AT47*(ct_comp2+ca_comp2)*'Time on treatment'!$E$20)</f>
        <v>0</v>
      </c>
      <c r="AU111" s="110">
        <f ca="1">(AU47*c_on*12)+(AU47*(ct_comp2+ca_comp2)*'Time on treatment'!$F$20)</f>
        <v>0</v>
      </c>
      <c r="AX111" s="87" t="s">
        <v>172</v>
      </c>
      <c r="AY111" s="111"/>
      <c r="AZ111" s="111"/>
      <c r="BA111" s="109">
        <f ca="1">(BA47*c_inicial)+(BA47*c_on*12)+(BA47*ci_comp3)+(BA47*(ct_comp3+ca_comp3)*'Time on treatment'!$D$21)</f>
        <v>0</v>
      </c>
      <c r="BB111" s="109">
        <f ca="1">(BB47*c_on*12)+(BB47*(ct_comp3+ca_comp3)*'Time on treatment'!$E$21)</f>
        <v>0</v>
      </c>
      <c r="BC111" s="110">
        <f ca="1">(BC47*c_on*12)+(BC47*(ct_comp3+ca_comp3)*'Time on treatment'!$F$21)</f>
        <v>0</v>
      </c>
      <c r="BF111" s="87" t="s">
        <v>172</v>
      </c>
      <c r="BG111" s="111"/>
      <c r="BH111" s="111"/>
      <c r="BI111" s="109">
        <f ca="1">(BI47*c_inicial)+(BI47*c_on*12)+(BI47*ci_comp4)+(BI47*(ct_comp4+ca_comp4)*'Time on treatment'!$D$22)</f>
        <v>0</v>
      </c>
      <c r="BJ111" s="109">
        <f ca="1">(BJ47*c_on*12)+(BJ47*(ct_comp4+ca_comp4)*'Time on treatment'!$E$22)</f>
        <v>0</v>
      </c>
      <c r="BK111" s="110">
        <f ca="1">(BK47*c_on*12)+(BK47*(ct_comp4+ca_comp4)*'Time on treatment'!$F$22)</f>
        <v>0</v>
      </c>
      <c r="BN111" s="87" t="s">
        <v>172</v>
      </c>
      <c r="BO111" s="111"/>
      <c r="BP111" s="111"/>
      <c r="BQ111" s="109">
        <f ca="1">(BQ47*c_inicial)+(BQ47*c_on*12)+(BQ47*ci_comp5)+(BQ47*(ct_comp5+ca_comp5)*'Time on treatment'!$D$23)</f>
        <v>0</v>
      </c>
      <c r="BR111" s="109">
        <f ca="1">(BR47*c_on*12)+(BR47*(ct_comp5+ca_comp5)*'Time on treatment'!$E$23)</f>
        <v>0</v>
      </c>
      <c r="BS111" s="110">
        <f ca="1">(BS47*c_on*12)+(BS47*(ct_comp5+ca_comp5)*'Time on treatment'!$F$23)</f>
        <v>0</v>
      </c>
      <c r="BV111" s="87" t="s">
        <v>172</v>
      </c>
      <c r="BW111" s="111"/>
      <c r="BX111" s="111"/>
      <c r="BY111" s="109">
        <f ca="1">(BY47*c_inicial)+(BY47*c_on*12)+(BY47*ci_comp6)+(BY47*(ct_comp6+ca_comp6)*'Time on treatment'!$D$24)</f>
        <v>0</v>
      </c>
      <c r="BZ111" s="109">
        <f ca="1">(BZ47*c_on*12)+(BZ47*(ct_comp6+ca_comp6)*'Time on treatment'!$E$24)</f>
        <v>0</v>
      </c>
      <c r="CA111" s="110">
        <f ca="1">(CA47*c_on*12)+(CA47*(ct_comp6+ca_comp6)*'Time on treatment'!$F$24)</f>
        <v>0</v>
      </c>
      <c r="CD111" s="87" t="s">
        <v>172</v>
      </c>
      <c r="CE111" s="111"/>
      <c r="CF111" s="111"/>
      <c r="CG111" s="109">
        <f ca="1">(CG47*c_inicial)+(CG47*c_on*12)+(CG47*ci_comp7)+(CG47*(ct_comp7+ca_comp7)*'Time on treatment'!$D$25)</f>
        <v>0</v>
      </c>
      <c r="CH111" s="109">
        <f ca="1">(CH47*c_on*12)+(CH47*(ct_comp7+ca_comp7)*'Time on treatment'!$E$25)</f>
        <v>0</v>
      </c>
      <c r="CI111" s="110">
        <f ca="1">(CI47*c_on*12)+(CI47*(ct_comp7+ca_comp7)*'Time on treatment'!$F$25)</f>
        <v>0</v>
      </c>
      <c r="CL111" s="87" t="s">
        <v>172</v>
      </c>
      <c r="CM111" s="111"/>
      <c r="CN111" s="111"/>
      <c r="CO111" s="109">
        <f ca="1">(CO47*c_inicial)+(CO47*c_on*12)+(CO47*ci_comp8)+(CO47*(ct_comp8+ca_comp8)*'Time on treatment'!$D$26)</f>
        <v>0</v>
      </c>
      <c r="CP111" s="109">
        <f ca="1">(CP47*c_on*12)+(CP47*(ct_comp8+ca_comp8)*'Time on treatment'!$E$26)</f>
        <v>0</v>
      </c>
      <c r="CQ111" s="110">
        <f ca="1">(CQ47*c_on*12)+(CQ47*(ct_comp8+ca_comp8)*'Time on treatment'!$F$26)</f>
        <v>0</v>
      </c>
      <c r="CT111" s="87" t="s">
        <v>172</v>
      </c>
      <c r="CU111" s="111"/>
      <c r="CV111" s="111"/>
      <c r="CW111" s="109">
        <f ca="1">(CW47*c_inicial)+(CW47*c_on*12)+(CW47*ci_comp9)+(CW47*(ct_comp9+ca_comp9)*'Time on treatment'!$D$27)</f>
        <v>0</v>
      </c>
      <c r="CX111" s="109">
        <f ca="1">(CX47*c_on*12)+(CX47*(ct_comp9+ca_comp9)*'Time on treatment'!$E$27)</f>
        <v>0</v>
      </c>
      <c r="CY111" s="110">
        <f ca="1">(CY47*c_on*12)+(CY47*(ct_comp9+ca_comp9)*'Time on treatment'!$F$27)</f>
        <v>0</v>
      </c>
      <c r="DB111" s="87" t="s">
        <v>172</v>
      </c>
      <c r="DC111" s="111"/>
      <c r="DD111" s="111"/>
      <c r="DE111" s="109">
        <f ca="1">(DE47*c_inicial)+(DE47*c_on*12)+(DE47*ci_comp10)+(DE47*(ct_comp10+ca_comp10)*'Time on treatment'!$D$28)</f>
        <v>0</v>
      </c>
      <c r="DF111" s="109">
        <f ca="1">(DF47*c_on*12)+(DF47*(ct_comp10+ca_comp10)*'Time on treatment'!$E$28)</f>
        <v>0</v>
      </c>
      <c r="DG111" s="110">
        <f ca="1">(DG47*c_on*12)+(DG47*(ct_comp10+ca_comp10)*'Time on treatment'!$F$28)</f>
        <v>0</v>
      </c>
    </row>
    <row r="112" spans="2:111">
      <c r="B112" s="87" t="s">
        <v>177</v>
      </c>
      <c r="C112" s="111"/>
      <c r="D112" s="111"/>
      <c r="E112" s="109">
        <f>E48*c_off</f>
        <v>0</v>
      </c>
      <c r="F112" s="109">
        <f>F48*c_off</f>
        <v>0</v>
      </c>
      <c r="G112" s="110">
        <f>G48*c_off</f>
        <v>0</v>
      </c>
      <c r="J112" s="87" t="s">
        <v>177</v>
      </c>
      <c r="K112" s="111"/>
      <c r="L112" s="111"/>
      <c r="M112" s="109">
        <f>M48*c_off</f>
        <v>0</v>
      </c>
      <c r="N112" s="109">
        <f>N48*c_off</f>
        <v>0</v>
      </c>
      <c r="O112" s="110">
        <f>O48*c_off</f>
        <v>0</v>
      </c>
      <c r="R112" s="87" t="s">
        <v>177</v>
      </c>
      <c r="S112" s="111"/>
      <c r="T112" s="111"/>
      <c r="U112" s="109">
        <f>U48*c_off</f>
        <v>0</v>
      </c>
      <c r="V112" s="109">
        <f>V48*c_off</f>
        <v>0</v>
      </c>
      <c r="W112" s="110">
        <f>W48*c_off</f>
        <v>0</v>
      </c>
      <c r="Z112" s="87" t="s">
        <v>177</v>
      </c>
      <c r="AA112" s="111"/>
      <c r="AB112" s="111"/>
      <c r="AC112" s="109">
        <f>AC48*c_off</f>
        <v>0</v>
      </c>
      <c r="AD112" s="109">
        <f>AD48*c_off</f>
        <v>0</v>
      </c>
      <c r="AE112" s="110">
        <f>AE48*c_off</f>
        <v>0</v>
      </c>
      <c r="AH112" s="87" t="s">
        <v>177</v>
      </c>
      <c r="AI112" s="111"/>
      <c r="AJ112" s="111"/>
      <c r="AK112" s="109">
        <f>AK48*c_off</f>
        <v>0</v>
      </c>
      <c r="AL112" s="109">
        <f>AL48*c_off</f>
        <v>0</v>
      </c>
      <c r="AM112" s="110">
        <f>AM48*c_off</f>
        <v>0</v>
      </c>
      <c r="AP112" s="87" t="s">
        <v>177</v>
      </c>
      <c r="AQ112" s="111"/>
      <c r="AR112" s="111"/>
      <c r="AS112" s="109">
        <f>AS48*c_off</f>
        <v>0</v>
      </c>
      <c r="AT112" s="109">
        <f>AT48*c_off</f>
        <v>0</v>
      </c>
      <c r="AU112" s="110">
        <f>AU48*c_off</f>
        <v>0</v>
      </c>
      <c r="AX112" s="87" t="s">
        <v>177</v>
      </c>
      <c r="AY112" s="111"/>
      <c r="AZ112" s="111"/>
      <c r="BA112" s="109">
        <f>BA48*c_off</f>
        <v>0</v>
      </c>
      <c r="BB112" s="109">
        <f>BB48*c_off</f>
        <v>0</v>
      </c>
      <c r="BC112" s="110">
        <f>BC48*c_off</f>
        <v>0</v>
      </c>
      <c r="BF112" s="87" t="s">
        <v>177</v>
      </c>
      <c r="BG112" s="111"/>
      <c r="BH112" s="111"/>
      <c r="BI112" s="109">
        <f>BI48*c_off</f>
        <v>0</v>
      </c>
      <c r="BJ112" s="109">
        <f>BJ48*c_off</f>
        <v>0</v>
      </c>
      <c r="BK112" s="110">
        <f>BK48*c_off</f>
        <v>0</v>
      </c>
      <c r="BN112" s="87" t="s">
        <v>177</v>
      </c>
      <c r="BO112" s="111"/>
      <c r="BP112" s="111"/>
      <c r="BQ112" s="109">
        <f>BQ48*c_off</f>
        <v>0</v>
      </c>
      <c r="BR112" s="109">
        <f>BR48*c_off</f>
        <v>0</v>
      </c>
      <c r="BS112" s="110">
        <f>BS48*c_off</f>
        <v>0</v>
      </c>
      <c r="BV112" s="87" t="s">
        <v>177</v>
      </c>
      <c r="BW112" s="111"/>
      <c r="BX112" s="111"/>
      <c r="BY112" s="109">
        <f>BY48*c_off</f>
        <v>0</v>
      </c>
      <c r="BZ112" s="109">
        <f>BZ48*c_off</f>
        <v>0</v>
      </c>
      <c r="CA112" s="110">
        <f>CA48*c_off</f>
        <v>0</v>
      </c>
      <c r="CD112" s="87" t="s">
        <v>177</v>
      </c>
      <c r="CE112" s="111"/>
      <c r="CF112" s="111"/>
      <c r="CG112" s="109">
        <f>CG48*c_off</f>
        <v>0</v>
      </c>
      <c r="CH112" s="109">
        <f>CH48*c_off</f>
        <v>0</v>
      </c>
      <c r="CI112" s="110">
        <f>CI48*c_off</f>
        <v>0</v>
      </c>
      <c r="CL112" s="87" t="s">
        <v>177</v>
      </c>
      <c r="CM112" s="111"/>
      <c r="CN112" s="111"/>
      <c r="CO112" s="109">
        <f>CO48*c_off</f>
        <v>0</v>
      </c>
      <c r="CP112" s="109">
        <f>CP48*c_off</f>
        <v>0</v>
      </c>
      <c r="CQ112" s="110">
        <f>CQ48*c_off</f>
        <v>0</v>
      </c>
      <c r="CT112" s="87" t="s">
        <v>177</v>
      </c>
      <c r="CU112" s="111"/>
      <c r="CV112" s="111"/>
      <c r="CW112" s="109">
        <f>CW48*c_off</f>
        <v>0</v>
      </c>
      <c r="CX112" s="109">
        <f>CX48*c_off</f>
        <v>0</v>
      </c>
      <c r="CY112" s="110">
        <f>CY48*c_off</f>
        <v>0</v>
      </c>
      <c r="DB112" s="87" t="s">
        <v>177</v>
      </c>
      <c r="DC112" s="111"/>
      <c r="DD112" s="111"/>
      <c r="DE112" s="109">
        <f>DE48*c_off</f>
        <v>0</v>
      </c>
      <c r="DF112" s="109">
        <f>DF48*c_off</f>
        <v>0</v>
      </c>
      <c r="DG112" s="110">
        <f>DG48*c_off</f>
        <v>0</v>
      </c>
    </row>
    <row r="113" spans="2:111">
      <c r="B113" s="87" t="s">
        <v>173</v>
      </c>
      <c r="C113" s="111"/>
      <c r="D113" s="111"/>
      <c r="E113" s="111"/>
      <c r="F113" s="109">
        <f ca="1">(F49*c_inicial)+(F49*c_on*12)+(F49*ci_int1)+(F49*(ct_int1+ca_int1)*'Time on treatment'!$D$12)</f>
        <v>52430279.29388456</v>
      </c>
      <c r="G113" s="110">
        <f ca="1">(G49*c_on*12)+(G49*(ct_int1+ca_int1)*'Time on treatment'!$E$12)</f>
        <v>0</v>
      </c>
      <c r="J113" s="87" t="s">
        <v>173</v>
      </c>
      <c r="K113" s="111"/>
      <c r="L113" s="111"/>
      <c r="M113" s="111"/>
      <c r="N113" s="109">
        <f ca="1">(N49*c_inicial)+(N49*c_on*12)+(N49*ci_int2)+(N49*(ct_int2+ca_int2)*'Time on treatment'!$D$13)</f>
        <v>0</v>
      </c>
      <c r="O113" s="110">
        <f ca="1">(O49*c_on*12)+(O49*(ct_int2+ca_int2)*'Time on treatment'!$E$13)</f>
        <v>0</v>
      </c>
      <c r="R113" s="87" t="s">
        <v>173</v>
      </c>
      <c r="S113" s="111"/>
      <c r="T113" s="111"/>
      <c r="U113" s="111"/>
      <c r="V113" s="109">
        <f ca="1">(V49*c_inicial)+(V49*c_on*12)+(V49*ci_int3)+(V49*(ct_int3+ca_int3)*'Time on treatment'!$D$14)</f>
        <v>0</v>
      </c>
      <c r="W113" s="110">
        <f ca="1">(W49*c_on*12)+(W49*(ct_int3+ca_int3)*'Time on treatment'!$E$14)</f>
        <v>0</v>
      </c>
      <c r="Z113" s="87" t="s">
        <v>173</v>
      </c>
      <c r="AA113" s="111"/>
      <c r="AB113" s="111"/>
      <c r="AC113" s="111"/>
      <c r="AD113" s="109">
        <f ca="1">(AD49*c_inicial)+(AD49*c_on*12)+(AD49*ci_int4)+(AD49*(ct_int4+ca_int4)*'Time on treatment'!$D$15)</f>
        <v>0</v>
      </c>
      <c r="AE113" s="110">
        <f ca="1">(AE49*c_on*12)+(AE49*(ct_int4+ca_int4)*'Time on treatment'!$E$15)</f>
        <v>0</v>
      </c>
      <c r="AH113" s="87" t="s">
        <v>173</v>
      </c>
      <c r="AI113" s="111"/>
      <c r="AJ113" s="111"/>
      <c r="AK113" s="111"/>
      <c r="AL113" s="109">
        <f ca="1">(AL49*c_inicial)+(AL49*c_on*12)+(AL49*ci_comp1)+(AL49*(ct_comp1+ca_comp1)*'Time on treatment'!$D$19)</f>
        <v>4336514.4847925156</v>
      </c>
      <c r="AM113" s="110">
        <f ca="1">(AM49*c_on*12)+(AM49*(ct_comp1+ca_comp1)*'Time on treatment'!$E$19)</f>
        <v>4336514.4847925156</v>
      </c>
      <c r="AP113" s="87" t="s">
        <v>173</v>
      </c>
      <c r="AQ113" s="111"/>
      <c r="AR113" s="111"/>
      <c r="AS113" s="111"/>
      <c r="AT113" s="109">
        <f ca="1">(AT49*c_inicial)+(AT49*c_on*12)+(AT49*ci_comp2)+(AT49*(ct_comp2+ca_comp2)*'Time on treatment'!$D$20)</f>
        <v>0</v>
      </c>
      <c r="AU113" s="110">
        <f ca="1">(AU49*c_on*12)+(AU49*(ct_comp2+ca_comp2)*'Time on treatment'!$E$20)</f>
        <v>0</v>
      </c>
      <c r="AX113" s="87" t="s">
        <v>173</v>
      </c>
      <c r="AY113" s="111"/>
      <c r="AZ113" s="111"/>
      <c r="BA113" s="111"/>
      <c r="BB113" s="109">
        <f ca="1">(BB49*c_inicial)+(BB49*c_on*12)+(BB49*ci_comp3)+(BB49*(ct_comp3+ca_comp3)*'Time on treatment'!$D$21)</f>
        <v>0</v>
      </c>
      <c r="BC113" s="110">
        <f ca="1">(BC49*c_on*12)+(BC49*(ct_comp3+ca_comp3)*'Time on treatment'!$E$21)</f>
        <v>0</v>
      </c>
      <c r="BF113" s="87" t="s">
        <v>173</v>
      </c>
      <c r="BG113" s="111"/>
      <c r="BH113" s="111"/>
      <c r="BI113" s="111"/>
      <c r="BJ113" s="109">
        <f ca="1">(BJ49*c_inicial)+(BJ49*c_on*12)+(BJ49*ci_comp4)+(BJ49*(ct_comp4+ca_comp4)*'Time on treatment'!$D$22)</f>
        <v>0</v>
      </c>
      <c r="BK113" s="110">
        <f ca="1">(BK49*c_on*12)+(BK49*(ct_comp4+ca_comp4)*'Time on treatment'!$E$22)</f>
        <v>0</v>
      </c>
      <c r="BN113" s="87" t="s">
        <v>173</v>
      </c>
      <c r="BO113" s="111"/>
      <c r="BP113" s="111"/>
      <c r="BQ113" s="111"/>
      <c r="BR113" s="109">
        <f ca="1">(BR49*c_inicial)+(BR49*c_on*12)+(BR49*ci_comp5)+(BR49*(ct_comp5+ca_comp5)*'Time on treatment'!$D$23)</f>
        <v>0</v>
      </c>
      <c r="BS113" s="110">
        <f ca="1">(BS49*c_on*12)+(BS49*(ct_comp5+ca_comp5)*'Time on treatment'!$E$23)</f>
        <v>0</v>
      </c>
      <c r="BV113" s="87" t="s">
        <v>173</v>
      </c>
      <c r="BW113" s="111"/>
      <c r="BX113" s="111"/>
      <c r="BY113" s="111"/>
      <c r="BZ113" s="109">
        <f ca="1">(BZ49*c_inicial)+(BZ49*c_on*12)+(BZ49*ci_comp6)+(BZ49*(ct_comp6+ca_comp6)*'Time on treatment'!$D$24)</f>
        <v>0</v>
      </c>
      <c r="CA113" s="110">
        <f ca="1">(CA49*c_on*12)+(CA49*(ct_comp6+ca_comp6)*'Time on treatment'!$E$24)</f>
        <v>0</v>
      </c>
      <c r="CD113" s="87" t="s">
        <v>173</v>
      </c>
      <c r="CE113" s="111"/>
      <c r="CF113" s="111"/>
      <c r="CG113" s="111"/>
      <c r="CH113" s="109">
        <f ca="1">(CH49*c_inicial)+(CH49*c_on*12)+(CH49*ci_comp7)+(CH49*(ct_comp7+ca_comp7)*'Time on treatment'!$D$25)</f>
        <v>0</v>
      </c>
      <c r="CI113" s="110">
        <f ca="1">(CI49*c_on*12)+(CI49*(ct_comp7+ca_comp7)*'Time on treatment'!$E$25)</f>
        <v>0</v>
      </c>
      <c r="CL113" s="87" t="s">
        <v>173</v>
      </c>
      <c r="CM113" s="111"/>
      <c r="CN113" s="111"/>
      <c r="CO113" s="111"/>
      <c r="CP113" s="109">
        <f ca="1">(CP49*c_inicial)+(CP49*c_on*12)+(CP49*ci_comp8)+(CP49*(ct_comp8+ca_comp8)*'Time on treatment'!$D$26)</f>
        <v>0</v>
      </c>
      <c r="CQ113" s="110">
        <f ca="1">(CQ49*c_on*12)+(CQ49*(ct_comp8+ca_comp8)*'Time on treatment'!$E$26)</f>
        <v>0</v>
      </c>
      <c r="CT113" s="87" t="s">
        <v>173</v>
      </c>
      <c r="CU113" s="111"/>
      <c r="CV113" s="111"/>
      <c r="CW113" s="111"/>
      <c r="CX113" s="109">
        <f ca="1">(CX49*c_inicial)+(CX49*c_on*12)+(CX49*ci_comp9)+(CX49*(ct_comp9+ca_comp9)*'Time on treatment'!$D$27)</f>
        <v>0</v>
      </c>
      <c r="CY113" s="110">
        <f ca="1">(CY49*c_on*12)+(CY49*(ct_comp9+ca_comp9)*'Time on treatment'!$E$27)</f>
        <v>0</v>
      </c>
      <c r="DB113" s="87" t="s">
        <v>173</v>
      </c>
      <c r="DC113" s="111"/>
      <c r="DD113" s="111"/>
      <c r="DE113" s="111"/>
      <c r="DF113" s="109">
        <f ca="1">(DF49*c_inicial)+(DF49*c_on*12)+(DF49*ci_comp10)+(DF49*(ct_comp10+ca_comp10)*'Time on treatment'!$D$28)</f>
        <v>0</v>
      </c>
      <c r="DG113" s="110">
        <f ca="1">(DG49*c_on*12)+(DG49*(ct_comp10+ca_comp10)*'Time on treatment'!$E$28)</f>
        <v>0</v>
      </c>
    </row>
    <row r="114" spans="2:111">
      <c r="B114" s="87" t="s">
        <v>178</v>
      </c>
      <c r="C114" s="111"/>
      <c r="D114" s="111"/>
      <c r="E114" s="111"/>
      <c r="F114" s="109">
        <f>F50*c_off</f>
        <v>0</v>
      </c>
      <c r="G114" s="110">
        <f>G50*c_off</f>
        <v>0</v>
      </c>
      <c r="J114" s="87" t="s">
        <v>178</v>
      </c>
      <c r="K114" s="111"/>
      <c r="L114" s="111"/>
      <c r="M114" s="111"/>
      <c r="N114" s="109">
        <f>N50*c_off</f>
        <v>0</v>
      </c>
      <c r="O114" s="110">
        <f>O50*c_off</f>
        <v>0</v>
      </c>
      <c r="R114" s="87" t="s">
        <v>178</v>
      </c>
      <c r="S114" s="111"/>
      <c r="T114" s="111"/>
      <c r="U114" s="111"/>
      <c r="V114" s="109">
        <f>V50*c_off</f>
        <v>0</v>
      </c>
      <c r="W114" s="110">
        <f>W50*c_off</f>
        <v>0</v>
      </c>
      <c r="Z114" s="87" t="s">
        <v>178</v>
      </c>
      <c r="AA114" s="111"/>
      <c r="AB114" s="111"/>
      <c r="AC114" s="111"/>
      <c r="AD114" s="109">
        <f>AD50*c_off</f>
        <v>0</v>
      </c>
      <c r="AE114" s="110">
        <f>AE50*c_off</f>
        <v>0</v>
      </c>
      <c r="AH114" s="87" t="s">
        <v>178</v>
      </c>
      <c r="AI114" s="111"/>
      <c r="AJ114" s="111"/>
      <c r="AK114" s="111"/>
      <c r="AL114" s="109">
        <f>AL50*c_off</f>
        <v>0</v>
      </c>
      <c r="AM114" s="110">
        <f>AM50*c_off</f>
        <v>0</v>
      </c>
      <c r="AP114" s="87" t="s">
        <v>178</v>
      </c>
      <c r="AQ114" s="111"/>
      <c r="AR114" s="111"/>
      <c r="AS114" s="111"/>
      <c r="AT114" s="109">
        <f>AT50*c_off</f>
        <v>0</v>
      </c>
      <c r="AU114" s="110">
        <f>AU50*c_off</f>
        <v>0</v>
      </c>
      <c r="AX114" s="87" t="s">
        <v>178</v>
      </c>
      <c r="AY114" s="111"/>
      <c r="AZ114" s="111"/>
      <c r="BA114" s="111"/>
      <c r="BB114" s="109">
        <f>BB50*c_off</f>
        <v>0</v>
      </c>
      <c r="BC114" s="110">
        <f>BC50*c_off</f>
        <v>0</v>
      </c>
      <c r="BF114" s="87" t="s">
        <v>178</v>
      </c>
      <c r="BG114" s="111"/>
      <c r="BH114" s="111"/>
      <c r="BI114" s="111"/>
      <c r="BJ114" s="109">
        <f>BJ50*c_off</f>
        <v>0</v>
      </c>
      <c r="BK114" s="110">
        <f>BK50*c_off</f>
        <v>0</v>
      </c>
      <c r="BN114" s="87" t="s">
        <v>178</v>
      </c>
      <c r="BO114" s="111"/>
      <c r="BP114" s="111"/>
      <c r="BQ114" s="111"/>
      <c r="BR114" s="109">
        <f>BR50*c_off</f>
        <v>0</v>
      </c>
      <c r="BS114" s="110">
        <f>BS50*c_off</f>
        <v>0</v>
      </c>
      <c r="BV114" s="87" t="s">
        <v>178</v>
      </c>
      <c r="BW114" s="111"/>
      <c r="BX114" s="111"/>
      <c r="BY114" s="111"/>
      <c r="BZ114" s="109">
        <f>BZ50*c_off</f>
        <v>0</v>
      </c>
      <c r="CA114" s="110">
        <f>CA50*c_off</f>
        <v>0</v>
      </c>
      <c r="CD114" s="87" t="s">
        <v>178</v>
      </c>
      <c r="CE114" s="111"/>
      <c r="CF114" s="111"/>
      <c r="CG114" s="111"/>
      <c r="CH114" s="109">
        <f>CH50*c_off</f>
        <v>0</v>
      </c>
      <c r="CI114" s="110">
        <f>CI50*c_off</f>
        <v>0</v>
      </c>
      <c r="CL114" s="87" t="s">
        <v>178</v>
      </c>
      <c r="CM114" s="111"/>
      <c r="CN114" s="111"/>
      <c r="CO114" s="111"/>
      <c r="CP114" s="109">
        <f>CP50*c_off</f>
        <v>0</v>
      </c>
      <c r="CQ114" s="110">
        <f>CQ50*c_off</f>
        <v>0</v>
      </c>
      <c r="CT114" s="87" t="s">
        <v>178</v>
      </c>
      <c r="CU114" s="111"/>
      <c r="CV114" s="111"/>
      <c r="CW114" s="111"/>
      <c r="CX114" s="109">
        <f>CX50*c_off</f>
        <v>0</v>
      </c>
      <c r="CY114" s="110">
        <f>CY50*c_off</f>
        <v>0</v>
      </c>
      <c r="DB114" s="87" t="s">
        <v>178</v>
      </c>
      <c r="DC114" s="111"/>
      <c r="DD114" s="111"/>
      <c r="DE114" s="111"/>
      <c r="DF114" s="109">
        <f>DF50*c_off</f>
        <v>0</v>
      </c>
      <c r="DG114" s="110">
        <f>DG50*c_off</f>
        <v>0</v>
      </c>
    </row>
    <row r="115" spans="2:111">
      <c r="B115" s="87" t="s">
        <v>174</v>
      </c>
      <c r="C115" s="111"/>
      <c r="D115" s="111"/>
      <c r="E115" s="111"/>
      <c r="F115" s="111"/>
      <c r="G115" s="110">
        <f ca="1">(G51*c_inicial)+(G51*c_on*12)+(G51*ci_int1)+(G51*(ct_int1+ca_int1)*'Time on treatment'!$D$12)</f>
        <v>65147514.700086899</v>
      </c>
      <c r="J115" s="87" t="s">
        <v>174</v>
      </c>
      <c r="K115" s="111"/>
      <c r="L115" s="111"/>
      <c r="M115" s="111"/>
      <c r="N115" s="111"/>
      <c r="O115" s="110">
        <f ca="1">(O51*c_inicial)+(O51*c_on*12)+(O51*ci_int2)+(O51*(ct_int2+ca_int2)*'Time on treatment'!$D$13)</f>
        <v>0</v>
      </c>
      <c r="R115" s="87" t="s">
        <v>174</v>
      </c>
      <c r="S115" s="111"/>
      <c r="T115" s="111"/>
      <c r="U115" s="111"/>
      <c r="V115" s="111"/>
      <c r="W115" s="110">
        <f ca="1">(W51*c_inicial)+(W51*c_on*12)+(W51*ci_int3)+(W51*(ct_int3+ca_int3)*'Time on treatment'!$D$14)</f>
        <v>0</v>
      </c>
      <c r="Z115" s="87" t="s">
        <v>174</v>
      </c>
      <c r="AA115" s="111"/>
      <c r="AB115" s="111"/>
      <c r="AC115" s="111"/>
      <c r="AD115" s="111"/>
      <c r="AE115" s="110">
        <f ca="1">(AE51*c_inicial)+(AE51*c_on*12)+(AE51*ci_int4)+(AE51*(ct_int4+ca_int4)*'Time on treatment'!$D$15)</f>
        <v>0</v>
      </c>
      <c r="AH115" s="87" t="s">
        <v>174</v>
      </c>
      <c r="AI115" s="111"/>
      <c r="AJ115" s="111"/>
      <c r="AK115" s="111"/>
      <c r="AL115" s="111"/>
      <c r="AM115" s="110">
        <f ca="1">(AM51*c_inicial)+(AM51*c_on*12)+(AM51*ci_comp1)+(AM51*(ct_comp1+ca_comp1)*'Time on treatment'!$D$19)</f>
        <v>4041268.875780798</v>
      </c>
      <c r="AP115" s="87" t="s">
        <v>174</v>
      </c>
      <c r="AQ115" s="111"/>
      <c r="AR115" s="111"/>
      <c r="AS115" s="111"/>
      <c r="AT115" s="111"/>
      <c r="AU115" s="110">
        <f ca="1">(AU51*c_inicial)+(AU51*c_on*12)+(AU51*ci_comp2)+(AU51*(ct_comp2+ca_comp2)*'Time on treatment'!$D$20)</f>
        <v>0</v>
      </c>
      <c r="AX115" s="87" t="s">
        <v>174</v>
      </c>
      <c r="AY115" s="111"/>
      <c r="AZ115" s="111"/>
      <c r="BA115" s="111"/>
      <c r="BB115" s="111"/>
      <c r="BC115" s="110">
        <f ca="1">(BC51*c_inicial)+(BC51*c_on*12)+(BC51*ci_comp3)+(BC51*(ct_comp3+ca_comp3)*'Time on treatment'!$D$21)</f>
        <v>0</v>
      </c>
      <c r="BF115" s="87" t="s">
        <v>174</v>
      </c>
      <c r="BG115" s="111"/>
      <c r="BH115" s="111"/>
      <c r="BI115" s="111"/>
      <c r="BJ115" s="111"/>
      <c r="BK115" s="110">
        <f ca="1">(BK51*c_inicial)+(BK51*c_on*12)+(BK51*ci_comp4)+(BK51*(ct_comp4+ca_comp4)*'Time on treatment'!$D$22)</f>
        <v>0</v>
      </c>
      <c r="BN115" s="87" t="s">
        <v>174</v>
      </c>
      <c r="BO115" s="111"/>
      <c r="BP115" s="111"/>
      <c r="BQ115" s="111"/>
      <c r="BR115" s="111"/>
      <c r="BS115" s="110">
        <f ca="1">(BS51*c_inicial)+(BS51*c_on*12)+(BS51*ci_comp5)+(BS51*(ct_comp5+ca_comp5)*'Time on treatment'!$D$23)</f>
        <v>0</v>
      </c>
      <c r="BV115" s="87" t="s">
        <v>174</v>
      </c>
      <c r="BW115" s="111"/>
      <c r="BX115" s="111"/>
      <c r="BY115" s="111"/>
      <c r="BZ115" s="111"/>
      <c r="CA115" s="110">
        <f ca="1">(CA51*c_inicial)+(CA51*c_on*12)+(CA51*ci_comp6)+(CA51*(ct_comp6+ca_comp6)*'Time on treatment'!$D$24)</f>
        <v>0</v>
      </c>
      <c r="CD115" s="87" t="s">
        <v>174</v>
      </c>
      <c r="CE115" s="111"/>
      <c r="CF115" s="111"/>
      <c r="CG115" s="111"/>
      <c r="CH115" s="111"/>
      <c r="CI115" s="110">
        <f ca="1">(CI51*c_inicial)+(CI51*c_on*12)+(CI51*ci_comp7)+(CI51*(ct_comp7+ca_comp7)*'Time on treatment'!$D$25)</f>
        <v>0</v>
      </c>
      <c r="CL115" s="87" t="s">
        <v>174</v>
      </c>
      <c r="CM115" s="111"/>
      <c r="CN115" s="111"/>
      <c r="CO115" s="111"/>
      <c r="CP115" s="111"/>
      <c r="CQ115" s="110">
        <f ca="1">(CQ51*c_inicial)+(CQ51*c_on*12)+(CQ51*ci_comp8)+(CQ51*(ct_comp8+ca_comp8)*'Time on treatment'!$D$26)</f>
        <v>0</v>
      </c>
      <c r="CT115" s="87" t="s">
        <v>174</v>
      </c>
      <c r="CU115" s="111"/>
      <c r="CV115" s="111"/>
      <c r="CW115" s="111"/>
      <c r="CX115" s="111"/>
      <c r="CY115" s="110">
        <f ca="1">(CY51*c_inicial)+(CY51*c_on*12)+(CY51*ci_comp9)+(CY51*(ct_comp9+ca_comp9)*'Time on treatment'!$D$27)</f>
        <v>0</v>
      </c>
      <c r="DB115" s="87" t="s">
        <v>174</v>
      </c>
      <c r="DC115" s="111"/>
      <c r="DD115" s="111"/>
      <c r="DE115" s="111"/>
      <c r="DF115" s="111"/>
      <c r="DG115" s="110">
        <f ca="1">(DG51*c_inicial)+(DG51*c_on*12)+(DG51*ci_comp10)+(DG51*(ct_comp10+ca_comp10)*'Time on treatment'!$D$28)</f>
        <v>0</v>
      </c>
    </row>
    <row r="116" spans="2:111" ht="15" thickBot="1">
      <c r="B116" s="87" t="s">
        <v>179</v>
      </c>
      <c r="C116" s="111"/>
      <c r="D116" s="111"/>
      <c r="E116" s="111"/>
      <c r="F116" s="111"/>
      <c r="G116" s="112">
        <v>0</v>
      </c>
      <c r="J116" s="87" t="s">
        <v>179</v>
      </c>
      <c r="K116" s="111"/>
      <c r="L116" s="111"/>
      <c r="M116" s="111"/>
      <c r="N116" s="111"/>
      <c r="O116" s="112">
        <v>0</v>
      </c>
      <c r="R116" s="87" t="s">
        <v>179</v>
      </c>
      <c r="S116" s="111"/>
      <c r="T116" s="111"/>
      <c r="U116" s="111"/>
      <c r="V116" s="111"/>
      <c r="W116" s="112">
        <v>0</v>
      </c>
      <c r="Z116" s="87" t="s">
        <v>179</v>
      </c>
      <c r="AA116" s="111"/>
      <c r="AB116" s="111"/>
      <c r="AC116" s="111"/>
      <c r="AD116" s="111"/>
      <c r="AE116" s="112">
        <v>0</v>
      </c>
      <c r="AH116" s="87" t="s">
        <v>179</v>
      </c>
      <c r="AI116" s="111"/>
      <c r="AJ116" s="111"/>
      <c r="AK116" s="111"/>
      <c r="AL116" s="111"/>
      <c r="AM116" s="112">
        <v>0</v>
      </c>
      <c r="AP116" s="87" t="s">
        <v>179</v>
      </c>
      <c r="AQ116" s="111"/>
      <c r="AR116" s="111"/>
      <c r="AS116" s="111"/>
      <c r="AT116" s="111"/>
      <c r="AU116" s="112">
        <v>0</v>
      </c>
      <c r="AX116" s="87" t="s">
        <v>179</v>
      </c>
      <c r="AY116" s="111"/>
      <c r="AZ116" s="111"/>
      <c r="BA116" s="111"/>
      <c r="BB116" s="111"/>
      <c r="BC116" s="112">
        <v>0</v>
      </c>
      <c r="BF116" s="87" t="s">
        <v>179</v>
      </c>
      <c r="BG116" s="111"/>
      <c r="BH116" s="111"/>
      <c r="BI116" s="111"/>
      <c r="BJ116" s="111"/>
      <c r="BK116" s="112">
        <v>0</v>
      </c>
      <c r="BN116" s="87" t="s">
        <v>179</v>
      </c>
      <c r="BO116" s="111"/>
      <c r="BP116" s="111"/>
      <c r="BQ116" s="111"/>
      <c r="BR116" s="111"/>
      <c r="BS116" s="112">
        <v>0</v>
      </c>
      <c r="BV116" s="87" t="s">
        <v>179</v>
      </c>
      <c r="BW116" s="111"/>
      <c r="BX116" s="111"/>
      <c r="BY116" s="111"/>
      <c r="BZ116" s="111"/>
      <c r="CA116" s="112">
        <v>0</v>
      </c>
      <c r="CD116" s="87" t="s">
        <v>179</v>
      </c>
      <c r="CE116" s="111"/>
      <c r="CF116" s="111"/>
      <c r="CG116" s="111"/>
      <c r="CH116" s="111"/>
      <c r="CI116" s="112">
        <v>0</v>
      </c>
      <c r="CL116" s="87" t="s">
        <v>179</v>
      </c>
      <c r="CM116" s="111"/>
      <c r="CN116" s="111"/>
      <c r="CO116" s="111"/>
      <c r="CP116" s="111"/>
      <c r="CQ116" s="112">
        <v>0</v>
      </c>
      <c r="CT116" s="87" t="s">
        <v>179</v>
      </c>
      <c r="CU116" s="111"/>
      <c r="CV116" s="111"/>
      <c r="CW116" s="111"/>
      <c r="CX116" s="111"/>
      <c r="CY116" s="112">
        <v>0</v>
      </c>
      <c r="DB116" s="87" t="s">
        <v>179</v>
      </c>
      <c r="DC116" s="111"/>
      <c r="DD116" s="111"/>
      <c r="DE116" s="111"/>
      <c r="DF116" s="111"/>
      <c r="DG116" s="112">
        <v>0</v>
      </c>
    </row>
    <row r="117" spans="2:111" ht="15" thickBot="1">
      <c r="B117" s="85" t="str">
        <f>B103</f>
        <v>Intrauterine device levonorgestrel</v>
      </c>
      <c r="C117" s="113">
        <f ca="1">SUM(C107:C115)</f>
        <v>13269140.432940962</v>
      </c>
      <c r="D117" s="113">
        <f ca="1">SUM(D107:D115)</f>
        <v>26442645.347635079</v>
      </c>
      <c r="E117" s="113">
        <f ca="1">SUM(E107:E115)</f>
        <v>39508830.334991291</v>
      </c>
      <c r="F117" s="113">
        <f ca="1">SUM(F107:F115)</f>
        <v>52430279.29388456</v>
      </c>
      <c r="G117" s="114">
        <f ca="1">SUM(G107:G115)</f>
        <v>65147514.700086899</v>
      </c>
      <c r="J117" s="85">
        <f>J103</f>
        <v>0</v>
      </c>
      <c r="K117" s="113">
        <f ca="1">SUM(K107:K115)</f>
        <v>0</v>
      </c>
      <c r="L117" s="113">
        <f ca="1">SUM(L107:L115)</f>
        <v>0</v>
      </c>
      <c r="M117" s="113">
        <f ca="1">SUM(M107:M115)</f>
        <v>0</v>
      </c>
      <c r="N117" s="113">
        <f ca="1">SUM(N107:N115)</f>
        <v>0</v>
      </c>
      <c r="O117" s="114">
        <f ca="1">SUM(O107:O115)</f>
        <v>0</v>
      </c>
      <c r="R117" s="85">
        <f>R103</f>
        <v>0</v>
      </c>
      <c r="S117" s="113">
        <f ca="1">SUM(S107:S115)</f>
        <v>0</v>
      </c>
      <c r="T117" s="113">
        <f ca="1">SUM(T107:T115)</f>
        <v>0</v>
      </c>
      <c r="U117" s="113">
        <f ca="1">SUM(U107:U115)</f>
        <v>0</v>
      </c>
      <c r="V117" s="113">
        <f ca="1">SUM(V107:V115)</f>
        <v>0</v>
      </c>
      <c r="W117" s="114">
        <f ca="1">SUM(W107:W115)</f>
        <v>0</v>
      </c>
      <c r="Z117" s="85">
        <f>Z103</f>
        <v>0</v>
      </c>
      <c r="AA117" s="113">
        <f ca="1">SUM(AA107:AA115)</f>
        <v>0</v>
      </c>
      <c r="AB117" s="113">
        <f ca="1">SUM(AB107:AB115)</f>
        <v>0</v>
      </c>
      <c r="AC117" s="113">
        <f ca="1">SUM(AC107:AC115)</f>
        <v>0</v>
      </c>
      <c r="AD117" s="113">
        <f ca="1">SUM(AD107:AD115)</f>
        <v>0</v>
      </c>
      <c r="AE117" s="114">
        <f ca="1">SUM(AE107:AE115)</f>
        <v>0</v>
      </c>
      <c r="AH117" s="85" t="str">
        <f>AH103</f>
        <v>Oral contraceptive</v>
      </c>
      <c r="AI117" s="113">
        <f ca="1">SUM(AI107:AI115)</f>
        <v>5213087.6890217941</v>
      </c>
      <c r="AJ117" s="113">
        <f ca="1">SUM(AJ107:AJ115)</f>
        <v>10134004.785951281</v>
      </c>
      <c r="AK117" s="113">
        <f ca="1">SUM(AK107:AK115)</f>
        <v>14763359.703646429</v>
      </c>
      <c r="AL117" s="113">
        <f ca="1">SUM(AL107:AL115)</f>
        <v>19099874.188438945</v>
      </c>
      <c r="AM117" s="114">
        <f ca="1">SUM(AM107:AM115)</f>
        <v>23141143.064219743</v>
      </c>
      <c r="AP117" s="85">
        <f>AP103</f>
        <v>0</v>
      </c>
      <c r="AQ117" s="113">
        <f ca="1">SUM(AQ107:AQ115)</f>
        <v>0</v>
      </c>
      <c r="AR117" s="113">
        <f ca="1">SUM(AR107:AR115)</f>
        <v>0</v>
      </c>
      <c r="AS117" s="113">
        <f ca="1">SUM(AS107:AS115)</f>
        <v>0</v>
      </c>
      <c r="AT117" s="113">
        <f ca="1">SUM(AT107:AT115)</f>
        <v>0</v>
      </c>
      <c r="AU117" s="114">
        <f ca="1">SUM(AU107:AU115)</f>
        <v>0</v>
      </c>
      <c r="AX117" s="85">
        <f>AX103</f>
        <v>0</v>
      </c>
      <c r="AY117" s="113">
        <f ca="1">SUM(AY107:AY115)</f>
        <v>0</v>
      </c>
      <c r="AZ117" s="113">
        <f ca="1">SUM(AZ107:AZ115)</f>
        <v>0</v>
      </c>
      <c r="BA117" s="113">
        <f ca="1">SUM(BA107:BA115)</f>
        <v>0</v>
      </c>
      <c r="BB117" s="113">
        <f ca="1">SUM(BB107:BB115)</f>
        <v>0</v>
      </c>
      <c r="BC117" s="114">
        <f ca="1">SUM(BC107:BC115)</f>
        <v>0</v>
      </c>
      <c r="BF117" s="85">
        <f>BF103</f>
        <v>0</v>
      </c>
      <c r="BG117" s="113">
        <f ca="1">SUM(BG107:BG115)</f>
        <v>0</v>
      </c>
      <c r="BH117" s="113">
        <f ca="1">SUM(BH107:BH115)</f>
        <v>0</v>
      </c>
      <c r="BI117" s="113">
        <f ca="1">SUM(BI107:BI115)</f>
        <v>0</v>
      </c>
      <c r="BJ117" s="113">
        <f ca="1">SUM(BJ107:BJ115)</f>
        <v>0</v>
      </c>
      <c r="BK117" s="114">
        <f ca="1">SUM(BK107:BK115)</f>
        <v>0</v>
      </c>
      <c r="BN117" s="85">
        <f>BN103</f>
        <v>0</v>
      </c>
      <c r="BO117" s="113">
        <f ca="1">SUM(BO107:BO115)</f>
        <v>0</v>
      </c>
      <c r="BP117" s="113">
        <f ca="1">SUM(BP107:BP115)</f>
        <v>0</v>
      </c>
      <c r="BQ117" s="113">
        <f ca="1">SUM(BQ107:BQ115)</f>
        <v>0</v>
      </c>
      <c r="BR117" s="113">
        <f ca="1">SUM(BR107:BR115)</f>
        <v>0</v>
      </c>
      <c r="BS117" s="114">
        <f ca="1">SUM(BS107:BS115)</f>
        <v>0</v>
      </c>
      <c r="BV117" s="85">
        <f>BV103</f>
        <v>0</v>
      </c>
      <c r="BW117" s="113">
        <f ca="1">SUM(BW107:BW115)</f>
        <v>0</v>
      </c>
      <c r="BX117" s="113">
        <f ca="1">SUM(BX107:BX115)</f>
        <v>0</v>
      </c>
      <c r="BY117" s="113">
        <f ca="1">SUM(BY107:BY115)</f>
        <v>0</v>
      </c>
      <c r="BZ117" s="113">
        <f ca="1">SUM(BZ107:BZ115)</f>
        <v>0</v>
      </c>
      <c r="CA117" s="114">
        <f ca="1">SUM(CA107:CA115)</f>
        <v>0</v>
      </c>
      <c r="CD117" s="85">
        <f>CD103</f>
        <v>0</v>
      </c>
      <c r="CE117" s="113">
        <f ca="1">SUM(CE107:CE115)</f>
        <v>0</v>
      </c>
      <c r="CF117" s="113">
        <f ca="1">SUM(CF107:CF115)</f>
        <v>0</v>
      </c>
      <c r="CG117" s="113">
        <f ca="1">SUM(CG107:CG115)</f>
        <v>0</v>
      </c>
      <c r="CH117" s="113">
        <f ca="1">SUM(CH107:CH115)</f>
        <v>0</v>
      </c>
      <c r="CI117" s="114">
        <f ca="1">SUM(CI107:CI115)</f>
        <v>0</v>
      </c>
      <c r="CL117" s="85">
        <f>CL103</f>
        <v>0</v>
      </c>
      <c r="CM117" s="113">
        <f ca="1">SUM(CM107:CM115)</f>
        <v>0</v>
      </c>
      <c r="CN117" s="113">
        <f ca="1">SUM(CN107:CN115)</f>
        <v>0</v>
      </c>
      <c r="CO117" s="113">
        <f ca="1">SUM(CO107:CO115)</f>
        <v>0</v>
      </c>
      <c r="CP117" s="113">
        <f ca="1">SUM(CP107:CP115)</f>
        <v>0</v>
      </c>
      <c r="CQ117" s="114">
        <f ca="1">SUM(CQ107:CQ115)</f>
        <v>0</v>
      </c>
      <c r="CT117" s="85">
        <f>CT103</f>
        <v>0</v>
      </c>
      <c r="CU117" s="113">
        <f ca="1">SUM(CU107:CU115)</f>
        <v>0</v>
      </c>
      <c r="CV117" s="113">
        <f ca="1">SUM(CV107:CV115)</f>
        <v>0</v>
      </c>
      <c r="CW117" s="113">
        <f ca="1">SUM(CW107:CW115)</f>
        <v>0</v>
      </c>
      <c r="CX117" s="113">
        <f ca="1">SUM(CX107:CX115)</f>
        <v>0</v>
      </c>
      <c r="CY117" s="114">
        <f ca="1">SUM(CY107:CY115)</f>
        <v>0</v>
      </c>
      <c r="DB117" s="85">
        <f>DB103</f>
        <v>0</v>
      </c>
      <c r="DC117" s="113">
        <f ca="1">SUM(DC107:DC115)</f>
        <v>0</v>
      </c>
      <c r="DD117" s="113">
        <f ca="1">SUM(DD107:DD115)</f>
        <v>0</v>
      </c>
      <c r="DE117" s="113">
        <f ca="1">SUM(DE107:DE115)</f>
        <v>0</v>
      </c>
      <c r="DF117" s="113">
        <f ca="1">SUM(DF107:DF115)</f>
        <v>0</v>
      </c>
      <c r="DG117" s="114">
        <f ca="1">SUM(DG107:DG115)</f>
        <v>0</v>
      </c>
    </row>
    <row r="118" spans="2:111" ht="15" thickBot="1">
      <c r="B118" s="83"/>
      <c r="C118" s="86"/>
      <c r="D118" s="86"/>
      <c r="E118" s="86"/>
      <c r="F118" s="86"/>
      <c r="G118" s="86"/>
      <c r="J118" s="83"/>
      <c r="K118" s="86"/>
      <c r="L118" s="86"/>
      <c r="M118" s="86"/>
      <c r="N118" s="86"/>
      <c r="O118" s="86"/>
      <c r="R118" s="83"/>
      <c r="S118" s="86"/>
      <c r="T118" s="86"/>
      <c r="U118" s="86"/>
      <c r="V118" s="86"/>
      <c r="W118" s="86"/>
      <c r="Z118" s="83"/>
      <c r="AA118" s="86"/>
      <c r="AB118" s="86"/>
      <c r="AC118" s="86"/>
      <c r="AD118" s="86"/>
      <c r="AE118" s="86"/>
      <c r="AH118" s="83"/>
      <c r="AI118" s="86"/>
      <c r="AJ118" s="86"/>
      <c r="AK118" s="86"/>
      <c r="AL118" s="86"/>
      <c r="AM118" s="86"/>
      <c r="AP118" s="83"/>
      <c r="AQ118" s="86"/>
      <c r="AR118" s="86"/>
      <c r="AS118" s="86"/>
      <c r="AT118" s="86"/>
      <c r="AU118" s="86"/>
      <c r="AX118" s="83"/>
      <c r="AY118" s="86"/>
      <c r="AZ118" s="86"/>
      <c r="BA118" s="86"/>
      <c r="BB118" s="86"/>
      <c r="BC118" s="86"/>
      <c r="BF118" s="83"/>
      <c r="BG118" s="86"/>
      <c r="BH118" s="86"/>
      <c r="BI118" s="86"/>
      <c r="BJ118" s="86"/>
      <c r="BK118" s="86"/>
      <c r="BN118" s="83"/>
      <c r="BO118" s="86"/>
      <c r="BP118" s="86"/>
      <c r="BQ118" s="86"/>
      <c r="BR118" s="86"/>
      <c r="BS118" s="86"/>
      <c r="BV118" s="83"/>
      <c r="BW118" s="86"/>
      <c r="BX118" s="86"/>
      <c r="BY118" s="86"/>
      <c r="BZ118" s="86"/>
      <c r="CA118" s="86"/>
      <c r="CD118" s="83"/>
      <c r="CE118" s="86"/>
      <c r="CF118" s="86"/>
      <c r="CG118" s="86"/>
      <c r="CH118" s="86"/>
      <c r="CI118" s="86"/>
      <c r="CL118" s="83"/>
      <c r="CM118" s="86"/>
      <c r="CN118" s="86"/>
      <c r="CO118" s="86"/>
      <c r="CP118" s="86"/>
      <c r="CQ118" s="86"/>
      <c r="CT118" s="83"/>
      <c r="CU118" s="86"/>
      <c r="CV118" s="86"/>
      <c r="CW118" s="86"/>
      <c r="CX118" s="86"/>
      <c r="CY118" s="86"/>
      <c r="DB118" s="83"/>
      <c r="DC118" s="86"/>
      <c r="DD118" s="86"/>
      <c r="DE118" s="86"/>
      <c r="DF118" s="86"/>
      <c r="DG118" s="86"/>
    </row>
    <row r="119" spans="2:111" ht="15" thickBot="1">
      <c r="B119" s="507" t="str">
        <f>B56</f>
        <v>With IUD-LNG 10-50%</v>
      </c>
      <c r="C119" s="505"/>
      <c r="D119" s="505"/>
      <c r="E119" s="505"/>
      <c r="F119" s="505"/>
      <c r="G119" s="506"/>
      <c r="J119" s="507" t="str">
        <f>J56</f>
        <v>With IUD-LNG 10-50%</v>
      </c>
      <c r="K119" s="505"/>
      <c r="L119" s="505"/>
      <c r="M119" s="505"/>
      <c r="N119" s="505"/>
      <c r="O119" s="506"/>
      <c r="R119" s="507" t="str">
        <f>R56</f>
        <v>With IUD-LNG 10-50%</v>
      </c>
      <c r="S119" s="505"/>
      <c r="T119" s="505"/>
      <c r="U119" s="505"/>
      <c r="V119" s="505"/>
      <c r="W119" s="506"/>
      <c r="Z119" s="507" t="str">
        <f>Z56</f>
        <v>With IUD-LNG 10-50%</v>
      </c>
      <c r="AA119" s="505"/>
      <c r="AB119" s="505"/>
      <c r="AC119" s="505"/>
      <c r="AD119" s="505"/>
      <c r="AE119" s="506"/>
      <c r="AH119" s="507" t="str">
        <f>AH56</f>
        <v>With IUD-LNG 10-50%</v>
      </c>
      <c r="AI119" s="505"/>
      <c r="AJ119" s="505"/>
      <c r="AK119" s="505"/>
      <c r="AL119" s="505"/>
      <c r="AM119" s="506"/>
      <c r="AP119" s="507" t="str">
        <f>AP56</f>
        <v>With IUD-LNG 10-50%</v>
      </c>
      <c r="AQ119" s="505"/>
      <c r="AR119" s="505"/>
      <c r="AS119" s="505"/>
      <c r="AT119" s="505"/>
      <c r="AU119" s="506"/>
      <c r="AX119" s="507" t="str">
        <f>AX56</f>
        <v>With IUD-LNG 10-50%</v>
      </c>
      <c r="AY119" s="505"/>
      <c r="AZ119" s="505"/>
      <c r="BA119" s="505"/>
      <c r="BB119" s="505"/>
      <c r="BC119" s="506"/>
      <c r="BF119" s="507" t="str">
        <f>BF56</f>
        <v>With IUD-LNG 10-50%</v>
      </c>
      <c r="BG119" s="505"/>
      <c r="BH119" s="505"/>
      <c r="BI119" s="505"/>
      <c r="BJ119" s="505"/>
      <c r="BK119" s="506"/>
      <c r="BN119" s="507" t="str">
        <f>BN56</f>
        <v>With IUD-LNG 10-50%</v>
      </c>
      <c r="BO119" s="505"/>
      <c r="BP119" s="505"/>
      <c r="BQ119" s="505"/>
      <c r="BR119" s="505"/>
      <c r="BS119" s="506"/>
      <c r="BV119" s="507" t="str">
        <f>BV56</f>
        <v>With IUD-LNG 10-50%</v>
      </c>
      <c r="BW119" s="505"/>
      <c r="BX119" s="505"/>
      <c r="BY119" s="505"/>
      <c r="BZ119" s="505"/>
      <c r="CA119" s="506"/>
      <c r="CD119" s="507" t="str">
        <f>CD56</f>
        <v>With IUD-LNG 10-50%</v>
      </c>
      <c r="CE119" s="505"/>
      <c r="CF119" s="505"/>
      <c r="CG119" s="505"/>
      <c r="CH119" s="505"/>
      <c r="CI119" s="506"/>
      <c r="CL119" s="507" t="str">
        <f>CL56</f>
        <v>With IUD-LNG 10-50%</v>
      </c>
      <c r="CM119" s="505"/>
      <c r="CN119" s="505"/>
      <c r="CO119" s="505"/>
      <c r="CP119" s="505"/>
      <c r="CQ119" s="506"/>
      <c r="CT119" s="507" t="str">
        <f>CT56</f>
        <v>With IUD-LNG 10-50%</v>
      </c>
      <c r="CU119" s="505"/>
      <c r="CV119" s="505"/>
      <c r="CW119" s="505"/>
      <c r="CX119" s="505"/>
      <c r="CY119" s="506"/>
      <c r="DB119" s="507" t="str">
        <f>DB56</f>
        <v>With IUD-LNG 10-50%</v>
      </c>
      <c r="DC119" s="505"/>
      <c r="DD119" s="505"/>
      <c r="DE119" s="505"/>
      <c r="DF119" s="505"/>
      <c r="DG119" s="506"/>
    </row>
    <row r="120" spans="2:111">
      <c r="B120" s="84"/>
      <c r="C120" s="101">
        <f>C57</f>
        <v>2026</v>
      </c>
      <c r="D120" s="101">
        <f t="shared" ref="D120:F120" si="300">D57</f>
        <v>2027</v>
      </c>
      <c r="E120" s="101">
        <f t="shared" si="300"/>
        <v>2028</v>
      </c>
      <c r="F120" s="101">
        <f t="shared" si="300"/>
        <v>2029</v>
      </c>
      <c r="G120" s="102">
        <f>G57</f>
        <v>2030</v>
      </c>
      <c r="J120" s="84"/>
      <c r="K120" s="101">
        <f>K57</f>
        <v>2026</v>
      </c>
      <c r="L120" s="101">
        <f t="shared" ref="L120:N120" si="301">L57</f>
        <v>2027</v>
      </c>
      <c r="M120" s="101">
        <f t="shared" si="301"/>
        <v>2028</v>
      </c>
      <c r="N120" s="101">
        <f t="shared" si="301"/>
        <v>2029</v>
      </c>
      <c r="O120" s="102">
        <f>O57</f>
        <v>2030</v>
      </c>
      <c r="R120" s="84"/>
      <c r="S120" s="101">
        <f>S57</f>
        <v>2026</v>
      </c>
      <c r="T120" s="101">
        <f t="shared" ref="T120:V120" si="302">T57</f>
        <v>2027</v>
      </c>
      <c r="U120" s="101">
        <f t="shared" si="302"/>
        <v>2028</v>
      </c>
      <c r="V120" s="101">
        <f t="shared" si="302"/>
        <v>2029</v>
      </c>
      <c r="W120" s="102">
        <f>W57</f>
        <v>2030</v>
      </c>
      <c r="Z120" s="84"/>
      <c r="AA120" s="101">
        <f>AA57</f>
        <v>2026</v>
      </c>
      <c r="AB120" s="101">
        <f t="shared" ref="AB120:AD120" si="303">AB57</f>
        <v>2027</v>
      </c>
      <c r="AC120" s="101">
        <f t="shared" si="303"/>
        <v>2028</v>
      </c>
      <c r="AD120" s="101">
        <f t="shared" si="303"/>
        <v>2029</v>
      </c>
      <c r="AE120" s="102">
        <f>AE57</f>
        <v>2030</v>
      </c>
      <c r="AH120" s="84"/>
      <c r="AI120" s="101">
        <f>AI57</f>
        <v>2026</v>
      </c>
      <c r="AJ120" s="101">
        <f t="shared" ref="AJ120:AL120" si="304">AJ57</f>
        <v>2027</v>
      </c>
      <c r="AK120" s="101">
        <f t="shared" si="304"/>
        <v>2028</v>
      </c>
      <c r="AL120" s="101">
        <f t="shared" si="304"/>
        <v>2029</v>
      </c>
      <c r="AM120" s="102">
        <f>AM57</f>
        <v>2030</v>
      </c>
      <c r="AP120" s="84"/>
      <c r="AQ120" s="101">
        <f>AQ57</f>
        <v>2026</v>
      </c>
      <c r="AR120" s="101">
        <f t="shared" ref="AR120:AT120" si="305">AR57</f>
        <v>2027</v>
      </c>
      <c r="AS120" s="101">
        <f t="shared" si="305"/>
        <v>2028</v>
      </c>
      <c r="AT120" s="101">
        <f t="shared" si="305"/>
        <v>2029</v>
      </c>
      <c r="AU120" s="102">
        <f>AU57</f>
        <v>2030</v>
      </c>
      <c r="AX120" s="84"/>
      <c r="AY120" s="101">
        <f>AY57</f>
        <v>2026</v>
      </c>
      <c r="AZ120" s="101">
        <f t="shared" ref="AZ120:BB120" si="306">AZ57</f>
        <v>2027</v>
      </c>
      <c r="BA120" s="101">
        <f t="shared" si="306"/>
        <v>2028</v>
      </c>
      <c r="BB120" s="101">
        <f t="shared" si="306"/>
        <v>2029</v>
      </c>
      <c r="BC120" s="102">
        <f>BC57</f>
        <v>2030</v>
      </c>
      <c r="BF120" s="84"/>
      <c r="BG120" s="101">
        <f>BG57</f>
        <v>2026</v>
      </c>
      <c r="BH120" s="101">
        <f t="shared" ref="BH120:BJ120" si="307">BH57</f>
        <v>2027</v>
      </c>
      <c r="BI120" s="101">
        <f t="shared" si="307"/>
        <v>2028</v>
      </c>
      <c r="BJ120" s="101">
        <f t="shared" si="307"/>
        <v>2029</v>
      </c>
      <c r="BK120" s="102">
        <f>BK57</f>
        <v>2030</v>
      </c>
      <c r="BN120" s="84"/>
      <c r="BO120" s="101">
        <f>BO57</f>
        <v>2026</v>
      </c>
      <c r="BP120" s="101">
        <f t="shared" ref="BP120:BR120" si="308">BP57</f>
        <v>2027</v>
      </c>
      <c r="BQ120" s="101">
        <f t="shared" si="308"/>
        <v>2028</v>
      </c>
      <c r="BR120" s="101">
        <f t="shared" si="308"/>
        <v>2029</v>
      </c>
      <c r="BS120" s="102">
        <f>BS57</f>
        <v>2030</v>
      </c>
      <c r="BV120" s="84"/>
      <c r="BW120" s="101">
        <f>BW57</f>
        <v>2026</v>
      </c>
      <c r="BX120" s="101">
        <f t="shared" ref="BX120:BZ120" si="309">BX57</f>
        <v>2027</v>
      </c>
      <c r="BY120" s="101">
        <f t="shared" si="309"/>
        <v>2028</v>
      </c>
      <c r="BZ120" s="101">
        <f t="shared" si="309"/>
        <v>2029</v>
      </c>
      <c r="CA120" s="102">
        <f>CA57</f>
        <v>2030</v>
      </c>
      <c r="CD120" s="84"/>
      <c r="CE120" s="101">
        <f>CE57</f>
        <v>2026</v>
      </c>
      <c r="CF120" s="101">
        <f t="shared" ref="CF120:CH120" si="310">CF57</f>
        <v>2027</v>
      </c>
      <c r="CG120" s="101">
        <f t="shared" si="310"/>
        <v>2028</v>
      </c>
      <c r="CH120" s="101">
        <f t="shared" si="310"/>
        <v>2029</v>
      </c>
      <c r="CI120" s="102">
        <f>CI57</f>
        <v>2030</v>
      </c>
      <c r="CL120" s="84"/>
      <c r="CM120" s="101">
        <f>CM57</f>
        <v>2026</v>
      </c>
      <c r="CN120" s="101">
        <f t="shared" ref="CN120:CP120" si="311">CN57</f>
        <v>2027</v>
      </c>
      <c r="CO120" s="101">
        <f t="shared" si="311"/>
        <v>2028</v>
      </c>
      <c r="CP120" s="101">
        <f t="shared" si="311"/>
        <v>2029</v>
      </c>
      <c r="CQ120" s="102">
        <f>CQ57</f>
        <v>2030</v>
      </c>
      <c r="CT120" s="84"/>
      <c r="CU120" s="101">
        <f>CU57</f>
        <v>2026</v>
      </c>
      <c r="CV120" s="101">
        <f t="shared" ref="CV120:CX120" si="312">CV57</f>
        <v>2027</v>
      </c>
      <c r="CW120" s="101">
        <f t="shared" si="312"/>
        <v>2028</v>
      </c>
      <c r="CX120" s="101">
        <f t="shared" si="312"/>
        <v>2029</v>
      </c>
      <c r="CY120" s="102">
        <f>CY57</f>
        <v>2030</v>
      </c>
      <c r="DB120" s="84"/>
      <c r="DC120" s="101">
        <f>DC57</f>
        <v>2026</v>
      </c>
      <c r="DD120" s="101">
        <f t="shared" ref="DD120:DF120" si="313">DD57</f>
        <v>2027</v>
      </c>
      <c r="DE120" s="101">
        <f t="shared" si="313"/>
        <v>2028</v>
      </c>
      <c r="DF120" s="101">
        <f t="shared" si="313"/>
        <v>2029</v>
      </c>
      <c r="DG120" s="102">
        <f>DG57</f>
        <v>2030</v>
      </c>
    </row>
    <row r="121" spans="2:111">
      <c r="B121" s="87" t="s">
        <v>170</v>
      </c>
      <c r="C121" s="109">
        <f ca="1">(C58*c_inicial)+(C58*c_on*12)+(C58*ci_int1)+(C58*(ct_int1+ca_int1)*'Time on treatment'!$D$12)</f>
        <v>26538280.865881924</v>
      </c>
      <c r="D121" s="109">
        <f ca="1">(D58*c_on*12)+(D58*(ct_int1+ca_int1)*'Time on treatment'!$E$12)</f>
        <v>0</v>
      </c>
      <c r="E121" s="109">
        <f ca="1">(E58*c_on*12)+(E58*(ct_int1+ca_int1)*'Time on treatment'!$F$12)</f>
        <v>0</v>
      </c>
      <c r="F121" s="109">
        <f ca="1">(F58*c_on*12)+(F58*(ct_int1+ca_int1)*'Time on treatment'!$G$12)</f>
        <v>0</v>
      </c>
      <c r="G121" s="110">
        <f ca="1">(G58*c_on*12)+(G58*(ct_int1+ca_int1)*'Time on treatment'!$H$12)</f>
        <v>0</v>
      </c>
      <c r="J121" s="87" t="s">
        <v>170</v>
      </c>
      <c r="K121" s="109">
        <f ca="1">(K58*c_inicial)+(K58*c_on*12)+(K58*ci_int2)+(K58*(ct_int2+ca_int2)*'Time on treatment'!$D$13)</f>
        <v>0</v>
      </c>
      <c r="L121" s="109">
        <f ca="1">(L58*c_on*12)+(L58*(ct_int2+ca_int2)*'Time on treatment'!$E$13)</f>
        <v>0</v>
      </c>
      <c r="M121" s="109">
        <f ca="1">(M58*c_on*12)+(M58*(ct_int2+ca_int2)*'Time on treatment'!$F$13)</f>
        <v>0</v>
      </c>
      <c r="N121" s="109">
        <f ca="1">(N58*c_on*12)+(N58*(ct_int2+ca_int2)*'Time on treatment'!$G$13)</f>
        <v>0</v>
      </c>
      <c r="O121" s="110">
        <f ca="1">(O58*c_on*12)+(O58*(ct_int2+ca_int2)*'Time on treatment'!$H$13)</f>
        <v>0</v>
      </c>
      <c r="R121" s="87" t="s">
        <v>170</v>
      </c>
      <c r="S121" s="109">
        <f ca="1">(S58*c_inicial)+(S58*c_on*12)+(S58*ci_int3)+(S58*(ct_int3+ca_int3)*'Time on treatment'!$D$14)</f>
        <v>0</v>
      </c>
      <c r="T121" s="109">
        <f ca="1">(T58*c_on*12)+(T58*(ct_int3+ca_int3)*'Time on treatment'!$E$14)</f>
        <v>0</v>
      </c>
      <c r="U121" s="109">
        <f ca="1">(U58*c_on*12)+(U58*(ct_int3+ca_int3)*'Time on treatment'!$F$14)</f>
        <v>0</v>
      </c>
      <c r="V121" s="109">
        <f ca="1">(V58*c_on*12)+(V58*(ct_int3+ca_int3)*'Time on treatment'!$G$14)</f>
        <v>0</v>
      </c>
      <c r="W121" s="110">
        <f ca="1">(W58*c_on*12)+(W58*(ct_int3+ca_int3)*'Time on treatment'!$H$14)</f>
        <v>0</v>
      </c>
      <c r="Z121" s="87" t="s">
        <v>170</v>
      </c>
      <c r="AA121" s="109">
        <f ca="1">(AA58*c_inicial)+(AA58*c_on*12)+(AA58*ci_int4)+(AA58*(ct_int4+ca_int4)*'Time on treatment'!$D$15)</f>
        <v>0</v>
      </c>
      <c r="AB121" s="109">
        <f ca="1">(AB58*c_on*12)+(AB58*(ct_int4+ca_int4)*'Time on treatment'!$E$15)</f>
        <v>0</v>
      </c>
      <c r="AC121" s="109">
        <f ca="1">(AC58*c_on*12)+(AC58*(ct_int4+ca_int4)*'Time on treatment'!$F$15)</f>
        <v>0</v>
      </c>
      <c r="AD121" s="109">
        <f ca="1">(AD58*c_on*12)+(AD58*(ct_int4+ca_int4)*'Time on treatment'!$G$15)</f>
        <v>0</v>
      </c>
      <c r="AE121" s="110">
        <f ca="1">(AE58*c_on*12)+(AE58*(ct_int4+ca_int4)*'Time on treatment'!$H$15)</f>
        <v>0</v>
      </c>
      <c r="AH121" s="87" t="s">
        <v>170</v>
      </c>
      <c r="AI121" s="109">
        <f ca="1">(AI58*c_inicial)+(AI58*c_on*12)+(AI58*ci_comp1)+(AI58*(ct_comp1+ca_comp1)*'Time on treatment'!$D$19)</f>
        <v>4938714.6527574901</v>
      </c>
      <c r="AJ121" s="109">
        <f ca="1">(AJ58*c_on*12)+(AJ58*(ct_comp1+ca_comp1)*'Time on treatment'!$E$19)</f>
        <v>4938714.6527574901</v>
      </c>
      <c r="AK121" s="109">
        <f ca="1">(AK58*c_on*12)+(AK58*(ct_comp1+ca_comp1)*'Time on treatment'!$F$19)</f>
        <v>4938714.6527574901</v>
      </c>
      <c r="AL121" s="109">
        <f ca="1">(AL58*c_on*12)+(AL58*(ct_comp1+ca_comp1)*'Time on treatment'!$G$19)</f>
        <v>4938714.6527574901</v>
      </c>
      <c r="AM121" s="110">
        <f ca="1">(AM58*c_on*12)+(AM58*(ct_comp1+ca_comp1)*'Time on treatment'!$H$19)</f>
        <v>4938714.6527574901</v>
      </c>
      <c r="AP121" s="87" t="s">
        <v>170</v>
      </c>
      <c r="AQ121" s="109">
        <f ca="1">(AQ58*c_inicial)+(AQ58*c_on*12)+(AQ58*ci_comp2)+(AQ58*(ct_comp2+ca_comp2)*'Time on treatment'!$D$20)</f>
        <v>0</v>
      </c>
      <c r="AR121" s="109">
        <f ca="1">(AR58*c_on*12)+(AR58*(ct_comp2+ca_comp2)*'Time on treatment'!$E$20)</f>
        <v>0</v>
      </c>
      <c r="AS121" s="109">
        <f ca="1">(AS58*c_on*12)+(AS58*(ct_comp2+ca_comp2)*'Time on treatment'!$F$20)</f>
        <v>0</v>
      </c>
      <c r="AT121" s="109">
        <f ca="1">(AT58*c_on*12)+(AT58*(ct_comp2+ca_comp2)*'Time on treatment'!$G$20)</f>
        <v>0</v>
      </c>
      <c r="AU121" s="110">
        <f ca="1">(AU58*c_on*12)+(AU58*(ct_comp2+ca_comp2)*'Time on treatment'!$H$20)</f>
        <v>0</v>
      </c>
      <c r="AX121" s="87" t="s">
        <v>170</v>
      </c>
      <c r="AY121" s="109">
        <f ca="1">(AY58*c_inicial)+(AY58*c_on*12)+(AY58*ci_comp3)+(AY58*(ct_comp3+ca_comp3)*'Time on treatment'!$D$21)</f>
        <v>0</v>
      </c>
      <c r="AZ121" s="109">
        <f ca="1">(AZ58*c_on*12)+(AZ58*(ct_comp3+ca_comp3)*'Time on treatment'!$E$21)</f>
        <v>0</v>
      </c>
      <c r="BA121" s="109">
        <f ca="1">(BA58*c_on*12)+(BA58*(ct_comp3+ca_comp3)*'Time on treatment'!$F$21)</f>
        <v>0</v>
      </c>
      <c r="BB121" s="109">
        <f ca="1">(BB58*c_on*12)+(BB58*(ct_comp3+ca_comp3)*'Time on treatment'!$G$21)</f>
        <v>0</v>
      </c>
      <c r="BC121" s="110">
        <f ca="1">(BC58*c_on*12)+(BC58*(ct_comp3+ca_comp3)*'Time on treatment'!$H$21)</f>
        <v>0</v>
      </c>
      <c r="BF121" s="87" t="s">
        <v>170</v>
      </c>
      <c r="BG121" s="109">
        <f ca="1">(BG58*c_inicial)+(BG58*c_on*12)+(BG58*ci_comp4)+(BG58*(ct_comp4+ca_comp4)*'Time on treatment'!$D$22)</f>
        <v>0</v>
      </c>
      <c r="BH121" s="109">
        <f ca="1">(BH58*c_on*12)+(BH58*(ct_comp4+ca_comp4)*'Time on treatment'!$E$22)</f>
        <v>0</v>
      </c>
      <c r="BI121" s="109">
        <f ca="1">(BI58*c_on*12)+(BI58*(ct_comp4+ca_comp4)*'Time on treatment'!$F$22)</f>
        <v>0</v>
      </c>
      <c r="BJ121" s="109">
        <f ca="1">(BJ58*c_on*12)+(BJ58*(ct_comp4+ca_comp4)*'Time on treatment'!$G$22)</f>
        <v>0</v>
      </c>
      <c r="BK121" s="110">
        <f ca="1">(BK58*c_on*12)+(BK58*(ct_comp4+ca_comp4)*'Time on treatment'!$H$22)</f>
        <v>0</v>
      </c>
      <c r="BN121" s="87" t="s">
        <v>170</v>
      </c>
      <c r="BO121" s="109">
        <f ca="1">(BO58*c_inicial)+(BO58*c_on*12)+(BO58*ci_comp5)+(BO58*(ct_comp5+ca_comp5)*'Time on treatment'!$D$23)</f>
        <v>0</v>
      </c>
      <c r="BP121" s="109">
        <f ca="1">(BP58*c_on*12)+(BP58*(ct_comp5+ca_comp5)*'Time on treatment'!$E$23)</f>
        <v>0</v>
      </c>
      <c r="BQ121" s="109">
        <f ca="1">(BQ58*c_on*12)+(BQ58*(ct_comp5+ca_comp5)*'Time on treatment'!$F$23)</f>
        <v>0</v>
      </c>
      <c r="BR121" s="109">
        <f ca="1">(BR58*c_on*12)+(BR58*(ct_comp5+ca_comp5)*'Time on treatment'!$G$23)</f>
        <v>0</v>
      </c>
      <c r="BS121" s="110">
        <f ca="1">(BS58*c_on*12)+(BS58*(ct_comp5+ca_comp5)*'Time on treatment'!$H$23)</f>
        <v>0</v>
      </c>
      <c r="BV121" s="87" t="s">
        <v>170</v>
      </c>
      <c r="BW121" s="109">
        <f ca="1">(BW58*c_inicial)+(BW58*c_on*12)+(BW58*ci_comp6)+(BW58*(ct_comp6+ca_comp6)*'Time on treatment'!$D$24)</f>
        <v>0</v>
      </c>
      <c r="BX121" s="109">
        <f ca="1">(BX58*c_on*12)+(BX58*(ct_comp6+ca_comp6)*'Time on treatment'!$E$24)</f>
        <v>0</v>
      </c>
      <c r="BY121" s="109">
        <f ca="1">(BY58*c_on*12)+(BY58*(ct_comp6+ca_comp6)*'Time on treatment'!$F$24)</f>
        <v>0</v>
      </c>
      <c r="BZ121" s="109">
        <f ca="1">(BZ58*c_on*12)+(BZ58*(ct_comp6+ca_comp6)*'Time on treatment'!$G$24)</f>
        <v>0</v>
      </c>
      <c r="CA121" s="110">
        <f ca="1">(CA58*c_on*12)+(CA58*(ct_comp6+ca_comp6)*'Time on treatment'!$H$24)</f>
        <v>0</v>
      </c>
      <c r="CD121" s="87" t="s">
        <v>170</v>
      </c>
      <c r="CE121" s="109">
        <f ca="1">(CE58*c_inicial)+(CE58*c_on*12)+(CE58*ci_comp7)+(CE58*(ct_comp7+ca_comp7)*'Time on treatment'!$D$25)</f>
        <v>0</v>
      </c>
      <c r="CF121" s="109">
        <f ca="1">(CF58*c_on*12)+(CF58*(ct_comp7+ca_comp7)*'Time on treatment'!$E$25)</f>
        <v>0</v>
      </c>
      <c r="CG121" s="109">
        <f ca="1">(CG58*c_on*12)+(CG58*(ct_comp7+ca_comp7)*'Time on treatment'!$F$25)</f>
        <v>0</v>
      </c>
      <c r="CH121" s="109">
        <f ca="1">(CH58*c_on*12)+(CH58*(ct_comp7+ca_comp7)*'Time on treatment'!$G$25)</f>
        <v>0</v>
      </c>
      <c r="CI121" s="110">
        <f ca="1">(CI58*c_on*12)+(CI58*(ct_comp7+ca_comp7)*'Time on treatment'!$H$25)</f>
        <v>0</v>
      </c>
      <c r="CL121" s="87" t="s">
        <v>170</v>
      </c>
      <c r="CM121" s="109">
        <f ca="1">(CM58*c_inicial)+(CM58*c_on*12)+(CM58*ci_comp8)+(CM58*(ct_comp8+ca_comp8)*'Time on treatment'!$D$26)</f>
        <v>0</v>
      </c>
      <c r="CN121" s="109">
        <f ca="1">(CN58*c_on*12)+(CN58*(ct_comp8+ca_comp8)*'Time on treatment'!$E$26)</f>
        <v>0</v>
      </c>
      <c r="CO121" s="109">
        <f ca="1">(CO58*c_on*12)+(CO58*(ct_comp8+ca_comp8)*'Time on treatment'!$F$26)</f>
        <v>0</v>
      </c>
      <c r="CP121" s="109">
        <f ca="1">(CP58*c_on*12)+(CP58*(ct_comp8+ca_comp8)*'Time on treatment'!$G$26)</f>
        <v>0</v>
      </c>
      <c r="CQ121" s="110">
        <f ca="1">(CQ58*c_on*12)+(CQ58*(ct_comp8+ca_comp8)*'Time on treatment'!$H$26)</f>
        <v>0</v>
      </c>
      <c r="CT121" s="87" t="s">
        <v>170</v>
      </c>
      <c r="CU121" s="109">
        <f ca="1">(CU58*c_inicial)+(CU58*c_on*12)+(CU58*ci_comp9)+(CU58*(ct_comp9+ca_comp9)*'Time on treatment'!$D$27)</f>
        <v>0</v>
      </c>
      <c r="CV121" s="109">
        <f ca="1">(CV58*c_on*12)+(CV58*(ct_comp9+ca_comp9)*'Time on treatment'!$E$27)</f>
        <v>0</v>
      </c>
      <c r="CW121" s="109">
        <f ca="1">(CW58*c_on*12)+(CW58*(ct_comp9+ca_comp9)*'Time on treatment'!$F$27)</f>
        <v>0</v>
      </c>
      <c r="CX121" s="109">
        <f ca="1">(CX58*c_on*12)+(CX58*(ct_comp9+ca_comp9)*'Time on treatment'!$G$27)</f>
        <v>0</v>
      </c>
      <c r="CY121" s="110">
        <f ca="1">(CY58*c_on*12)+(CY58*(ct_comp9+ca_comp9)*'Time on treatment'!$H$27)</f>
        <v>0</v>
      </c>
      <c r="DB121" s="87" t="s">
        <v>170</v>
      </c>
      <c r="DC121" s="109">
        <f ca="1">(DC58*c_inicial)+(DC58*c_on*12)+(DC58*ci_comp10)+(DC58*(ct_comp10+ca_comp10)*'Time on treatment'!$D$28)</f>
        <v>0</v>
      </c>
      <c r="DD121" s="109">
        <f ca="1">(DD58*c_on*12)+(DD58*(ct_comp10+ca_comp10)*'Time on treatment'!$E$28)</f>
        <v>0</v>
      </c>
      <c r="DE121" s="109">
        <f ca="1">(DE58*c_on*12)+(DE58*(ct_comp10+ca_comp10)*'Time on treatment'!$F$28)</f>
        <v>0</v>
      </c>
      <c r="DF121" s="109">
        <f ca="1">(DF58*c_on*12)+(DF58*(ct_comp10+ca_comp10)*'Time on treatment'!$G$28)</f>
        <v>0</v>
      </c>
      <c r="DG121" s="110">
        <f ca="1">(DG58*c_on*12)+(DG58*(ct_comp10+ca_comp10)*'Time on treatment'!$H$28)</f>
        <v>0</v>
      </c>
    </row>
    <row r="122" spans="2:111">
      <c r="B122" s="87" t="s">
        <v>175</v>
      </c>
      <c r="C122" s="109">
        <f>C59*c_off</f>
        <v>0</v>
      </c>
      <c r="D122" s="109">
        <f>D59*c_off</f>
        <v>0</v>
      </c>
      <c r="E122" s="109">
        <f>E59*c_off</f>
        <v>0</v>
      </c>
      <c r="F122" s="109">
        <f>F59*c_off</f>
        <v>0</v>
      </c>
      <c r="G122" s="110">
        <f>G59*c_off</f>
        <v>0</v>
      </c>
      <c r="J122" s="87" t="s">
        <v>175</v>
      </c>
      <c r="K122" s="109">
        <f>K59*c_off</f>
        <v>0</v>
      </c>
      <c r="L122" s="109">
        <f>L59*c_off</f>
        <v>0</v>
      </c>
      <c r="M122" s="109">
        <f>M59*c_off</f>
        <v>0</v>
      </c>
      <c r="N122" s="109">
        <f>N59*c_off</f>
        <v>0</v>
      </c>
      <c r="O122" s="110">
        <f>O59*c_off</f>
        <v>0</v>
      </c>
      <c r="R122" s="87" t="s">
        <v>175</v>
      </c>
      <c r="S122" s="109">
        <f>S59*c_off</f>
        <v>0</v>
      </c>
      <c r="T122" s="109">
        <f>T59*c_off</f>
        <v>0</v>
      </c>
      <c r="U122" s="109">
        <f>U59*c_off</f>
        <v>0</v>
      </c>
      <c r="V122" s="109">
        <f>V59*c_off</f>
        <v>0</v>
      </c>
      <c r="W122" s="110">
        <f>W59*c_off</f>
        <v>0</v>
      </c>
      <c r="Z122" s="87" t="s">
        <v>175</v>
      </c>
      <c r="AA122" s="109">
        <f>AA59*c_off</f>
        <v>0</v>
      </c>
      <c r="AB122" s="109">
        <f>AB59*c_off</f>
        <v>0</v>
      </c>
      <c r="AC122" s="109">
        <f>AC59*c_off</f>
        <v>0</v>
      </c>
      <c r="AD122" s="109">
        <f>AD59*c_off</f>
        <v>0</v>
      </c>
      <c r="AE122" s="110">
        <f>AE59*c_off</f>
        <v>0</v>
      </c>
      <c r="AH122" s="87" t="s">
        <v>175</v>
      </c>
      <c r="AI122" s="109">
        <f>AI59*c_off</f>
        <v>0</v>
      </c>
      <c r="AJ122" s="109">
        <f>AJ59*c_off</f>
        <v>0</v>
      </c>
      <c r="AK122" s="109">
        <f>AK59*c_off</f>
        <v>0</v>
      </c>
      <c r="AL122" s="109">
        <f>AL59*c_off</f>
        <v>0</v>
      </c>
      <c r="AM122" s="110">
        <f>AM59*c_off</f>
        <v>0</v>
      </c>
      <c r="AP122" s="87" t="s">
        <v>175</v>
      </c>
      <c r="AQ122" s="109">
        <f>AQ59*c_off</f>
        <v>0</v>
      </c>
      <c r="AR122" s="109">
        <f>AR59*c_off</f>
        <v>0</v>
      </c>
      <c r="AS122" s="109">
        <f>AS59*c_off</f>
        <v>0</v>
      </c>
      <c r="AT122" s="109">
        <f>AT59*c_off</f>
        <v>0</v>
      </c>
      <c r="AU122" s="110">
        <f>AU59*c_off</f>
        <v>0</v>
      </c>
      <c r="AX122" s="87" t="s">
        <v>175</v>
      </c>
      <c r="AY122" s="109">
        <f>AY59*c_off</f>
        <v>0</v>
      </c>
      <c r="AZ122" s="109">
        <f>AZ59*c_off</f>
        <v>0</v>
      </c>
      <c r="BA122" s="109">
        <f>BA59*c_off</f>
        <v>0</v>
      </c>
      <c r="BB122" s="109">
        <f>BB59*c_off</f>
        <v>0</v>
      </c>
      <c r="BC122" s="110">
        <f>BC59*c_off</f>
        <v>0</v>
      </c>
      <c r="BF122" s="87" t="s">
        <v>175</v>
      </c>
      <c r="BG122" s="109">
        <f>BG59*c_off</f>
        <v>0</v>
      </c>
      <c r="BH122" s="109">
        <f>BH59*c_off</f>
        <v>0</v>
      </c>
      <c r="BI122" s="109">
        <f>BI59*c_off</f>
        <v>0</v>
      </c>
      <c r="BJ122" s="109">
        <f>BJ59*c_off</f>
        <v>0</v>
      </c>
      <c r="BK122" s="110">
        <f>BK59*c_off</f>
        <v>0</v>
      </c>
      <c r="BN122" s="87" t="s">
        <v>175</v>
      </c>
      <c r="BO122" s="109">
        <f>BO59*c_off</f>
        <v>0</v>
      </c>
      <c r="BP122" s="109">
        <f>BP59*c_off</f>
        <v>0</v>
      </c>
      <c r="BQ122" s="109">
        <f>BQ59*c_off</f>
        <v>0</v>
      </c>
      <c r="BR122" s="109">
        <f>BR59*c_off</f>
        <v>0</v>
      </c>
      <c r="BS122" s="110">
        <f>BS59*c_off</f>
        <v>0</v>
      </c>
      <c r="BV122" s="87" t="s">
        <v>175</v>
      </c>
      <c r="BW122" s="109">
        <f>BW59*c_off</f>
        <v>0</v>
      </c>
      <c r="BX122" s="109">
        <f>BX59*c_off</f>
        <v>0</v>
      </c>
      <c r="BY122" s="109">
        <f>BY59*c_off</f>
        <v>0</v>
      </c>
      <c r="BZ122" s="109">
        <f>BZ59*c_off</f>
        <v>0</v>
      </c>
      <c r="CA122" s="110">
        <f>CA59*c_off</f>
        <v>0</v>
      </c>
      <c r="CD122" s="87" t="s">
        <v>175</v>
      </c>
      <c r="CE122" s="109">
        <f>CE59*c_off</f>
        <v>0</v>
      </c>
      <c r="CF122" s="109">
        <f>CF59*c_off</f>
        <v>0</v>
      </c>
      <c r="CG122" s="109">
        <f>CG59*c_off</f>
        <v>0</v>
      </c>
      <c r="CH122" s="109">
        <f>CH59*c_off</f>
        <v>0</v>
      </c>
      <c r="CI122" s="110">
        <f>CI59*c_off</f>
        <v>0</v>
      </c>
      <c r="CL122" s="87" t="s">
        <v>175</v>
      </c>
      <c r="CM122" s="109">
        <f>CM59*c_off</f>
        <v>0</v>
      </c>
      <c r="CN122" s="109">
        <f>CN59*c_off</f>
        <v>0</v>
      </c>
      <c r="CO122" s="109">
        <f>CO59*c_off</f>
        <v>0</v>
      </c>
      <c r="CP122" s="109">
        <f>CP59*c_off</f>
        <v>0</v>
      </c>
      <c r="CQ122" s="110">
        <f>CQ59*c_off</f>
        <v>0</v>
      </c>
      <c r="CT122" s="87" t="s">
        <v>175</v>
      </c>
      <c r="CU122" s="109">
        <f>CU59*c_off</f>
        <v>0</v>
      </c>
      <c r="CV122" s="109">
        <f>CV59*c_off</f>
        <v>0</v>
      </c>
      <c r="CW122" s="109">
        <f>CW59*c_off</f>
        <v>0</v>
      </c>
      <c r="CX122" s="109">
        <f>CX59*c_off</f>
        <v>0</v>
      </c>
      <c r="CY122" s="110">
        <f>CY59*c_off</f>
        <v>0</v>
      </c>
      <c r="DB122" s="87" t="s">
        <v>175</v>
      </c>
      <c r="DC122" s="109">
        <f>DC59*c_off</f>
        <v>0</v>
      </c>
      <c r="DD122" s="109">
        <f>DD59*c_off</f>
        <v>0</v>
      </c>
      <c r="DE122" s="109">
        <f>DE59*c_off</f>
        <v>0</v>
      </c>
      <c r="DF122" s="109">
        <f>DF59*c_off</f>
        <v>0</v>
      </c>
      <c r="DG122" s="110">
        <f>DG59*c_off</f>
        <v>0</v>
      </c>
    </row>
    <row r="123" spans="2:111">
      <c r="B123" s="87" t="s">
        <v>171</v>
      </c>
      <c r="C123" s="111"/>
      <c r="D123" s="109">
        <f ca="1">(D60*c_inicial)+(D60*c_on*12)+(D60*ci_int1)+(D60*(ct_int1+ca_int1)*'Time on treatment'!$D$12)</f>
        <v>52885290.695270158</v>
      </c>
      <c r="E123" s="109">
        <f ca="1">(E60*c_on*12)+(E60*(ct_int1+ca_int1)*'Time on treatment'!$E$12)</f>
        <v>0</v>
      </c>
      <c r="F123" s="109">
        <f ca="1">(F60*c_on*12)+(F60*(ct_int1+ca_int1)*'Time on treatment'!$F$12)</f>
        <v>0</v>
      </c>
      <c r="G123" s="110">
        <f ca="1">(G60*c_on*12)+(G60*(ct_int1+ca_int1)*'Time on treatment'!$G$12)</f>
        <v>0</v>
      </c>
      <c r="J123" s="87" t="s">
        <v>171</v>
      </c>
      <c r="K123" s="111"/>
      <c r="L123" s="109">
        <f ca="1">(L60*c_inicial)+(L60*c_on*12)+(L60*ci_int2)+(L60*(ct_int2+ca_int2)*'Time on treatment'!$D$13)</f>
        <v>0</v>
      </c>
      <c r="M123" s="109">
        <f ca="1">(M60*c_on*12)+(M60*(ct_int2+ca_int2)*'Time on treatment'!$E$13)</f>
        <v>0</v>
      </c>
      <c r="N123" s="109">
        <f ca="1">(N60*c_on*12)+(N60*(ct_int2+ca_int2)*'Time on treatment'!$F$13)</f>
        <v>0</v>
      </c>
      <c r="O123" s="110">
        <f ca="1">(O60*c_on*12)+(O60*(ct_int2+ca_int2)*'Time on treatment'!$G$13)</f>
        <v>0</v>
      </c>
      <c r="R123" s="87" t="s">
        <v>171</v>
      </c>
      <c r="S123" s="111"/>
      <c r="T123" s="109">
        <f ca="1">(T60*c_inicial)+(T60*c_on*12)+(T60*ci_int3)+(T60*(ct_int3+ca_int3)*'Time on treatment'!$D$14)</f>
        <v>0</v>
      </c>
      <c r="U123" s="109">
        <f ca="1">(U60*c_on*12)+(U60*(ct_int3+ca_int3)*'Time on treatment'!$E$14)</f>
        <v>0</v>
      </c>
      <c r="V123" s="109">
        <f ca="1">(V60*c_on*12)+(V60*(ct_int3+ca_int3)*'Time on treatment'!$F$14)</f>
        <v>0</v>
      </c>
      <c r="W123" s="110">
        <f ca="1">(W60*c_on*12)+(W60*(ct_int3+ca_int3)*'Time on treatment'!$G$14)</f>
        <v>0</v>
      </c>
      <c r="Z123" s="87" t="s">
        <v>171</v>
      </c>
      <c r="AA123" s="111"/>
      <c r="AB123" s="109">
        <f ca="1">(AB60*c_inicial)+(AB60*c_on*12)+(AB60*ci_int4)+(AB60*(ct_int4+ca_int4)*'Time on treatment'!$D$15)</f>
        <v>0</v>
      </c>
      <c r="AC123" s="109">
        <f ca="1">(AC60*c_on*12)+(AC60*(ct_int4+ca_int4)*'Time on treatment'!$E$15)</f>
        <v>0</v>
      </c>
      <c r="AD123" s="109">
        <f ca="1">(AD60*c_on*12)+(AD60*(ct_int4+ca_int4)*'Time on treatment'!$F$15)</f>
        <v>0</v>
      </c>
      <c r="AE123" s="110">
        <f ca="1">(AE60*c_on*12)+(AE60*(ct_int4+ca_int4)*'Time on treatment'!$G$15)</f>
        <v>0</v>
      </c>
      <c r="AH123" s="87" t="s">
        <v>171</v>
      </c>
      <c r="AI123" s="111"/>
      <c r="AJ123" s="109">
        <f ca="1">(AJ60*c_inicial)+(AJ60*c_on*12)+(AJ60*ci_comp1)+(AJ60*(ct_comp1+ca_comp1)*'Time on treatment'!$D$19)</f>
        <v>4374148.530603989</v>
      </c>
      <c r="AK123" s="109">
        <f ca="1">(AK60*c_on*12)+(AK60*(ct_comp1+ca_comp1)*'Time on treatment'!$E$19)</f>
        <v>4374148.530603989</v>
      </c>
      <c r="AL123" s="109">
        <f ca="1">(AL60*c_on*12)+(AL60*(ct_comp1+ca_comp1)*'Time on treatment'!$F$19)</f>
        <v>4374148.530603989</v>
      </c>
      <c r="AM123" s="110">
        <f ca="1">(AM60*c_on*12)+(AM60*(ct_comp1+ca_comp1)*'Time on treatment'!$G$19)</f>
        <v>4374148.530603989</v>
      </c>
      <c r="AP123" s="87" t="s">
        <v>171</v>
      </c>
      <c r="AQ123" s="111"/>
      <c r="AR123" s="109">
        <f ca="1">(AR60*c_inicial)+(AR60*c_on*12)+(AR60*ci_comp2)+(AR60*(ct_comp2+ca_comp2)*'Time on treatment'!$D$20)</f>
        <v>0</v>
      </c>
      <c r="AS123" s="109">
        <f ca="1">(AS60*c_on*12)+(AS60*(ct_comp2+ca_comp2)*'Time on treatment'!$E$20)</f>
        <v>0</v>
      </c>
      <c r="AT123" s="109">
        <f ca="1">(AT60*c_on*12)+(AT60*(ct_comp2+ca_comp2)*'Time on treatment'!$F$20)</f>
        <v>0</v>
      </c>
      <c r="AU123" s="110">
        <f ca="1">(AU60*c_on*12)+(AU60*(ct_comp2+ca_comp2)*'Time on treatment'!$G$20)</f>
        <v>0</v>
      </c>
      <c r="AX123" s="87" t="s">
        <v>171</v>
      </c>
      <c r="AY123" s="111"/>
      <c r="AZ123" s="109">
        <f ca="1">(AZ60*c_inicial)+(AZ60*c_on*12)+(AZ60*ci_comp3)+(AZ60*(ct_comp3+ca_comp3)*'Time on treatment'!$D$21)</f>
        <v>0</v>
      </c>
      <c r="BA123" s="109">
        <f ca="1">(BA60*c_on*12)+(BA60*(ct_comp3+ca_comp3)*'Time on treatment'!$E$21)</f>
        <v>0</v>
      </c>
      <c r="BB123" s="109">
        <f ca="1">(BB60*c_on*12)+(BB60*(ct_comp3+ca_comp3)*'Time on treatment'!$F$21)</f>
        <v>0</v>
      </c>
      <c r="BC123" s="110">
        <f ca="1">(BC60*c_on*12)+(BC60*(ct_comp3+ca_comp3)*'Time on treatment'!$G$21)</f>
        <v>0</v>
      </c>
      <c r="BF123" s="87" t="s">
        <v>171</v>
      </c>
      <c r="BG123" s="111"/>
      <c r="BH123" s="109">
        <f ca="1">(BH60*c_inicial)+(BH60*c_on*12)+(BH60*ci_comp4)+(BH60*(ct_comp4+ca_comp4)*'Time on treatment'!$D$22)</f>
        <v>0</v>
      </c>
      <c r="BI123" s="109">
        <f ca="1">(BI60*c_on*12)+(BI60*(ct_comp4+ca_comp4)*'Time on treatment'!$E$22)</f>
        <v>0</v>
      </c>
      <c r="BJ123" s="109">
        <f ca="1">(BJ60*c_on*12)+(BJ60*(ct_comp4+ca_comp4)*'Time on treatment'!$F$22)</f>
        <v>0</v>
      </c>
      <c r="BK123" s="110">
        <f ca="1">(BK60*c_on*12)+(BK60*(ct_comp4+ca_comp4)*'Time on treatment'!$G$22)</f>
        <v>0</v>
      </c>
      <c r="BN123" s="87" t="s">
        <v>171</v>
      </c>
      <c r="BO123" s="111"/>
      <c r="BP123" s="109">
        <f ca="1">(BP60*c_inicial)+(BP60*c_on*12)+(BP60*ci_comp5)+(BP60*(ct_comp5+ca_comp5)*'Time on treatment'!$D$23)</f>
        <v>0</v>
      </c>
      <c r="BQ123" s="109">
        <f ca="1">(BQ60*c_on*12)+(BQ60*(ct_comp5+ca_comp5)*'Time on treatment'!$E$23)</f>
        <v>0</v>
      </c>
      <c r="BR123" s="109">
        <f ca="1">(BR60*c_on*12)+(BR60*(ct_comp5+ca_comp5)*'Time on treatment'!$F$23)</f>
        <v>0</v>
      </c>
      <c r="BS123" s="110">
        <f ca="1">(BS60*c_on*12)+(BS60*(ct_comp5+ca_comp5)*'Time on treatment'!$G$23)</f>
        <v>0</v>
      </c>
      <c r="BV123" s="87" t="s">
        <v>171</v>
      </c>
      <c r="BW123" s="111"/>
      <c r="BX123" s="109">
        <f ca="1">(BX60*c_inicial)+(BX60*c_on*12)+(BX60*ci_comp6)+(BX60*(ct_comp6+ca_comp6)*'Time on treatment'!$D$24)</f>
        <v>0</v>
      </c>
      <c r="BY123" s="109">
        <f ca="1">(BY60*c_on*12)+(BY60*(ct_comp6+ca_comp6)*'Time on treatment'!$E$24)</f>
        <v>0</v>
      </c>
      <c r="BZ123" s="109">
        <f ca="1">(BZ60*c_on*12)+(BZ60*(ct_comp6+ca_comp6)*'Time on treatment'!$F$24)</f>
        <v>0</v>
      </c>
      <c r="CA123" s="110">
        <f ca="1">(CA60*c_on*12)+(CA60*(ct_comp6+ca_comp6)*'Time on treatment'!$G$24)</f>
        <v>0</v>
      </c>
      <c r="CD123" s="87" t="s">
        <v>171</v>
      </c>
      <c r="CE123" s="111"/>
      <c r="CF123" s="109">
        <f ca="1">(CF60*c_inicial)+(CF60*c_on*12)+(CF60*ci_comp7)+(CF60*(ct_comp7+ca_comp7)*'Time on treatment'!$D$25)</f>
        <v>0</v>
      </c>
      <c r="CG123" s="109">
        <f ca="1">(CG60*c_on*12)+(CG60*(ct_comp7+ca_comp7)*'Time on treatment'!$E$25)</f>
        <v>0</v>
      </c>
      <c r="CH123" s="109">
        <f ca="1">(CH60*c_on*12)+(CH60*(ct_comp7+ca_comp7)*'Time on treatment'!$F$25)</f>
        <v>0</v>
      </c>
      <c r="CI123" s="110">
        <f ca="1">(CI60*c_on*12)+(CI60*(ct_comp7+ca_comp7)*'Time on treatment'!$G$25)</f>
        <v>0</v>
      </c>
      <c r="CL123" s="87" t="s">
        <v>171</v>
      </c>
      <c r="CM123" s="111"/>
      <c r="CN123" s="109">
        <f ca="1">(CN60*c_inicial)+(CN60*c_on*12)+(CN60*ci_comp8)+(CN60*(ct_comp8+ca_comp8)*'Time on treatment'!$D$26)</f>
        <v>0</v>
      </c>
      <c r="CO123" s="109">
        <f ca="1">(CO60*c_on*12)+(CO60*(ct_comp8+ca_comp8)*'Time on treatment'!$E$26)</f>
        <v>0</v>
      </c>
      <c r="CP123" s="109">
        <f ca="1">(CP60*c_on*12)+(CP60*(ct_comp8+ca_comp8)*'Time on treatment'!$F$26)</f>
        <v>0</v>
      </c>
      <c r="CQ123" s="110">
        <f ca="1">(CQ60*c_on*12)+(CQ60*(ct_comp8+ca_comp8)*'Time on treatment'!$G$26)</f>
        <v>0</v>
      </c>
      <c r="CT123" s="87" t="s">
        <v>171</v>
      </c>
      <c r="CU123" s="111"/>
      <c r="CV123" s="109">
        <f ca="1">(CV60*c_inicial)+(CV60*c_on*12)+(CV60*ci_comp9)+(CV60*(ct_comp9+ca_comp9)*'Time on treatment'!$D$27)</f>
        <v>0</v>
      </c>
      <c r="CW123" s="109">
        <f ca="1">(CW60*c_on*12)+(CW60*(ct_comp9+ca_comp9)*'Time on treatment'!$E$27)</f>
        <v>0</v>
      </c>
      <c r="CX123" s="109">
        <f ca="1">(CX60*c_on*12)+(CX60*(ct_comp9+ca_comp9)*'Time on treatment'!$F$27)</f>
        <v>0</v>
      </c>
      <c r="CY123" s="110">
        <f ca="1">(CY60*c_on*12)+(CY60*(ct_comp9+ca_comp9)*'Time on treatment'!$G$27)</f>
        <v>0</v>
      </c>
      <c r="DB123" s="87" t="s">
        <v>171</v>
      </c>
      <c r="DC123" s="111"/>
      <c r="DD123" s="109">
        <f ca="1">(DD60*c_inicial)+(DD60*c_on*12)+(DD60*ci_comp10)+(DD60*(ct_comp10+ca_comp10)*'Time on treatment'!$D$28)</f>
        <v>0</v>
      </c>
      <c r="DE123" s="109">
        <f ca="1">(DE60*c_on*12)+(DE60*(ct_comp10+ca_comp10)*'Time on treatment'!$E$28)</f>
        <v>0</v>
      </c>
      <c r="DF123" s="109">
        <f ca="1">(DF60*c_on*12)+(DF60*(ct_comp10+ca_comp10)*'Time on treatment'!$F$28)</f>
        <v>0</v>
      </c>
      <c r="DG123" s="110">
        <f ca="1">(DG60*c_on*12)+(DG60*(ct_comp10+ca_comp10)*'Time on treatment'!$G$28)</f>
        <v>0</v>
      </c>
    </row>
    <row r="124" spans="2:111">
      <c r="B124" s="87" t="s">
        <v>176</v>
      </c>
      <c r="C124" s="111"/>
      <c r="D124" s="109">
        <f>D61*c_off</f>
        <v>0</v>
      </c>
      <c r="E124" s="109">
        <f>E61*c_off</f>
        <v>0</v>
      </c>
      <c r="F124" s="109">
        <f>F61*c_off</f>
        <v>0</v>
      </c>
      <c r="G124" s="110">
        <f>G61*c_off</f>
        <v>0</v>
      </c>
      <c r="J124" s="87" t="s">
        <v>176</v>
      </c>
      <c r="K124" s="111"/>
      <c r="L124" s="109">
        <f>L61*c_off</f>
        <v>0</v>
      </c>
      <c r="M124" s="109">
        <f>M61*c_off</f>
        <v>0</v>
      </c>
      <c r="N124" s="109">
        <f>N61*c_off</f>
        <v>0</v>
      </c>
      <c r="O124" s="110">
        <f>O61*c_off</f>
        <v>0</v>
      </c>
      <c r="R124" s="87" t="s">
        <v>176</v>
      </c>
      <c r="S124" s="111"/>
      <c r="T124" s="109">
        <f>T61*c_off</f>
        <v>0</v>
      </c>
      <c r="U124" s="109">
        <f>U61*c_off</f>
        <v>0</v>
      </c>
      <c r="V124" s="109">
        <f>V61*c_off</f>
        <v>0</v>
      </c>
      <c r="W124" s="110">
        <f>W61*c_off</f>
        <v>0</v>
      </c>
      <c r="Z124" s="87" t="s">
        <v>176</v>
      </c>
      <c r="AA124" s="111"/>
      <c r="AB124" s="109">
        <f>AB61*c_off</f>
        <v>0</v>
      </c>
      <c r="AC124" s="109">
        <f>AC61*c_off</f>
        <v>0</v>
      </c>
      <c r="AD124" s="109">
        <f>AD61*c_off</f>
        <v>0</v>
      </c>
      <c r="AE124" s="110">
        <f>AE61*c_off</f>
        <v>0</v>
      </c>
      <c r="AH124" s="87" t="s">
        <v>176</v>
      </c>
      <c r="AI124" s="111"/>
      <c r="AJ124" s="109">
        <f>AJ61*c_off</f>
        <v>0</v>
      </c>
      <c r="AK124" s="109">
        <f>AK61*c_off</f>
        <v>0</v>
      </c>
      <c r="AL124" s="109">
        <f>AL61*c_off</f>
        <v>0</v>
      </c>
      <c r="AM124" s="110">
        <f>AM61*c_off</f>
        <v>0</v>
      </c>
      <c r="AP124" s="87" t="s">
        <v>176</v>
      </c>
      <c r="AQ124" s="111"/>
      <c r="AR124" s="109">
        <f>AR61*c_off</f>
        <v>0</v>
      </c>
      <c r="AS124" s="109">
        <f>AS61*c_off</f>
        <v>0</v>
      </c>
      <c r="AT124" s="109">
        <f>AT61*c_off</f>
        <v>0</v>
      </c>
      <c r="AU124" s="110">
        <f>AU61*c_off</f>
        <v>0</v>
      </c>
      <c r="AX124" s="87" t="s">
        <v>176</v>
      </c>
      <c r="AY124" s="111"/>
      <c r="AZ124" s="109">
        <f>AZ61*c_off</f>
        <v>0</v>
      </c>
      <c r="BA124" s="109">
        <f>BA61*c_off</f>
        <v>0</v>
      </c>
      <c r="BB124" s="109">
        <f>BB61*c_off</f>
        <v>0</v>
      </c>
      <c r="BC124" s="110">
        <f>BC61*c_off</f>
        <v>0</v>
      </c>
      <c r="BF124" s="87" t="s">
        <v>176</v>
      </c>
      <c r="BG124" s="111"/>
      <c r="BH124" s="109">
        <f>BH61*c_off</f>
        <v>0</v>
      </c>
      <c r="BI124" s="109">
        <f>BI61*c_off</f>
        <v>0</v>
      </c>
      <c r="BJ124" s="109">
        <f>BJ61*c_off</f>
        <v>0</v>
      </c>
      <c r="BK124" s="110">
        <f>BK61*c_off</f>
        <v>0</v>
      </c>
      <c r="BN124" s="87" t="s">
        <v>176</v>
      </c>
      <c r="BO124" s="111"/>
      <c r="BP124" s="109">
        <f>BP61*c_off</f>
        <v>0</v>
      </c>
      <c r="BQ124" s="109">
        <f>BQ61*c_off</f>
        <v>0</v>
      </c>
      <c r="BR124" s="109">
        <f>BR61*c_off</f>
        <v>0</v>
      </c>
      <c r="BS124" s="110">
        <f>BS61*c_off</f>
        <v>0</v>
      </c>
      <c r="BV124" s="87" t="s">
        <v>176</v>
      </c>
      <c r="BW124" s="111"/>
      <c r="BX124" s="109">
        <f>BX61*c_off</f>
        <v>0</v>
      </c>
      <c r="BY124" s="109">
        <f>BY61*c_off</f>
        <v>0</v>
      </c>
      <c r="BZ124" s="109">
        <f>BZ61*c_off</f>
        <v>0</v>
      </c>
      <c r="CA124" s="110">
        <f>CA61*c_off</f>
        <v>0</v>
      </c>
      <c r="CD124" s="87" t="s">
        <v>176</v>
      </c>
      <c r="CE124" s="111"/>
      <c r="CF124" s="109">
        <f>CF61*c_off</f>
        <v>0</v>
      </c>
      <c r="CG124" s="109">
        <f>CG61*c_off</f>
        <v>0</v>
      </c>
      <c r="CH124" s="109">
        <f>CH61*c_off</f>
        <v>0</v>
      </c>
      <c r="CI124" s="110">
        <f>CI61*c_off</f>
        <v>0</v>
      </c>
      <c r="CL124" s="87" t="s">
        <v>176</v>
      </c>
      <c r="CM124" s="111"/>
      <c r="CN124" s="109">
        <f>CN61*c_off</f>
        <v>0</v>
      </c>
      <c r="CO124" s="109">
        <f>CO61*c_off</f>
        <v>0</v>
      </c>
      <c r="CP124" s="109">
        <f>CP61*c_off</f>
        <v>0</v>
      </c>
      <c r="CQ124" s="110">
        <f>CQ61*c_off</f>
        <v>0</v>
      </c>
      <c r="CT124" s="87" t="s">
        <v>176</v>
      </c>
      <c r="CU124" s="111"/>
      <c r="CV124" s="109">
        <f>CV61*c_off</f>
        <v>0</v>
      </c>
      <c r="CW124" s="109">
        <f>CW61*c_off</f>
        <v>0</v>
      </c>
      <c r="CX124" s="109">
        <f>CX61*c_off</f>
        <v>0</v>
      </c>
      <c r="CY124" s="110">
        <f>CY61*c_off</f>
        <v>0</v>
      </c>
      <c r="DB124" s="87" t="s">
        <v>176</v>
      </c>
      <c r="DC124" s="111"/>
      <c r="DD124" s="109">
        <f>DD61*c_off</f>
        <v>0</v>
      </c>
      <c r="DE124" s="109">
        <f>DE61*c_off</f>
        <v>0</v>
      </c>
      <c r="DF124" s="109">
        <f>DF61*c_off</f>
        <v>0</v>
      </c>
      <c r="DG124" s="110">
        <f>DG61*c_off</f>
        <v>0</v>
      </c>
    </row>
    <row r="125" spans="2:111">
      <c r="B125" s="87" t="s">
        <v>172</v>
      </c>
      <c r="C125" s="111"/>
      <c r="D125" s="111"/>
      <c r="E125" s="109">
        <f ca="1">(E62*c_inicial)+(E62*c_on*12)+(E62*ci_int1)+(E62*(ct_int1+ca_int1)*'Time on treatment'!$D$12)</f>
        <v>79017660.669982582</v>
      </c>
      <c r="F125" s="109">
        <f ca="1">(F62*c_on*12)+(F62*(ct_int1+ca_int1)*'Time on treatment'!$E$12)</f>
        <v>0</v>
      </c>
      <c r="G125" s="110">
        <f ca="1">(G62*c_on*12)+(G62*(ct_int1+ca_int1)*'Time on treatment'!$F$12)</f>
        <v>0</v>
      </c>
      <c r="J125" s="87" t="s">
        <v>172</v>
      </c>
      <c r="K125" s="111"/>
      <c r="L125" s="111"/>
      <c r="M125" s="109">
        <f ca="1">(M62*c_inicial)+(M62*c_on*12)+(M62*ci_int2)+(M62*(ct_int2+ca_int2)*'Time on treatment'!$D$13)</f>
        <v>0</v>
      </c>
      <c r="N125" s="109">
        <f ca="1">(N62*c_on*12)+(N62*(ct_int2+ca_int2)*'Time on treatment'!$E$13)</f>
        <v>0</v>
      </c>
      <c r="O125" s="110">
        <f ca="1">(O62*c_on*12)+(O62*(ct_int2+ca_int2)*'Time on treatment'!$F$13)</f>
        <v>0</v>
      </c>
      <c r="R125" s="87" t="s">
        <v>172</v>
      </c>
      <c r="S125" s="111"/>
      <c r="T125" s="111"/>
      <c r="U125" s="109">
        <f ca="1">(U62*c_inicial)+(U62*c_on*12)+(U62*ci_int3)+(U62*(ct_int3+ca_int3)*'Time on treatment'!$D$14)</f>
        <v>0</v>
      </c>
      <c r="V125" s="109">
        <f ca="1">(V62*c_on*12)+(V62*(ct_int3+ca_int3)*'Time on treatment'!$E$14)</f>
        <v>0</v>
      </c>
      <c r="W125" s="110">
        <f ca="1">(W62*c_on*12)+(W62*(ct_int3+ca_int3)*'Time on treatment'!$F$14)</f>
        <v>0</v>
      </c>
      <c r="Z125" s="87" t="s">
        <v>172</v>
      </c>
      <c r="AA125" s="111"/>
      <c r="AB125" s="111"/>
      <c r="AC125" s="109">
        <f ca="1">(AC62*c_inicial)+(AC62*c_on*12)+(AC62*ci_int4)+(AC62*(ct_int4+ca_int4)*'Time on treatment'!$D$15)</f>
        <v>0</v>
      </c>
      <c r="AD125" s="109">
        <f ca="1">(AD62*c_on*12)+(AD62*(ct_int4+ca_int4)*'Time on treatment'!$E$15)</f>
        <v>0</v>
      </c>
      <c r="AE125" s="110">
        <f ca="1">(AE62*c_on*12)+(AE62*(ct_int4+ca_int4)*'Time on treatment'!$F$15)</f>
        <v>0</v>
      </c>
      <c r="AH125" s="87" t="s">
        <v>172</v>
      </c>
      <c r="AI125" s="111"/>
      <c r="AJ125" s="111"/>
      <c r="AK125" s="109">
        <f ca="1">(AK62*c_inicial)+(AK62*c_on*12)+(AK62*ci_comp1)+(AK62*(ct_comp1+ca_comp1)*'Time on treatment'!$D$19)</f>
        <v>3812409.9322195332</v>
      </c>
      <c r="AL125" s="109">
        <f ca="1">(AL62*c_on*12)+(AL62*(ct_comp1+ca_comp1)*'Time on treatment'!$E$19)</f>
        <v>3812409.9322195332</v>
      </c>
      <c r="AM125" s="110">
        <f ca="1">(AM62*c_on*12)+(AM62*(ct_comp1+ca_comp1)*'Time on treatment'!$F$19)</f>
        <v>3812409.9322195332</v>
      </c>
      <c r="AP125" s="87" t="s">
        <v>172</v>
      </c>
      <c r="AQ125" s="111"/>
      <c r="AR125" s="111"/>
      <c r="AS125" s="109">
        <f ca="1">(AS62*c_inicial)+(AS62*c_on*12)+(AS62*ci_comp2)+(AS62*(ct_comp2+ca_comp2)*'Time on treatment'!$D$20)</f>
        <v>0</v>
      </c>
      <c r="AT125" s="109">
        <f ca="1">(AT62*c_on*12)+(AT62*(ct_comp2+ca_comp2)*'Time on treatment'!$E$20)</f>
        <v>0</v>
      </c>
      <c r="AU125" s="110">
        <f ca="1">(AU62*c_on*12)+(AU62*(ct_comp2+ca_comp2)*'Time on treatment'!$F$20)</f>
        <v>0</v>
      </c>
      <c r="AX125" s="87" t="s">
        <v>172</v>
      </c>
      <c r="AY125" s="111"/>
      <c r="AZ125" s="111"/>
      <c r="BA125" s="109">
        <f ca="1">(BA62*c_inicial)+(BA62*c_on*12)+(BA62*ci_comp3)+(BA62*(ct_comp3+ca_comp3)*'Time on treatment'!$D$21)</f>
        <v>0</v>
      </c>
      <c r="BB125" s="109">
        <f ca="1">(BB62*c_on*12)+(BB62*(ct_comp3+ca_comp3)*'Time on treatment'!$E$21)</f>
        <v>0</v>
      </c>
      <c r="BC125" s="110">
        <f ca="1">(BC62*c_on*12)+(BC62*(ct_comp3+ca_comp3)*'Time on treatment'!$F$21)</f>
        <v>0</v>
      </c>
      <c r="BF125" s="87" t="s">
        <v>172</v>
      </c>
      <c r="BG125" s="111"/>
      <c r="BH125" s="111"/>
      <c r="BI125" s="109">
        <f ca="1">(BI62*c_inicial)+(BI62*c_on*12)+(BI62*ci_comp4)+(BI62*(ct_comp4+ca_comp4)*'Time on treatment'!$D$22)</f>
        <v>0</v>
      </c>
      <c r="BJ125" s="109">
        <f ca="1">(BJ62*c_on*12)+(BJ62*(ct_comp4+ca_comp4)*'Time on treatment'!$E$22)</f>
        <v>0</v>
      </c>
      <c r="BK125" s="110">
        <f ca="1">(BK62*c_on*12)+(BK62*(ct_comp4+ca_comp4)*'Time on treatment'!$F$22)</f>
        <v>0</v>
      </c>
      <c r="BN125" s="87" t="s">
        <v>172</v>
      </c>
      <c r="BO125" s="111"/>
      <c r="BP125" s="111"/>
      <c r="BQ125" s="109">
        <f ca="1">(BQ62*c_inicial)+(BQ62*c_on*12)+(BQ62*ci_comp5)+(BQ62*(ct_comp5+ca_comp5)*'Time on treatment'!$D$23)</f>
        <v>0</v>
      </c>
      <c r="BR125" s="109">
        <f ca="1">(BR62*c_on*12)+(BR62*(ct_comp5+ca_comp5)*'Time on treatment'!$E$23)</f>
        <v>0</v>
      </c>
      <c r="BS125" s="110">
        <f ca="1">(BS62*c_on*12)+(BS62*(ct_comp5+ca_comp5)*'Time on treatment'!$F$23)</f>
        <v>0</v>
      </c>
      <c r="BV125" s="87" t="s">
        <v>172</v>
      </c>
      <c r="BW125" s="111"/>
      <c r="BX125" s="111"/>
      <c r="BY125" s="109">
        <f ca="1">(BY62*c_inicial)+(BY62*c_on*12)+(BY62*ci_comp6)+(BY62*(ct_comp6+ca_comp6)*'Time on treatment'!$D$24)</f>
        <v>0</v>
      </c>
      <c r="BZ125" s="109">
        <f ca="1">(BZ62*c_on*12)+(BZ62*(ct_comp6+ca_comp6)*'Time on treatment'!$E$24)</f>
        <v>0</v>
      </c>
      <c r="CA125" s="110">
        <f ca="1">(CA62*c_on*12)+(CA62*(ct_comp6+ca_comp6)*'Time on treatment'!$F$24)</f>
        <v>0</v>
      </c>
      <c r="CD125" s="87" t="s">
        <v>172</v>
      </c>
      <c r="CE125" s="111"/>
      <c r="CF125" s="111"/>
      <c r="CG125" s="109">
        <f ca="1">(CG62*c_inicial)+(CG62*c_on*12)+(CG62*ci_comp7)+(CG62*(ct_comp7+ca_comp7)*'Time on treatment'!$D$25)</f>
        <v>0</v>
      </c>
      <c r="CH125" s="109">
        <f ca="1">(CH62*c_on*12)+(CH62*(ct_comp7+ca_comp7)*'Time on treatment'!$E$25)</f>
        <v>0</v>
      </c>
      <c r="CI125" s="110">
        <f ca="1">(CI62*c_on*12)+(CI62*(ct_comp7+ca_comp7)*'Time on treatment'!$F$25)</f>
        <v>0</v>
      </c>
      <c r="CL125" s="87" t="s">
        <v>172</v>
      </c>
      <c r="CM125" s="111"/>
      <c r="CN125" s="111"/>
      <c r="CO125" s="109">
        <f ca="1">(CO62*c_inicial)+(CO62*c_on*12)+(CO62*ci_comp8)+(CO62*(ct_comp8+ca_comp8)*'Time on treatment'!$D$26)</f>
        <v>0</v>
      </c>
      <c r="CP125" s="109">
        <f ca="1">(CP62*c_on*12)+(CP62*(ct_comp8+ca_comp8)*'Time on treatment'!$E$26)</f>
        <v>0</v>
      </c>
      <c r="CQ125" s="110">
        <f ca="1">(CQ62*c_on*12)+(CQ62*(ct_comp8+ca_comp8)*'Time on treatment'!$F$26)</f>
        <v>0</v>
      </c>
      <c r="CT125" s="87" t="s">
        <v>172</v>
      </c>
      <c r="CU125" s="111"/>
      <c r="CV125" s="111"/>
      <c r="CW125" s="109">
        <f ca="1">(CW62*c_inicial)+(CW62*c_on*12)+(CW62*ci_comp9)+(CW62*(ct_comp9+ca_comp9)*'Time on treatment'!$D$27)</f>
        <v>0</v>
      </c>
      <c r="CX125" s="109">
        <f ca="1">(CX62*c_on*12)+(CX62*(ct_comp9+ca_comp9)*'Time on treatment'!$E$27)</f>
        <v>0</v>
      </c>
      <c r="CY125" s="110">
        <f ca="1">(CY62*c_on*12)+(CY62*(ct_comp9+ca_comp9)*'Time on treatment'!$F$27)</f>
        <v>0</v>
      </c>
      <c r="DB125" s="87" t="s">
        <v>172</v>
      </c>
      <c r="DC125" s="111"/>
      <c r="DD125" s="111"/>
      <c r="DE125" s="109">
        <f ca="1">(DE62*c_inicial)+(DE62*c_on*12)+(DE62*ci_comp10)+(DE62*(ct_comp10+ca_comp10)*'Time on treatment'!$D$28)</f>
        <v>0</v>
      </c>
      <c r="DF125" s="109">
        <f ca="1">(DF62*c_on*12)+(DF62*(ct_comp10+ca_comp10)*'Time on treatment'!$E$28)</f>
        <v>0</v>
      </c>
      <c r="DG125" s="110">
        <f ca="1">(DG62*c_on*12)+(DG62*(ct_comp10+ca_comp10)*'Time on treatment'!$F$28)</f>
        <v>0</v>
      </c>
    </row>
    <row r="126" spans="2:111">
      <c r="B126" s="87" t="s">
        <v>177</v>
      </c>
      <c r="C126" s="111"/>
      <c r="D126" s="111"/>
      <c r="E126" s="109">
        <f>E63*c_off</f>
        <v>0</v>
      </c>
      <c r="F126" s="109">
        <f>F63*c_off</f>
        <v>0</v>
      </c>
      <c r="G126" s="110">
        <f>G63*c_off</f>
        <v>0</v>
      </c>
      <c r="J126" s="87" t="s">
        <v>177</v>
      </c>
      <c r="K126" s="111"/>
      <c r="L126" s="111"/>
      <c r="M126" s="109">
        <f>M63*c_off</f>
        <v>0</v>
      </c>
      <c r="N126" s="109">
        <f>N63*c_off</f>
        <v>0</v>
      </c>
      <c r="O126" s="110">
        <f>O63*c_off</f>
        <v>0</v>
      </c>
      <c r="R126" s="87" t="s">
        <v>177</v>
      </c>
      <c r="S126" s="111"/>
      <c r="T126" s="111"/>
      <c r="U126" s="109">
        <f>U63*c_off</f>
        <v>0</v>
      </c>
      <c r="V126" s="109">
        <f>V63*c_off</f>
        <v>0</v>
      </c>
      <c r="W126" s="110">
        <f>W63*c_off</f>
        <v>0</v>
      </c>
      <c r="Z126" s="87" t="s">
        <v>177</v>
      </c>
      <c r="AA126" s="111"/>
      <c r="AB126" s="111"/>
      <c r="AC126" s="109">
        <f>AC63*c_off</f>
        <v>0</v>
      </c>
      <c r="AD126" s="109">
        <f>AD63*c_off</f>
        <v>0</v>
      </c>
      <c r="AE126" s="110">
        <f>AE63*c_off</f>
        <v>0</v>
      </c>
      <c r="AH126" s="87" t="s">
        <v>177</v>
      </c>
      <c r="AI126" s="111"/>
      <c r="AJ126" s="111"/>
      <c r="AK126" s="109">
        <f>AK63*c_off</f>
        <v>0</v>
      </c>
      <c r="AL126" s="109">
        <f>AL63*c_off</f>
        <v>0</v>
      </c>
      <c r="AM126" s="110">
        <f>AM63*c_off</f>
        <v>0</v>
      </c>
      <c r="AP126" s="87" t="s">
        <v>177</v>
      </c>
      <c r="AQ126" s="111"/>
      <c r="AR126" s="111"/>
      <c r="AS126" s="109">
        <f>AS63*c_off</f>
        <v>0</v>
      </c>
      <c r="AT126" s="109">
        <f>AT63*c_off</f>
        <v>0</v>
      </c>
      <c r="AU126" s="110">
        <f>AU63*c_off</f>
        <v>0</v>
      </c>
      <c r="AX126" s="87" t="s">
        <v>177</v>
      </c>
      <c r="AY126" s="111"/>
      <c r="AZ126" s="111"/>
      <c r="BA126" s="109">
        <f>BA63*c_off</f>
        <v>0</v>
      </c>
      <c r="BB126" s="109">
        <f>BB63*c_off</f>
        <v>0</v>
      </c>
      <c r="BC126" s="110">
        <f>BC63*c_off</f>
        <v>0</v>
      </c>
      <c r="BF126" s="87" t="s">
        <v>177</v>
      </c>
      <c r="BG126" s="111"/>
      <c r="BH126" s="111"/>
      <c r="BI126" s="109">
        <f>BI63*c_off</f>
        <v>0</v>
      </c>
      <c r="BJ126" s="109">
        <f>BJ63*c_off</f>
        <v>0</v>
      </c>
      <c r="BK126" s="110">
        <f>BK63*c_off</f>
        <v>0</v>
      </c>
      <c r="BN126" s="87" t="s">
        <v>177</v>
      </c>
      <c r="BO126" s="111"/>
      <c r="BP126" s="111"/>
      <c r="BQ126" s="109">
        <f>BQ63*c_off</f>
        <v>0</v>
      </c>
      <c r="BR126" s="109">
        <f>BR63*c_off</f>
        <v>0</v>
      </c>
      <c r="BS126" s="110">
        <f>BS63*c_off</f>
        <v>0</v>
      </c>
      <c r="BV126" s="87" t="s">
        <v>177</v>
      </c>
      <c r="BW126" s="111"/>
      <c r="BX126" s="111"/>
      <c r="BY126" s="109">
        <f>BY63*c_off</f>
        <v>0</v>
      </c>
      <c r="BZ126" s="109">
        <f>BZ63*c_off</f>
        <v>0</v>
      </c>
      <c r="CA126" s="110">
        <f>CA63*c_off</f>
        <v>0</v>
      </c>
      <c r="CD126" s="87" t="s">
        <v>177</v>
      </c>
      <c r="CE126" s="111"/>
      <c r="CF126" s="111"/>
      <c r="CG126" s="109">
        <f>CG63*c_off</f>
        <v>0</v>
      </c>
      <c r="CH126" s="109">
        <f>CH63*c_off</f>
        <v>0</v>
      </c>
      <c r="CI126" s="110">
        <f>CI63*c_off</f>
        <v>0</v>
      </c>
      <c r="CL126" s="87" t="s">
        <v>177</v>
      </c>
      <c r="CM126" s="111"/>
      <c r="CN126" s="111"/>
      <c r="CO126" s="109">
        <f>CO63*c_off</f>
        <v>0</v>
      </c>
      <c r="CP126" s="109">
        <f>CP63*c_off</f>
        <v>0</v>
      </c>
      <c r="CQ126" s="110">
        <f>CQ63*c_off</f>
        <v>0</v>
      </c>
      <c r="CT126" s="87" t="s">
        <v>177</v>
      </c>
      <c r="CU126" s="111"/>
      <c r="CV126" s="111"/>
      <c r="CW126" s="109">
        <f>CW63*c_off</f>
        <v>0</v>
      </c>
      <c r="CX126" s="109">
        <f>CX63*c_off</f>
        <v>0</v>
      </c>
      <c r="CY126" s="110">
        <f>CY63*c_off</f>
        <v>0</v>
      </c>
      <c r="DB126" s="87" t="s">
        <v>177</v>
      </c>
      <c r="DC126" s="111"/>
      <c r="DD126" s="111"/>
      <c r="DE126" s="109">
        <f>DE63*c_off</f>
        <v>0</v>
      </c>
      <c r="DF126" s="109">
        <f>DF63*c_off</f>
        <v>0</v>
      </c>
      <c r="DG126" s="110">
        <f>DG63*c_off</f>
        <v>0</v>
      </c>
    </row>
    <row r="127" spans="2:111">
      <c r="B127" s="87" t="s">
        <v>173</v>
      </c>
      <c r="C127" s="111"/>
      <c r="D127" s="111"/>
      <c r="E127" s="111"/>
      <c r="F127" s="109">
        <f ca="1">(F64*c_inicial)+(F64*c_on*12)+(F64*ci_int1)+(F64*(ct_int1+ca_int1)*'Time on treatment'!$D$12)</f>
        <v>104860558.58776912</v>
      </c>
      <c r="G127" s="110">
        <f ca="1">(G64*c_on*12)+(G64*(ct_int1+ca_int1)*'Time on treatment'!$E$12)</f>
        <v>0</v>
      </c>
      <c r="J127" s="87" t="s">
        <v>173</v>
      </c>
      <c r="K127" s="111"/>
      <c r="L127" s="111"/>
      <c r="M127" s="111"/>
      <c r="N127" s="109">
        <f ca="1">(N64*c_inicial)+(N64*c_on*12)+(N64*ci_int2)+(N64*(ct_int2+ca_int2)*'Time on treatment'!$D$13)</f>
        <v>0</v>
      </c>
      <c r="O127" s="110">
        <f ca="1">(O64*c_on*12)+(O64*(ct_int2+ca_int2)*'Time on treatment'!$E$13)</f>
        <v>0</v>
      </c>
      <c r="R127" s="87" t="s">
        <v>173</v>
      </c>
      <c r="S127" s="111"/>
      <c r="T127" s="111"/>
      <c r="U127" s="111"/>
      <c r="V127" s="109">
        <f ca="1">(V64*c_inicial)+(V64*c_on*12)+(V64*ci_int3)+(V64*(ct_int3+ca_int3)*'Time on treatment'!$D$14)</f>
        <v>0</v>
      </c>
      <c r="W127" s="110">
        <f ca="1">(W64*c_on*12)+(W64*(ct_int3+ca_int3)*'Time on treatment'!$E$14)</f>
        <v>0</v>
      </c>
      <c r="Z127" s="87" t="s">
        <v>173</v>
      </c>
      <c r="AA127" s="111"/>
      <c r="AB127" s="111"/>
      <c r="AC127" s="111"/>
      <c r="AD127" s="109">
        <f ca="1">(AD64*c_inicial)+(AD64*c_on*12)+(AD64*ci_int4)+(AD64*(ct_int4+ca_int4)*'Time on treatment'!$D$15)</f>
        <v>0</v>
      </c>
      <c r="AE127" s="110">
        <f ca="1">(AE64*c_on*12)+(AE64*(ct_int4+ca_int4)*'Time on treatment'!$E$15)</f>
        <v>0</v>
      </c>
      <c r="AH127" s="87" t="s">
        <v>173</v>
      </c>
      <c r="AI127" s="111"/>
      <c r="AJ127" s="111"/>
      <c r="AK127" s="111"/>
      <c r="AL127" s="109">
        <f ca="1">(AL64*c_inicial)+(AL64*c_on*12)+(AL64*ci_comp1)+(AL64*(ct_comp1+ca_comp1)*'Time on treatment'!$D$19)</f>
        <v>3252385.8635943867</v>
      </c>
      <c r="AM127" s="110">
        <f ca="1">(AM64*c_on*12)+(AM64*(ct_comp1+ca_comp1)*'Time on treatment'!$E$19)</f>
        <v>3252385.8635943867</v>
      </c>
      <c r="AP127" s="87" t="s">
        <v>173</v>
      </c>
      <c r="AQ127" s="111"/>
      <c r="AR127" s="111"/>
      <c r="AS127" s="111"/>
      <c r="AT127" s="109">
        <f ca="1">(AT64*c_inicial)+(AT64*c_on*12)+(AT64*ci_comp2)+(AT64*(ct_comp2+ca_comp2)*'Time on treatment'!$D$20)</f>
        <v>0</v>
      </c>
      <c r="AU127" s="110">
        <f ca="1">(AU64*c_on*12)+(AU64*(ct_comp2+ca_comp2)*'Time on treatment'!$E$20)</f>
        <v>0</v>
      </c>
      <c r="AX127" s="87" t="s">
        <v>173</v>
      </c>
      <c r="AY127" s="111"/>
      <c r="AZ127" s="111"/>
      <c r="BA127" s="111"/>
      <c r="BB127" s="109">
        <f ca="1">(BB64*c_inicial)+(BB64*c_on*12)+(BB64*ci_comp3)+(BB64*(ct_comp3+ca_comp3)*'Time on treatment'!$D$21)</f>
        <v>0</v>
      </c>
      <c r="BC127" s="110">
        <f ca="1">(BC64*c_on*12)+(BC64*(ct_comp3+ca_comp3)*'Time on treatment'!$E$21)</f>
        <v>0</v>
      </c>
      <c r="BF127" s="87" t="s">
        <v>173</v>
      </c>
      <c r="BG127" s="111"/>
      <c r="BH127" s="111"/>
      <c r="BI127" s="111"/>
      <c r="BJ127" s="109">
        <f ca="1">(BJ64*c_inicial)+(BJ64*c_on*12)+(BJ64*ci_comp4)+(BJ64*(ct_comp4+ca_comp4)*'Time on treatment'!$D$22)</f>
        <v>0</v>
      </c>
      <c r="BK127" s="110">
        <f ca="1">(BK64*c_on*12)+(BK64*(ct_comp4+ca_comp4)*'Time on treatment'!$E$22)</f>
        <v>0</v>
      </c>
      <c r="BN127" s="87" t="s">
        <v>173</v>
      </c>
      <c r="BO127" s="111"/>
      <c r="BP127" s="111"/>
      <c r="BQ127" s="111"/>
      <c r="BR127" s="109">
        <f ca="1">(BR64*c_inicial)+(BR64*c_on*12)+(BR64*ci_comp5)+(BR64*(ct_comp5+ca_comp5)*'Time on treatment'!$D$23)</f>
        <v>0</v>
      </c>
      <c r="BS127" s="110">
        <f ca="1">(BS64*c_on*12)+(BS64*(ct_comp5+ca_comp5)*'Time on treatment'!$E$23)</f>
        <v>0</v>
      </c>
      <c r="BV127" s="87" t="s">
        <v>173</v>
      </c>
      <c r="BW127" s="111"/>
      <c r="BX127" s="111"/>
      <c r="BY127" s="111"/>
      <c r="BZ127" s="109">
        <f ca="1">(BZ64*c_inicial)+(BZ64*c_on*12)+(BZ64*ci_comp6)+(BZ64*(ct_comp6+ca_comp6)*'Time on treatment'!$D$24)</f>
        <v>0</v>
      </c>
      <c r="CA127" s="110">
        <f ca="1">(CA64*c_on*12)+(CA64*(ct_comp6+ca_comp6)*'Time on treatment'!$E$24)</f>
        <v>0</v>
      </c>
      <c r="CD127" s="87" t="s">
        <v>173</v>
      </c>
      <c r="CE127" s="111"/>
      <c r="CF127" s="111"/>
      <c r="CG127" s="111"/>
      <c r="CH127" s="109">
        <f ca="1">(CH64*c_inicial)+(CH64*c_on*12)+(CH64*ci_comp7)+(CH64*(ct_comp7+ca_comp7)*'Time on treatment'!$D$25)</f>
        <v>0</v>
      </c>
      <c r="CI127" s="110">
        <f ca="1">(CI64*c_on*12)+(CI64*(ct_comp7+ca_comp7)*'Time on treatment'!$E$25)</f>
        <v>0</v>
      </c>
      <c r="CL127" s="87" t="s">
        <v>173</v>
      </c>
      <c r="CM127" s="111"/>
      <c r="CN127" s="111"/>
      <c r="CO127" s="111"/>
      <c r="CP127" s="109">
        <f ca="1">(CP64*c_inicial)+(CP64*c_on*12)+(CP64*ci_comp8)+(CP64*(ct_comp8+ca_comp8)*'Time on treatment'!$D$26)</f>
        <v>0</v>
      </c>
      <c r="CQ127" s="110">
        <f ca="1">(CQ64*c_on*12)+(CQ64*(ct_comp8+ca_comp8)*'Time on treatment'!$E$26)</f>
        <v>0</v>
      </c>
      <c r="CT127" s="87" t="s">
        <v>173</v>
      </c>
      <c r="CU127" s="111"/>
      <c r="CV127" s="111"/>
      <c r="CW127" s="111"/>
      <c r="CX127" s="109">
        <f ca="1">(CX64*c_inicial)+(CX64*c_on*12)+(CX64*ci_comp9)+(CX64*(ct_comp9+ca_comp9)*'Time on treatment'!$D$27)</f>
        <v>0</v>
      </c>
      <c r="CY127" s="110">
        <f ca="1">(CY64*c_on*12)+(CY64*(ct_comp9+ca_comp9)*'Time on treatment'!$E$27)</f>
        <v>0</v>
      </c>
      <c r="DB127" s="87" t="s">
        <v>173</v>
      </c>
      <c r="DC127" s="111"/>
      <c r="DD127" s="111"/>
      <c r="DE127" s="111"/>
      <c r="DF127" s="109">
        <f ca="1">(DF64*c_inicial)+(DF64*c_on*12)+(DF64*ci_comp10)+(DF64*(ct_comp10+ca_comp10)*'Time on treatment'!$D$28)</f>
        <v>0</v>
      </c>
      <c r="DG127" s="110">
        <f ca="1">(DG64*c_on*12)+(DG64*(ct_comp10+ca_comp10)*'Time on treatment'!$E$28)</f>
        <v>0</v>
      </c>
    </row>
    <row r="128" spans="2:111">
      <c r="B128" s="87" t="s">
        <v>178</v>
      </c>
      <c r="C128" s="111"/>
      <c r="D128" s="111"/>
      <c r="E128" s="111"/>
      <c r="F128" s="109">
        <f>F65*c_off</f>
        <v>0</v>
      </c>
      <c r="G128" s="110">
        <f>G65*c_off</f>
        <v>0</v>
      </c>
      <c r="J128" s="87" t="s">
        <v>178</v>
      </c>
      <c r="K128" s="111"/>
      <c r="L128" s="111"/>
      <c r="M128" s="111"/>
      <c r="N128" s="109">
        <f>N65*c_off</f>
        <v>0</v>
      </c>
      <c r="O128" s="110">
        <f>O65*c_off</f>
        <v>0</v>
      </c>
      <c r="R128" s="87" t="s">
        <v>178</v>
      </c>
      <c r="S128" s="111"/>
      <c r="T128" s="111"/>
      <c r="U128" s="111"/>
      <c r="V128" s="109">
        <f>V65*c_off</f>
        <v>0</v>
      </c>
      <c r="W128" s="110">
        <f>W65*c_off</f>
        <v>0</v>
      </c>
      <c r="Z128" s="87" t="s">
        <v>178</v>
      </c>
      <c r="AA128" s="111"/>
      <c r="AB128" s="111"/>
      <c r="AC128" s="111"/>
      <c r="AD128" s="109">
        <f>AD65*c_off</f>
        <v>0</v>
      </c>
      <c r="AE128" s="110">
        <f>AE65*c_off</f>
        <v>0</v>
      </c>
      <c r="AH128" s="87" t="s">
        <v>178</v>
      </c>
      <c r="AI128" s="111"/>
      <c r="AJ128" s="111"/>
      <c r="AK128" s="111"/>
      <c r="AL128" s="109">
        <f>AL65*c_off</f>
        <v>0</v>
      </c>
      <c r="AM128" s="110">
        <f>AM65*c_off</f>
        <v>0</v>
      </c>
      <c r="AP128" s="87" t="s">
        <v>178</v>
      </c>
      <c r="AQ128" s="111"/>
      <c r="AR128" s="111"/>
      <c r="AS128" s="111"/>
      <c r="AT128" s="109">
        <f>AT65*c_off</f>
        <v>0</v>
      </c>
      <c r="AU128" s="110">
        <f>AU65*c_off</f>
        <v>0</v>
      </c>
      <c r="AX128" s="87" t="s">
        <v>178</v>
      </c>
      <c r="AY128" s="111"/>
      <c r="AZ128" s="111"/>
      <c r="BA128" s="111"/>
      <c r="BB128" s="109">
        <f>BB65*c_off</f>
        <v>0</v>
      </c>
      <c r="BC128" s="110">
        <f>BC65*c_off</f>
        <v>0</v>
      </c>
      <c r="BF128" s="87" t="s">
        <v>178</v>
      </c>
      <c r="BG128" s="111"/>
      <c r="BH128" s="111"/>
      <c r="BI128" s="111"/>
      <c r="BJ128" s="109">
        <f>BJ65*c_off</f>
        <v>0</v>
      </c>
      <c r="BK128" s="110">
        <f>BK65*c_off</f>
        <v>0</v>
      </c>
      <c r="BN128" s="87" t="s">
        <v>178</v>
      </c>
      <c r="BO128" s="111"/>
      <c r="BP128" s="111"/>
      <c r="BQ128" s="111"/>
      <c r="BR128" s="109">
        <f>BR65*c_off</f>
        <v>0</v>
      </c>
      <c r="BS128" s="110">
        <f>BS65*c_off</f>
        <v>0</v>
      </c>
      <c r="BV128" s="87" t="s">
        <v>178</v>
      </c>
      <c r="BW128" s="111"/>
      <c r="BX128" s="111"/>
      <c r="BY128" s="111"/>
      <c r="BZ128" s="109">
        <f>BZ65*c_off</f>
        <v>0</v>
      </c>
      <c r="CA128" s="110">
        <f>CA65*c_off</f>
        <v>0</v>
      </c>
      <c r="CD128" s="87" t="s">
        <v>178</v>
      </c>
      <c r="CE128" s="111"/>
      <c r="CF128" s="111"/>
      <c r="CG128" s="111"/>
      <c r="CH128" s="109">
        <f>CH65*c_off</f>
        <v>0</v>
      </c>
      <c r="CI128" s="110">
        <f>CI65*c_off</f>
        <v>0</v>
      </c>
      <c r="CL128" s="87" t="s">
        <v>178</v>
      </c>
      <c r="CM128" s="111"/>
      <c r="CN128" s="111"/>
      <c r="CO128" s="111"/>
      <c r="CP128" s="109">
        <f>CP65*c_off</f>
        <v>0</v>
      </c>
      <c r="CQ128" s="110">
        <f>CQ65*c_off</f>
        <v>0</v>
      </c>
      <c r="CT128" s="87" t="s">
        <v>178</v>
      </c>
      <c r="CU128" s="111"/>
      <c r="CV128" s="111"/>
      <c r="CW128" s="111"/>
      <c r="CX128" s="109">
        <f>CX65*c_off</f>
        <v>0</v>
      </c>
      <c r="CY128" s="110">
        <f>CY65*c_off</f>
        <v>0</v>
      </c>
      <c r="DB128" s="87" t="s">
        <v>178</v>
      </c>
      <c r="DC128" s="111"/>
      <c r="DD128" s="111"/>
      <c r="DE128" s="111"/>
      <c r="DF128" s="109">
        <f>DF65*c_off</f>
        <v>0</v>
      </c>
      <c r="DG128" s="110">
        <f>DG65*c_off</f>
        <v>0</v>
      </c>
    </row>
    <row r="129" spans="2:111">
      <c r="B129" s="87" t="s">
        <v>174</v>
      </c>
      <c r="C129" s="111"/>
      <c r="D129" s="111"/>
      <c r="E129" s="111"/>
      <c r="F129" s="111"/>
      <c r="G129" s="110">
        <f ca="1">(G66*c_inicial)+(G66*c_on*12)+(G66*ci_int1)+(G66*(ct_int1+ca_int1)*'Time on treatment'!$D$12)</f>
        <v>130295029.4001738</v>
      </c>
      <c r="J129" s="87" t="s">
        <v>174</v>
      </c>
      <c r="K129" s="111"/>
      <c r="L129" s="111"/>
      <c r="M129" s="111"/>
      <c r="N129" s="111"/>
      <c r="O129" s="110">
        <f ca="1">(O66*c_inicial)+(O66*c_on*12)+(O66*ci_int2)+(O66*(ct_int2+ca_int2)*'Time on treatment'!$D$13)</f>
        <v>0</v>
      </c>
      <c r="R129" s="87" t="s">
        <v>174</v>
      </c>
      <c r="S129" s="111"/>
      <c r="T129" s="111"/>
      <c r="U129" s="111"/>
      <c r="V129" s="111"/>
      <c r="W129" s="110">
        <f ca="1">(W66*c_inicial)+(W66*c_on*12)+(W66*ci_int3)+(W66*(ct_int3+ca_int3)*'Time on treatment'!$D$14)</f>
        <v>0</v>
      </c>
      <c r="Z129" s="87" t="s">
        <v>174</v>
      </c>
      <c r="AA129" s="111"/>
      <c r="AB129" s="111"/>
      <c r="AC129" s="111"/>
      <c r="AD129" s="111"/>
      <c r="AE129" s="110">
        <f ca="1">(AE66*c_inicial)+(AE66*c_on*12)+(AE66*ci_int4)+(AE66*(ct_int4+ca_int4)*'Time on treatment'!$D$15)</f>
        <v>0</v>
      </c>
      <c r="AH129" s="87" t="s">
        <v>174</v>
      </c>
      <c r="AI129" s="111"/>
      <c r="AJ129" s="111"/>
      <c r="AK129" s="111"/>
      <c r="AL129" s="111"/>
      <c r="AM129" s="110">
        <f ca="1">(AM66*c_inicial)+(AM66*c_on*12)+(AM66*ci_comp1)+(AM66*(ct_comp1+ca_comp1)*'Time on treatment'!$D$19)</f>
        <v>2694179.250520532</v>
      </c>
      <c r="AP129" s="87" t="s">
        <v>174</v>
      </c>
      <c r="AQ129" s="111"/>
      <c r="AR129" s="111"/>
      <c r="AS129" s="111"/>
      <c r="AT129" s="111"/>
      <c r="AU129" s="110">
        <f ca="1">(AU66*c_inicial)+(AU66*c_on*12)+(AU66*ci_comp2)+(AU66*(ct_comp2+ca_comp2)*'Time on treatment'!$D$20)</f>
        <v>0</v>
      </c>
      <c r="AX129" s="87" t="s">
        <v>174</v>
      </c>
      <c r="AY129" s="111"/>
      <c r="AZ129" s="111"/>
      <c r="BA129" s="111"/>
      <c r="BB129" s="111"/>
      <c r="BC129" s="110">
        <f ca="1">(BC66*c_inicial)+(BC66*c_on*12)+(BC66*ci_comp3)+(BC66*(ct_comp3+ca_comp3)*'Time on treatment'!$D$21)</f>
        <v>0</v>
      </c>
      <c r="BF129" s="87" t="s">
        <v>174</v>
      </c>
      <c r="BG129" s="111"/>
      <c r="BH129" s="111"/>
      <c r="BI129" s="111"/>
      <c r="BJ129" s="111"/>
      <c r="BK129" s="110">
        <f ca="1">(BK66*c_inicial)+(BK66*c_on*12)+(BK66*ci_comp4)+(BK66*(ct_comp4+ca_comp4)*'Time on treatment'!$D$22)</f>
        <v>0</v>
      </c>
      <c r="BN129" s="87" t="s">
        <v>174</v>
      </c>
      <c r="BO129" s="111"/>
      <c r="BP129" s="111"/>
      <c r="BQ129" s="111"/>
      <c r="BR129" s="111"/>
      <c r="BS129" s="110">
        <f ca="1">(BS66*c_inicial)+(BS66*c_on*12)+(BS66*ci_comp5)+(BS66*(ct_comp5+ca_comp5)*'Time on treatment'!$D$23)</f>
        <v>0</v>
      </c>
      <c r="BV129" s="87" t="s">
        <v>174</v>
      </c>
      <c r="BW129" s="111"/>
      <c r="BX129" s="111"/>
      <c r="BY129" s="111"/>
      <c r="BZ129" s="111"/>
      <c r="CA129" s="110">
        <f ca="1">(CA66*c_inicial)+(CA66*c_on*12)+(CA66*ci_comp6)+(CA66*(ct_comp6+ca_comp6)*'Time on treatment'!$D$24)</f>
        <v>0</v>
      </c>
      <c r="CD129" s="87" t="s">
        <v>174</v>
      </c>
      <c r="CE129" s="111"/>
      <c r="CF129" s="111"/>
      <c r="CG129" s="111"/>
      <c r="CH129" s="111"/>
      <c r="CI129" s="110">
        <f ca="1">(CI66*c_inicial)+(CI66*c_on*12)+(CI66*ci_comp7)+(CI66*(ct_comp7+ca_comp7)*'Time on treatment'!$D$25)</f>
        <v>0</v>
      </c>
      <c r="CL129" s="87" t="s">
        <v>174</v>
      </c>
      <c r="CM129" s="111"/>
      <c r="CN129" s="111"/>
      <c r="CO129" s="111"/>
      <c r="CP129" s="111"/>
      <c r="CQ129" s="110">
        <f ca="1">(CQ66*c_inicial)+(CQ66*c_on*12)+(CQ66*ci_comp8)+(CQ66*(ct_comp8+ca_comp8)*'Time on treatment'!$D$26)</f>
        <v>0</v>
      </c>
      <c r="CT129" s="87" t="s">
        <v>174</v>
      </c>
      <c r="CU129" s="111"/>
      <c r="CV129" s="111"/>
      <c r="CW129" s="111"/>
      <c r="CX129" s="111"/>
      <c r="CY129" s="110">
        <f ca="1">(CY66*c_inicial)+(CY66*c_on*12)+(CY66*ci_comp9)+(CY66*(ct_comp9+ca_comp9)*'Time on treatment'!$D$27)</f>
        <v>0</v>
      </c>
      <c r="DB129" s="87" t="s">
        <v>174</v>
      </c>
      <c r="DC129" s="111"/>
      <c r="DD129" s="111"/>
      <c r="DE129" s="111"/>
      <c r="DF129" s="111"/>
      <c r="DG129" s="110">
        <f ca="1">(DG66*c_inicial)+(DG66*c_on*12)+(DG66*ci_comp10)+(DG66*(ct_comp10+ca_comp10)*'Time on treatment'!$D$28)</f>
        <v>0</v>
      </c>
    </row>
    <row r="130" spans="2:111" ht="15" thickBot="1">
      <c r="B130" s="87" t="s">
        <v>179</v>
      </c>
      <c r="C130" s="111"/>
      <c r="D130" s="111"/>
      <c r="E130" s="111"/>
      <c r="F130" s="111"/>
      <c r="G130" s="112">
        <v>0</v>
      </c>
      <c r="J130" s="87" t="s">
        <v>179</v>
      </c>
      <c r="K130" s="111"/>
      <c r="L130" s="111"/>
      <c r="M130" s="111"/>
      <c r="N130" s="111"/>
      <c r="O130" s="112">
        <v>0</v>
      </c>
      <c r="R130" s="87" t="s">
        <v>179</v>
      </c>
      <c r="S130" s="111"/>
      <c r="T130" s="111"/>
      <c r="U130" s="111"/>
      <c r="V130" s="111"/>
      <c r="W130" s="112">
        <v>0</v>
      </c>
      <c r="Z130" s="87" t="s">
        <v>179</v>
      </c>
      <c r="AA130" s="111"/>
      <c r="AB130" s="111"/>
      <c r="AC130" s="111"/>
      <c r="AD130" s="111"/>
      <c r="AE130" s="112">
        <v>0</v>
      </c>
      <c r="AH130" s="87" t="s">
        <v>179</v>
      </c>
      <c r="AI130" s="111"/>
      <c r="AJ130" s="111"/>
      <c r="AK130" s="111"/>
      <c r="AL130" s="111"/>
      <c r="AM130" s="112">
        <v>0</v>
      </c>
      <c r="AP130" s="87" t="s">
        <v>179</v>
      </c>
      <c r="AQ130" s="111"/>
      <c r="AR130" s="111"/>
      <c r="AS130" s="111"/>
      <c r="AT130" s="111"/>
      <c r="AU130" s="112">
        <v>0</v>
      </c>
      <c r="AX130" s="87" t="s">
        <v>179</v>
      </c>
      <c r="AY130" s="111"/>
      <c r="AZ130" s="111"/>
      <c r="BA130" s="111"/>
      <c r="BB130" s="111"/>
      <c r="BC130" s="112">
        <v>0</v>
      </c>
      <c r="BF130" s="87" t="s">
        <v>179</v>
      </c>
      <c r="BG130" s="111"/>
      <c r="BH130" s="111"/>
      <c r="BI130" s="111"/>
      <c r="BJ130" s="111"/>
      <c r="BK130" s="112">
        <v>0</v>
      </c>
      <c r="BN130" s="87" t="s">
        <v>179</v>
      </c>
      <c r="BO130" s="111"/>
      <c r="BP130" s="111"/>
      <c r="BQ130" s="111"/>
      <c r="BR130" s="111"/>
      <c r="BS130" s="112">
        <v>0</v>
      </c>
      <c r="BV130" s="87" t="s">
        <v>179</v>
      </c>
      <c r="BW130" s="111"/>
      <c r="BX130" s="111"/>
      <c r="BY130" s="111"/>
      <c r="BZ130" s="111"/>
      <c r="CA130" s="112">
        <v>0</v>
      </c>
      <c r="CD130" s="87" t="s">
        <v>179</v>
      </c>
      <c r="CE130" s="111"/>
      <c r="CF130" s="111"/>
      <c r="CG130" s="111"/>
      <c r="CH130" s="111"/>
      <c r="CI130" s="112">
        <v>0</v>
      </c>
      <c r="CL130" s="87" t="s">
        <v>179</v>
      </c>
      <c r="CM130" s="111"/>
      <c r="CN130" s="111"/>
      <c r="CO130" s="111"/>
      <c r="CP130" s="111"/>
      <c r="CQ130" s="112">
        <v>0</v>
      </c>
      <c r="CT130" s="87" t="s">
        <v>179</v>
      </c>
      <c r="CU130" s="111"/>
      <c r="CV130" s="111"/>
      <c r="CW130" s="111"/>
      <c r="CX130" s="111"/>
      <c r="CY130" s="112">
        <v>0</v>
      </c>
      <c r="DB130" s="87" t="s">
        <v>179</v>
      </c>
      <c r="DC130" s="111"/>
      <c r="DD130" s="111"/>
      <c r="DE130" s="111"/>
      <c r="DF130" s="111"/>
      <c r="DG130" s="112">
        <v>0</v>
      </c>
    </row>
    <row r="131" spans="2:111" ht="15" thickBot="1">
      <c r="B131" s="85" t="str">
        <f>B117</f>
        <v>Intrauterine device levonorgestrel</v>
      </c>
      <c r="C131" s="113">
        <f ca="1">SUM(C121:C129)</f>
        <v>26538280.865881924</v>
      </c>
      <c r="D131" s="113">
        <f ca="1">SUM(D121:D129)</f>
        <v>52885290.695270158</v>
      </c>
      <c r="E131" s="113">
        <f ca="1">SUM(E121:E129)</f>
        <v>79017660.669982582</v>
      </c>
      <c r="F131" s="113">
        <f ca="1">SUM(F121:F129)</f>
        <v>104860558.58776912</v>
      </c>
      <c r="G131" s="114">
        <f ca="1">SUM(G121:G129)</f>
        <v>130295029.4001738</v>
      </c>
      <c r="J131" s="85">
        <f>J117</f>
        <v>0</v>
      </c>
      <c r="K131" s="113">
        <f ca="1">SUM(K121:K129)</f>
        <v>0</v>
      </c>
      <c r="L131" s="113">
        <f ca="1">SUM(L121:L129)</f>
        <v>0</v>
      </c>
      <c r="M131" s="113">
        <f ca="1">SUM(M121:M129)</f>
        <v>0</v>
      </c>
      <c r="N131" s="113">
        <f ca="1">SUM(N121:N129)</f>
        <v>0</v>
      </c>
      <c r="O131" s="114">
        <f ca="1">SUM(O121:O129)</f>
        <v>0</v>
      </c>
      <c r="R131" s="85">
        <f>R117</f>
        <v>0</v>
      </c>
      <c r="S131" s="113">
        <f ca="1">SUM(S121:S129)</f>
        <v>0</v>
      </c>
      <c r="T131" s="113">
        <f ca="1">SUM(T121:T129)</f>
        <v>0</v>
      </c>
      <c r="U131" s="113">
        <f ca="1">SUM(U121:U129)</f>
        <v>0</v>
      </c>
      <c r="V131" s="113">
        <f ca="1">SUM(V121:V129)</f>
        <v>0</v>
      </c>
      <c r="W131" s="114">
        <f ca="1">SUM(W121:W129)</f>
        <v>0</v>
      </c>
      <c r="Z131" s="85">
        <f>Z117</f>
        <v>0</v>
      </c>
      <c r="AA131" s="113">
        <f ca="1">SUM(AA121:AA129)</f>
        <v>0</v>
      </c>
      <c r="AB131" s="113">
        <f ca="1">SUM(AB121:AB129)</f>
        <v>0</v>
      </c>
      <c r="AC131" s="113">
        <f ca="1">SUM(AC121:AC129)</f>
        <v>0</v>
      </c>
      <c r="AD131" s="113">
        <f ca="1">SUM(AD121:AD129)</f>
        <v>0</v>
      </c>
      <c r="AE131" s="114">
        <f ca="1">SUM(AE121:AE129)</f>
        <v>0</v>
      </c>
      <c r="AH131" s="85" t="str">
        <f>AH117</f>
        <v>Oral contraceptive</v>
      </c>
      <c r="AI131" s="113">
        <f ca="1">SUM(AI121:AI129)</f>
        <v>4938714.6527574901</v>
      </c>
      <c r="AJ131" s="113">
        <f ca="1">SUM(AJ121:AJ129)</f>
        <v>9312863.1833614781</v>
      </c>
      <c r="AK131" s="113">
        <f ca="1">SUM(AK121:AK129)</f>
        <v>13125273.115581011</v>
      </c>
      <c r="AL131" s="113">
        <f ca="1">SUM(AL121:AL129)</f>
        <v>16377658.979175398</v>
      </c>
      <c r="AM131" s="114">
        <f ca="1">SUM(AM121:AM129)</f>
        <v>19071838.229695931</v>
      </c>
      <c r="AP131" s="85">
        <f>AP117</f>
        <v>0</v>
      </c>
      <c r="AQ131" s="113">
        <f ca="1">SUM(AQ121:AQ129)</f>
        <v>0</v>
      </c>
      <c r="AR131" s="113">
        <f ca="1">SUM(AR121:AR129)</f>
        <v>0</v>
      </c>
      <c r="AS131" s="113">
        <f ca="1">SUM(AS121:AS129)</f>
        <v>0</v>
      </c>
      <c r="AT131" s="113">
        <f ca="1">SUM(AT121:AT129)</f>
        <v>0</v>
      </c>
      <c r="AU131" s="114">
        <f ca="1">SUM(AU121:AU129)</f>
        <v>0</v>
      </c>
      <c r="AX131" s="85">
        <f>AX117</f>
        <v>0</v>
      </c>
      <c r="AY131" s="113">
        <f ca="1">SUM(AY121:AY129)</f>
        <v>0</v>
      </c>
      <c r="AZ131" s="113">
        <f ca="1">SUM(AZ121:AZ129)</f>
        <v>0</v>
      </c>
      <c r="BA131" s="113">
        <f ca="1">SUM(BA121:BA129)</f>
        <v>0</v>
      </c>
      <c r="BB131" s="113">
        <f ca="1">SUM(BB121:BB129)</f>
        <v>0</v>
      </c>
      <c r="BC131" s="114">
        <f ca="1">SUM(BC121:BC129)</f>
        <v>0</v>
      </c>
      <c r="BF131" s="85">
        <f>BF117</f>
        <v>0</v>
      </c>
      <c r="BG131" s="113">
        <f ca="1">SUM(BG121:BG129)</f>
        <v>0</v>
      </c>
      <c r="BH131" s="113">
        <f ca="1">SUM(BH121:BH129)</f>
        <v>0</v>
      </c>
      <c r="BI131" s="113">
        <f ca="1">SUM(BI121:BI129)</f>
        <v>0</v>
      </c>
      <c r="BJ131" s="113">
        <f ca="1">SUM(BJ121:BJ129)</f>
        <v>0</v>
      </c>
      <c r="BK131" s="114">
        <f ca="1">SUM(BK121:BK129)</f>
        <v>0</v>
      </c>
      <c r="BN131" s="85">
        <f>BN117</f>
        <v>0</v>
      </c>
      <c r="BO131" s="113">
        <f ca="1">SUM(BO121:BO129)</f>
        <v>0</v>
      </c>
      <c r="BP131" s="113">
        <f ca="1">SUM(BP121:BP129)</f>
        <v>0</v>
      </c>
      <c r="BQ131" s="113">
        <f ca="1">SUM(BQ121:BQ129)</f>
        <v>0</v>
      </c>
      <c r="BR131" s="113">
        <f ca="1">SUM(BR121:BR129)</f>
        <v>0</v>
      </c>
      <c r="BS131" s="114">
        <f ca="1">SUM(BS121:BS129)</f>
        <v>0</v>
      </c>
      <c r="BV131" s="85">
        <f>BV117</f>
        <v>0</v>
      </c>
      <c r="BW131" s="113">
        <f ca="1">SUM(BW121:BW129)</f>
        <v>0</v>
      </c>
      <c r="BX131" s="113">
        <f ca="1">SUM(BX121:BX129)</f>
        <v>0</v>
      </c>
      <c r="BY131" s="113">
        <f ca="1">SUM(BY121:BY129)</f>
        <v>0</v>
      </c>
      <c r="BZ131" s="113">
        <f ca="1">SUM(BZ121:BZ129)</f>
        <v>0</v>
      </c>
      <c r="CA131" s="114">
        <f ca="1">SUM(CA121:CA129)</f>
        <v>0</v>
      </c>
      <c r="CD131" s="85">
        <f>CD117</f>
        <v>0</v>
      </c>
      <c r="CE131" s="113">
        <f ca="1">SUM(CE121:CE129)</f>
        <v>0</v>
      </c>
      <c r="CF131" s="113">
        <f ca="1">SUM(CF121:CF129)</f>
        <v>0</v>
      </c>
      <c r="CG131" s="113">
        <f ca="1">SUM(CG121:CG129)</f>
        <v>0</v>
      </c>
      <c r="CH131" s="113">
        <f ca="1">SUM(CH121:CH129)</f>
        <v>0</v>
      </c>
      <c r="CI131" s="114">
        <f ca="1">SUM(CI121:CI129)</f>
        <v>0</v>
      </c>
      <c r="CL131" s="85">
        <f>CL117</f>
        <v>0</v>
      </c>
      <c r="CM131" s="113">
        <f ca="1">SUM(CM121:CM129)</f>
        <v>0</v>
      </c>
      <c r="CN131" s="113">
        <f ca="1">SUM(CN121:CN129)</f>
        <v>0</v>
      </c>
      <c r="CO131" s="113">
        <f ca="1">SUM(CO121:CO129)</f>
        <v>0</v>
      </c>
      <c r="CP131" s="113">
        <f ca="1">SUM(CP121:CP129)</f>
        <v>0</v>
      </c>
      <c r="CQ131" s="114">
        <f ca="1">SUM(CQ121:CQ129)</f>
        <v>0</v>
      </c>
      <c r="CT131" s="85">
        <f>CT117</f>
        <v>0</v>
      </c>
      <c r="CU131" s="113">
        <f ca="1">SUM(CU121:CU129)</f>
        <v>0</v>
      </c>
      <c r="CV131" s="113">
        <f ca="1">SUM(CV121:CV129)</f>
        <v>0</v>
      </c>
      <c r="CW131" s="113">
        <f ca="1">SUM(CW121:CW129)</f>
        <v>0</v>
      </c>
      <c r="CX131" s="113">
        <f ca="1">SUM(CX121:CX129)</f>
        <v>0</v>
      </c>
      <c r="CY131" s="114">
        <f ca="1">SUM(CY121:CY129)</f>
        <v>0</v>
      </c>
      <c r="DB131" s="85">
        <f>DB117</f>
        <v>0</v>
      </c>
      <c r="DC131" s="113">
        <f ca="1">SUM(DC121:DC129)</f>
        <v>0</v>
      </c>
      <c r="DD131" s="113">
        <f ca="1">SUM(DD121:DD129)</f>
        <v>0</v>
      </c>
      <c r="DE131" s="113">
        <f ca="1">SUM(DE121:DE129)</f>
        <v>0</v>
      </c>
      <c r="DF131" s="113">
        <f ca="1">SUM(DF121:DF129)</f>
        <v>0</v>
      </c>
      <c r="DG131" s="114">
        <f ca="1">SUM(DG121:DG129)</f>
        <v>0</v>
      </c>
    </row>
    <row r="132" spans="2:111" ht="15" thickBot="1">
      <c r="B132" s="83"/>
      <c r="C132" s="83"/>
      <c r="D132" s="83"/>
      <c r="E132" s="83"/>
      <c r="F132" s="83"/>
      <c r="G132" s="83"/>
      <c r="J132" s="83"/>
      <c r="K132" s="83"/>
      <c r="L132" s="83"/>
      <c r="M132" s="83"/>
      <c r="N132" s="83"/>
      <c r="O132" s="83"/>
      <c r="R132" s="83"/>
      <c r="S132" s="83"/>
      <c r="T132" s="83"/>
      <c r="U132" s="83"/>
      <c r="V132" s="83"/>
      <c r="W132" s="83"/>
      <c r="Z132" s="83"/>
      <c r="AA132" s="83"/>
      <c r="AB132" s="83"/>
      <c r="AC132" s="83"/>
      <c r="AD132" s="83"/>
      <c r="AE132" s="83"/>
      <c r="AH132" s="83"/>
      <c r="AI132" s="83"/>
      <c r="AJ132" s="83"/>
      <c r="AK132" s="83"/>
      <c r="AL132" s="83"/>
      <c r="AM132" s="83"/>
      <c r="AP132" s="83"/>
      <c r="AQ132" s="83"/>
      <c r="AR132" s="83"/>
      <c r="AS132" s="83"/>
      <c r="AT132" s="83"/>
      <c r="AU132" s="83"/>
      <c r="AX132" s="83"/>
      <c r="AY132" s="83"/>
      <c r="AZ132" s="83"/>
      <c r="BA132" s="83"/>
      <c r="BB132" s="83"/>
      <c r="BC132" s="83"/>
      <c r="BF132" s="83"/>
      <c r="BG132" s="83"/>
      <c r="BH132" s="83"/>
      <c r="BI132" s="83"/>
      <c r="BJ132" s="83"/>
      <c r="BK132" s="83"/>
      <c r="BN132" s="83"/>
      <c r="BO132" s="83"/>
      <c r="BP132" s="83"/>
      <c r="BQ132" s="83"/>
      <c r="BR132" s="83"/>
      <c r="BS132" s="83"/>
      <c r="BV132" s="83"/>
      <c r="BW132" s="83"/>
      <c r="BX132" s="83"/>
      <c r="BY132" s="83"/>
      <c r="BZ132" s="83"/>
      <c r="CA132" s="83"/>
      <c r="CD132" s="83"/>
      <c r="CE132" s="83"/>
      <c r="CF132" s="83"/>
      <c r="CG132" s="83"/>
      <c r="CH132" s="83"/>
      <c r="CI132" s="83"/>
      <c r="CL132" s="83"/>
      <c r="CM132" s="83"/>
      <c r="CN132" s="83"/>
      <c r="CO132" s="83"/>
      <c r="CP132" s="83"/>
      <c r="CQ132" s="83"/>
      <c r="CT132" s="83"/>
      <c r="CU132" s="83"/>
      <c r="CV132" s="83"/>
      <c r="CW132" s="83"/>
      <c r="CX132" s="83"/>
      <c r="CY132" s="83"/>
      <c r="DB132" s="83"/>
      <c r="DC132" s="83"/>
      <c r="DD132" s="83"/>
      <c r="DE132" s="83"/>
      <c r="DF132" s="83"/>
      <c r="DG132" s="83"/>
    </row>
    <row r="133" spans="2:111" ht="15" thickBot="1">
      <c r="B133" s="507">
        <f>B71</f>
        <v>0</v>
      </c>
      <c r="C133" s="505"/>
      <c r="D133" s="505"/>
      <c r="E133" s="505"/>
      <c r="F133" s="505"/>
      <c r="G133" s="506"/>
      <c r="J133" s="507">
        <f>J71</f>
        <v>0</v>
      </c>
      <c r="K133" s="505"/>
      <c r="L133" s="505"/>
      <c r="M133" s="505"/>
      <c r="N133" s="505"/>
      <c r="O133" s="506"/>
      <c r="R133" s="507">
        <f>R71</f>
        <v>0</v>
      </c>
      <c r="S133" s="505"/>
      <c r="T133" s="505"/>
      <c r="U133" s="505"/>
      <c r="V133" s="505"/>
      <c r="W133" s="506"/>
      <c r="Z133" s="507">
        <f>Z71</f>
        <v>0</v>
      </c>
      <c r="AA133" s="505"/>
      <c r="AB133" s="505"/>
      <c r="AC133" s="505"/>
      <c r="AD133" s="505"/>
      <c r="AE133" s="506"/>
      <c r="AH133" s="507">
        <f>AH71</f>
        <v>0</v>
      </c>
      <c r="AI133" s="505"/>
      <c r="AJ133" s="505"/>
      <c r="AK133" s="505"/>
      <c r="AL133" s="505"/>
      <c r="AM133" s="506"/>
      <c r="AP133" s="507">
        <f>AP71</f>
        <v>0</v>
      </c>
      <c r="AQ133" s="505"/>
      <c r="AR133" s="505"/>
      <c r="AS133" s="505"/>
      <c r="AT133" s="505"/>
      <c r="AU133" s="506"/>
      <c r="AX133" s="507">
        <f>AX71</f>
        <v>0</v>
      </c>
      <c r="AY133" s="505"/>
      <c r="AZ133" s="505"/>
      <c r="BA133" s="505"/>
      <c r="BB133" s="505"/>
      <c r="BC133" s="506"/>
      <c r="BF133" s="507">
        <f>BF71</f>
        <v>0</v>
      </c>
      <c r="BG133" s="505"/>
      <c r="BH133" s="505"/>
      <c r="BI133" s="505"/>
      <c r="BJ133" s="505"/>
      <c r="BK133" s="506"/>
      <c r="BN133" s="507">
        <f>BN71</f>
        <v>0</v>
      </c>
      <c r="BO133" s="505"/>
      <c r="BP133" s="505"/>
      <c r="BQ133" s="505"/>
      <c r="BR133" s="505"/>
      <c r="BS133" s="506"/>
      <c r="BV133" s="507">
        <f>BV71</f>
        <v>0</v>
      </c>
      <c r="BW133" s="505"/>
      <c r="BX133" s="505"/>
      <c r="BY133" s="505"/>
      <c r="BZ133" s="505"/>
      <c r="CA133" s="506"/>
      <c r="CD133" s="507">
        <f>CD71</f>
        <v>0</v>
      </c>
      <c r="CE133" s="505"/>
      <c r="CF133" s="505"/>
      <c r="CG133" s="505"/>
      <c r="CH133" s="505"/>
      <c r="CI133" s="506"/>
      <c r="CL133" s="507">
        <f>CL71</f>
        <v>0</v>
      </c>
      <c r="CM133" s="505"/>
      <c r="CN133" s="505"/>
      <c r="CO133" s="505"/>
      <c r="CP133" s="505"/>
      <c r="CQ133" s="506"/>
      <c r="CT133" s="507">
        <f>CT71</f>
        <v>0</v>
      </c>
      <c r="CU133" s="505"/>
      <c r="CV133" s="505"/>
      <c r="CW133" s="505"/>
      <c r="CX133" s="505"/>
      <c r="CY133" s="506"/>
      <c r="DB133" s="507">
        <f>DB71</f>
        <v>0</v>
      </c>
      <c r="DC133" s="505"/>
      <c r="DD133" s="505"/>
      <c r="DE133" s="505"/>
      <c r="DF133" s="505"/>
      <c r="DG133" s="506"/>
    </row>
    <row r="134" spans="2:111">
      <c r="B134" s="84"/>
      <c r="C134" s="101">
        <f>C72</f>
        <v>2026</v>
      </c>
      <c r="D134" s="101">
        <f t="shared" ref="D134:F134" si="314">D72</f>
        <v>2027</v>
      </c>
      <c r="E134" s="101">
        <f t="shared" si="314"/>
        <v>2028</v>
      </c>
      <c r="F134" s="101">
        <f t="shared" si="314"/>
        <v>2029</v>
      </c>
      <c r="G134" s="102">
        <f>G72</f>
        <v>2030</v>
      </c>
      <c r="J134" s="84"/>
      <c r="K134" s="101">
        <f>K72</f>
        <v>2026</v>
      </c>
      <c r="L134" s="101">
        <f t="shared" ref="L134:N134" si="315">L72</f>
        <v>2027</v>
      </c>
      <c r="M134" s="101">
        <f t="shared" si="315"/>
        <v>2028</v>
      </c>
      <c r="N134" s="101">
        <f t="shared" si="315"/>
        <v>2029</v>
      </c>
      <c r="O134" s="102">
        <f>O72</f>
        <v>2030</v>
      </c>
      <c r="R134" s="84"/>
      <c r="S134" s="101">
        <f>S72</f>
        <v>2026</v>
      </c>
      <c r="T134" s="101">
        <f t="shared" ref="T134:V134" si="316">T72</f>
        <v>2027</v>
      </c>
      <c r="U134" s="101">
        <f t="shared" si="316"/>
        <v>2028</v>
      </c>
      <c r="V134" s="101">
        <f t="shared" si="316"/>
        <v>2029</v>
      </c>
      <c r="W134" s="102">
        <f>W72</f>
        <v>2030</v>
      </c>
      <c r="Z134" s="84"/>
      <c r="AA134" s="101">
        <f>AA72</f>
        <v>2026</v>
      </c>
      <c r="AB134" s="101">
        <f t="shared" ref="AB134:AD134" si="317">AB72</f>
        <v>2027</v>
      </c>
      <c r="AC134" s="101">
        <f t="shared" si="317"/>
        <v>2028</v>
      </c>
      <c r="AD134" s="101">
        <f t="shared" si="317"/>
        <v>2029</v>
      </c>
      <c r="AE134" s="102">
        <f>AE72</f>
        <v>2030</v>
      </c>
      <c r="AH134" s="84"/>
      <c r="AI134" s="101">
        <f>AI72</f>
        <v>2026</v>
      </c>
      <c r="AJ134" s="101">
        <f t="shared" ref="AJ134:AL134" si="318">AJ72</f>
        <v>2027</v>
      </c>
      <c r="AK134" s="101">
        <f t="shared" si="318"/>
        <v>2028</v>
      </c>
      <c r="AL134" s="101">
        <f t="shared" si="318"/>
        <v>2029</v>
      </c>
      <c r="AM134" s="102">
        <f>AM72</f>
        <v>2030</v>
      </c>
      <c r="AP134" s="84"/>
      <c r="AQ134" s="101">
        <f>AQ72</f>
        <v>2026</v>
      </c>
      <c r="AR134" s="101">
        <f t="shared" ref="AR134:AT134" si="319">AR72</f>
        <v>2027</v>
      </c>
      <c r="AS134" s="101">
        <f t="shared" si="319"/>
        <v>2028</v>
      </c>
      <c r="AT134" s="101">
        <f t="shared" si="319"/>
        <v>2029</v>
      </c>
      <c r="AU134" s="102">
        <f>AU72</f>
        <v>2030</v>
      </c>
      <c r="AX134" s="84"/>
      <c r="AY134" s="101">
        <f>AY72</f>
        <v>2026</v>
      </c>
      <c r="AZ134" s="101">
        <f t="shared" ref="AZ134:BB134" si="320">AZ72</f>
        <v>2027</v>
      </c>
      <c r="BA134" s="101">
        <f t="shared" si="320"/>
        <v>2028</v>
      </c>
      <c r="BB134" s="101">
        <f t="shared" si="320"/>
        <v>2029</v>
      </c>
      <c r="BC134" s="102">
        <f>BC72</f>
        <v>2030</v>
      </c>
      <c r="BF134" s="84"/>
      <c r="BG134" s="101">
        <f>BG72</f>
        <v>2026</v>
      </c>
      <c r="BH134" s="101">
        <f t="shared" ref="BH134:BJ134" si="321">BH72</f>
        <v>2027</v>
      </c>
      <c r="BI134" s="101">
        <f t="shared" si="321"/>
        <v>2028</v>
      </c>
      <c r="BJ134" s="101">
        <f t="shared" si="321"/>
        <v>2029</v>
      </c>
      <c r="BK134" s="102">
        <f>BK72</f>
        <v>2030</v>
      </c>
      <c r="BN134" s="84"/>
      <c r="BO134" s="101">
        <f>BO72</f>
        <v>2026</v>
      </c>
      <c r="BP134" s="101">
        <f t="shared" ref="BP134:BR134" si="322">BP72</f>
        <v>2027</v>
      </c>
      <c r="BQ134" s="101">
        <f t="shared" si="322"/>
        <v>2028</v>
      </c>
      <c r="BR134" s="101">
        <f t="shared" si="322"/>
        <v>2029</v>
      </c>
      <c r="BS134" s="102">
        <f>BS72</f>
        <v>2030</v>
      </c>
      <c r="BV134" s="84"/>
      <c r="BW134" s="101">
        <f>BW72</f>
        <v>2026</v>
      </c>
      <c r="BX134" s="101">
        <f t="shared" ref="BX134:BZ134" si="323">BX72</f>
        <v>2027</v>
      </c>
      <c r="BY134" s="101">
        <f t="shared" si="323"/>
        <v>2028</v>
      </c>
      <c r="BZ134" s="101">
        <f t="shared" si="323"/>
        <v>2029</v>
      </c>
      <c r="CA134" s="102">
        <f>CA72</f>
        <v>2030</v>
      </c>
      <c r="CD134" s="84"/>
      <c r="CE134" s="101">
        <f>CE72</f>
        <v>2026</v>
      </c>
      <c r="CF134" s="101">
        <f t="shared" ref="CF134:CH134" si="324">CF72</f>
        <v>2027</v>
      </c>
      <c r="CG134" s="101">
        <f t="shared" si="324"/>
        <v>2028</v>
      </c>
      <c r="CH134" s="101">
        <f t="shared" si="324"/>
        <v>2029</v>
      </c>
      <c r="CI134" s="102">
        <f>CI72</f>
        <v>2030</v>
      </c>
      <c r="CL134" s="84"/>
      <c r="CM134" s="101">
        <f>CM72</f>
        <v>2026</v>
      </c>
      <c r="CN134" s="101">
        <f t="shared" ref="CN134:CP134" si="325">CN72</f>
        <v>2027</v>
      </c>
      <c r="CO134" s="101">
        <f t="shared" si="325"/>
        <v>2028</v>
      </c>
      <c r="CP134" s="101">
        <f t="shared" si="325"/>
        <v>2029</v>
      </c>
      <c r="CQ134" s="102">
        <f>CQ72</f>
        <v>2030</v>
      </c>
      <c r="CT134" s="84"/>
      <c r="CU134" s="101">
        <f>CU72</f>
        <v>2026</v>
      </c>
      <c r="CV134" s="101">
        <f t="shared" ref="CV134:CX134" si="326">CV72</f>
        <v>2027</v>
      </c>
      <c r="CW134" s="101">
        <f t="shared" si="326"/>
        <v>2028</v>
      </c>
      <c r="CX134" s="101">
        <f t="shared" si="326"/>
        <v>2029</v>
      </c>
      <c r="CY134" s="102">
        <f>CY72</f>
        <v>2030</v>
      </c>
      <c r="DB134" s="84"/>
      <c r="DC134" s="101">
        <f>DC72</f>
        <v>2026</v>
      </c>
      <c r="DD134" s="101">
        <f t="shared" ref="DD134:DF134" si="327">DD72</f>
        <v>2027</v>
      </c>
      <c r="DE134" s="101">
        <f t="shared" si="327"/>
        <v>2028</v>
      </c>
      <c r="DF134" s="101">
        <f t="shared" si="327"/>
        <v>2029</v>
      </c>
      <c r="DG134" s="102">
        <f>DG72</f>
        <v>2030</v>
      </c>
    </row>
    <row r="135" spans="2:111">
      <c r="B135" s="87" t="s">
        <v>170</v>
      </c>
      <c r="C135" s="109">
        <f ca="1">(C73*c_inicial)+(C73*c_on*12)+(C73*ci_int1)+(C73*(ct_int1+ca_int1)*'Time on treatment'!$D$12)</f>
        <v>0</v>
      </c>
      <c r="D135" s="109">
        <f ca="1">(D73*c_on*12)+(D73*(ct_int1+ca_int1)*'Time on treatment'!$E$12)</f>
        <v>0</v>
      </c>
      <c r="E135" s="109">
        <f ca="1">(E73*c_on*12)+(E73*(ct_int1+ca_int1)*'Time on treatment'!$F$12)</f>
        <v>0</v>
      </c>
      <c r="F135" s="109">
        <f ca="1">(F73*c_on*12)+(F73*(ct_int1+ca_int1)*'Time on treatment'!$G$12)</f>
        <v>0</v>
      </c>
      <c r="G135" s="110">
        <f ca="1">(G73*c_on*12)+(G73*(ct_int1+ca_int1)*'Time on treatment'!$H$12)</f>
        <v>0</v>
      </c>
      <c r="J135" s="87" t="s">
        <v>170</v>
      </c>
      <c r="K135" s="109">
        <f ca="1">(K73*c_inicial)+(K73*c_on*12)+(K73*ci_int2)+(K73*(ct_int2+ca_int2)*'Time on treatment'!$D$13)</f>
        <v>0</v>
      </c>
      <c r="L135" s="109">
        <f ca="1">(L73*c_on*12)+(L73*(ct_int2+ca_int2)*'Time on treatment'!$E$13)</f>
        <v>0</v>
      </c>
      <c r="M135" s="109">
        <f ca="1">(M73*c_on*12)+(M73*(ct_int2+ca_int2)*'Time on treatment'!$F$13)</f>
        <v>0</v>
      </c>
      <c r="N135" s="109">
        <f ca="1">(N73*c_on*12)+(N73*(ct_int2+ca_int2)*'Time on treatment'!$G$13)</f>
        <v>0</v>
      </c>
      <c r="O135" s="110">
        <f ca="1">(O73*c_on*12)+(O73*(ct_int2+ca_int2)*'Time on treatment'!$H$13)</f>
        <v>0</v>
      </c>
      <c r="R135" s="87" t="s">
        <v>170</v>
      </c>
      <c r="S135" s="109">
        <f ca="1">(S73*c_inicial)+(S73*c_on*12)+(S73*ci_int3)+(S73*(ct_int3+ca_int3)*'Time on treatment'!$D$14)</f>
        <v>0</v>
      </c>
      <c r="T135" s="109">
        <f ca="1">(T73*c_on*12)+(T73*(ct_int3+ca_int3)*'Time on treatment'!$E$14)</f>
        <v>0</v>
      </c>
      <c r="U135" s="109">
        <f ca="1">(U73*c_on*12)+(U73*(ct_int3+ca_int3)*'Time on treatment'!$F$14)</f>
        <v>0</v>
      </c>
      <c r="V135" s="109">
        <f ca="1">(V73*c_on*12)+(V73*(ct_int3+ca_int3)*'Time on treatment'!$G$14)</f>
        <v>0</v>
      </c>
      <c r="W135" s="110">
        <f ca="1">(W73*c_on*12)+(W73*(ct_int3+ca_int3)*'Time on treatment'!$H$14)</f>
        <v>0</v>
      </c>
      <c r="Z135" s="87" t="s">
        <v>170</v>
      </c>
      <c r="AA135" s="109">
        <f ca="1">(AA73*c_inicial)+(AA73*c_on*12)+(AA73*ci_int4)+(AA73*(ct_int4+ca_int4)*'Time on treatment'!$D$15)</f>
        <v>0</v>
      </c>
      <c r="AB135" s="109">
        <f ca="1">(AB73*c_on*12)+(AB73*(ct_int4+ca_int4)*'Time on treatment'!$E$15)</f>
        <v>0</v>
      </c>
      <c r="AC135" s="109">
        <f ca="1">(AC73*c_on*12)+(AC73*(ct_int4+ca_int4)*'Time on treatment'!$F$15)</f>
        <v>0</v>
      </c>
      <c r="AD135" s="109">
        <f ca="1">(AD73*c_on*12)+(AD73*(ct_int4+ca_int4)*'Time on treatment'!$G$15)</f>
        <v>0</v>
      </c>
      <c r="AE135" s="110">
        <f ca="1">(AE73*c_on*12)+(AE73*(ct_int4+ca_int4)*'Time on treatment'!$H$15)</f>
        <v>0</v>
      </c>
      <c r="AH135" s="87" t="s">
        <v>170</v>
      </c>
      <c r="AI135" s="109">
        <f ca="1">(AI73*c_inicial)+(AI73*c_on*12)+(AI73*ci_comp1)+(AI73*(ct_comp1+ca_comp1)*'Time on treatment'!$D$19)</f>
        <v>0</v>
      </c>
      <c r="AJ135" s="109">
        <f ca="1">(AJ73*c_on*12)+(AJ73*(ct_comp1+ca_comp1)*'Time on treatment'!$E$19)</f>
        <v>0</v>
      </c>
      <c r="AK135" s="109">
        <f ca="1">(AK73*c_on*12)+(AK73*(ct_comp1+ca_comp1)*'Time on treatment'!$F$19)</f>
        <v>0</v>
      </c>
      <c r="AL135" s="109">
        <f ca="1">(AL73*c_on*12)+(AL73*(ct_comp1+ca_comp1)*'Time on treatment'!$G$19)</f>
        <v>0</v>
      </c>
      <c r="AM135" s="110">
        <f ca="1">(AM73*c_on*12)+(AM73*(ct_comp1+ca_comp1)*'Time on treatment'!$H$19)</f>
        <v>0</v>
      </c>
      <c r="AP135" s="87" t="s">
        <v>170</v>
      </c>
      <c r="AQ135" s="109">
        <f ca="1">(AQ73*c_inicial)+(AQ73*c_on*12)+(AQ73*ci_comp2)+(AQ73*(ct_comp2+ca_comp2)*'Time on treatment'!$D$20)</f>
        <v>0</v>
      </c>
      <c r="AR135" s="109">
        <f ca="1">(AR73*c_on*12)+(AR73*(ct_comp2+ca_comp2)*'Time on treatment'!$E$20)</f>
        <v>0</v>
      </c>
      <c r="AS135" s="109">
        <f ca="1">(AS73*c_on*12)+(AS73*(ct_comp2+ca_comp2)*'Time on treatment'!$F$20)</f>
        <v>0</v>
      </c>
      <c r="AT135" s="109">
        <f ca="1">(AT73*c_on*12)+(AT73*(ct_comp2+ca_comp2)*'Time on treatment'!$G$20)</f>
        <v>0</v>
      </c>
      <c r="AU135" s="110">
        <f ca="1">(AU73*c_on*12)+(AU73*(ct_comp2+ca_comp2)*'Time on treatment'!$H$20)</f>
        <v>0</v>
      </c>
      <c r="AX135" s="87" t="s">
        <v>170</v>
      </c>
      <c r="AY135" s="109">
        <f ca="1">(AY73*c_inicial)+(AY73*c_on*12)+(AY73*ci_comp3)+(AY73*(ct_comp3+ca_comp3)*'Time on treatment'!$D$21)</f>
        <v>0</v>
      </c>
      <c r="AZ135" s="109">
        <f ca="1">(AZ73*c_on*12)+(AZ73*(ct_comp3+ca_comp3)*'Time on treatment'!$E$21)</f>
        <v>0</v>
      </c>
      <c r="BA135" s="109">
        <f ca="1">(BA73*c_on*12)+(BA73*(ct_comp3+ca_comp3)*'Time on treatment'!$F$21)</f>
        <v>0</v>
      </c>
      <c r="BB135" s="109">
        <f ca="1">(BB73*c_on*12)+(BB73*(ct_comp3+ca_comp3)*'Time on treatment'!$G$21)</f>
        <v>0</v>
      </c>
      <c r="BC135" s="110">
        <f ca="1">(BC73*c_on*12)+(BC73*(ct_comp3+ca_comp3)*'Time on treatment'!$H$21)</f>
        <v>0</v>
      </c>
      <c r="BF135" s="87" t="s">
        <v>170</v>
      </c>
      <c r="BG135" s="109">
        <f ca="1">(BG73*c_inicial)+(BG73*c_on*12)+(BG73*ci_comp4)+(BG73*(ct_comp4+ca_comp4)*'Time on treatment'!$D$22)</f>
        <v>0</v>
      </c>
      <c r="BH135" s="109">
        <f ca="1">(BH73*c_on*12)+(BH73*(ct_comp4+ca_comp4)*'Time on treatment'!$E$22)</f>
        <v>0</v>
      </c>
      <c r="BI135" s="109">
        <f ca="1">(BI73*c_on*12)+(BI73*(ct_comp4+ca_comp4)*'Time on treatment'!$F$22)</f>
        <v>0</v>
      </c>
      <c r="BJ135" s="109">
        <f ca="1">(BJ73*c_on*12)+(BJ73*(ct_comp4+ca_comp4)*'Time on treatment'!$G$22)</f>
        <v>0</v>
      </c>
      <c r="BK135" s="110">
        <f ca="1">(BK73*c_on*12)+(BK73*(ct_comp4+ca_comp4)*'Time on treatment'!$H$22)</f>
        <v>0</v>
      </c>
      <c r="BN135" s="87" t="s">
        <v>170</v>
      </c>
      <c r="BO135" s="109">
        <f ca="1">(BO73*c_inicial)+(BO73*c_on*12)+(BO73*ci_comp5)+(BO73*(ct_comp5+ca_comp5)*'Time on treatment'!$D$23)</f>
        <v>0</v>
      </c>
      <c r="BP135" s="109">
        <f ca="1">(BP73*c_on*12)+(BP73*(ct_comp5+ca_comp5)*'Time on treatment'!$E$23)</f>
        <v>0</v>
      </c>
      <c r="BQ135" s="109">
        <f ca="1">(BQ73*c_on*12)+(BQ73*(ct_comp5+ca_comp5)*'Time on treatment'!$F$23)</f>
        <v>0</v>
      </c>
      <c r="BR135" s="109">
        <f ca="1">(BR73*c_on*12)+(BR73*(ct_comp5+ca_comp5)*'Time on treatment'!$G$23)</f>
        <v>0</v>
      </c>
      <c r="BS135" s="110">
        <f ca="1">(BS73*c_on*12)+(BS73*(ct_comp5+ca_comp5)*'Time on treatment'!$H$23)</f>
        <v>0</v>
      </c>
      <c r="BV135" s="87" t="s">
        <v>170</v>
      </c>
      <c r="BW135" s="109">
        <f ca="1">(BW73*c_inicial)+(BW73*c_on*12)+(BW73*ci_comp6)+(BW73*(ct_comp6+ca_comp6)*'Time on treatment'!$D$24)</f>
        <v>0</v>
      </c>
      <c r="BX135" s="109">
        <f ca="1">(BX73*c_on*12)+(BX73*(ct_comp6+ca_comp6)*'Time on treatment'!$E$24)</f>
        <v>0</v>
      </c>
      <c r="BY135" s="109">
        <f ca="1">(BY73*c_on*12)+(BY73*(ct_comp6+ca_comp6)*'Time on treatment'!$F$24)</f>
        <v>0</v>
      </c>
      <c r="BZ135" s="109">
        <f ca="1">(BZ73*c_on*12)+(BZ73*(ct_comp6+ca_comp6)*'Time on treatment'!$G$24)</f>
        <v>0</v>
      </c>
      <c r="CA135" s="110">
        <f ca="1">(CA73*c_on*12)+(CA73*(ct_comp6+ca_comp6)*'Time on treatment'!$H$24)</f>
        <v>0</v>
      </c>
      <c r="CD135" s="87" t="s">
        <v>170</v>
      </c>
      <c r="CE135" s="109">
        <f ca="1">(CE73*c_inicial)+(CE73*c_on*12)+(CE73*ci_comp7)+(CE73*(ct_comp7+ca_comp7)*'Time on treatment'!$D$25)</f>
        <v>0</v>
      </c>
      <c r="CF135" s="109">
        <f ca="1">(CF73*c_on*12)+(CF73*(ct_comp7+ca_comp7)*'Time on treatment'!$E$25)</f>
        <v>0</v>
      </c>
      <c r="CG135" s="109">
        <f ca="1">(CG73*c_on*12)+(CG73*(ct_comp7+ca_comp7)*'Time on treatment'!$F$25)</f>
        <v>0</v>
      </c>
      <c r="CH135" s="109">
        <f ca="1">(CH73*c_on*12)+(CH73*(ct_comp7+ca_comp7)*'Time on treatment'!$G$25)</f>
        <v>0</v>
      </c>
      <c r="CI135" s="110">
        <f ca="1">(CI73*c_on*12)+(CI73*(ct_comp7+ca_comp7)*'Time on treatment'!$H$25)</f>
        <v>0</v>
      </c>
      <c r="CL135" s="87" t="s">
        <v>170</v>
      </c>
      <c r="CM135" s="109">
        <f ca="1">(CM73*c_inicial)+(CM73*c_on*12)+(CM73*ci_comp8)+(CM73*(ct_comp8+ca_comp8)*'Time on treatment'!$D$26)</f>
        <v>0</v>
      </c>
      <c r="CN135" s="109">
        <f ca="1">(CN73*c_on*12)+(CN73*(ct_comp8+ca_comp8)*'Time on treatment'!$E$26)</f>
        <v>0</v>
      </c>
      <c r="CO135" s="109">
        <f ca="1">(CO73*c_on*12)+(CO73*(ct_comp8+ca_comp8)*'Time on treatment'!$F$26)</f>
        <v>0</v>
      </c>
      <c r="CP135" s="109">
        <f ca="1">(CP73*c_on*12)+(CP73*(ct_comp8+ca_comp8)*'Time on treatment'!$G$26)</f>
        <v>0</v>
      </c>
      <c r="CQ135" s="110">
        <f ca="1">(CQ73*c_on*12)+(CQ73*(ct_comp8+ca_comp8)*'Time on treatment'!$H$26)</f>
        <v>0</v>
      </c>
      <c r="CT135" s="87" t="s">
        <v>170</v>
      </c>
      <c r="CU135" s="109">
        <f ca="1">(CU73*c_inicial)+(CU73*c_on*12)+(CU73*ci_comp9)+(CU73*(ct_comp9+ca_comp9)*'Time on treatment'!$D$27)</f>
        <v>0</v>
      </c>
      <c r="CV135" s="109">
        <f ca="1">(CV73*c_on*12)+(CV73*(ct_comp9+ca_comp9)*'Time on treatment'!$E$27)</f>
        <v>0</v>
      </c>
      <c r="CW135" s="109">
        <f ca="1">(CW73*c_on*12)+(CW73*(ct_comp9+ca_comp9)*'Time on treatment'!$F$27)</f>
        <v>0</v>
      </c>
      <c r="CX135" s="109">
        <f ca="1">(CX73*c_on*12)+(CX73*(ct_comp9+ca_comp9)*'Time on treatment'!$G$27)</f>
        <v>0</v>
      </c>
      <c r="CY135" s="110">
        <f ca="1">(CY73*c_on*12)+(CY73*(ct_comp9+ca_comp9)*'Time on treatment'!$H$27)</f>
        <v>0</v>
      </c>
      <c r="DB135" s="87" t="s">
        <v>170</v>
      </c>
      <c r="DC135" s="109">
        <f ca="1">(DC73*c_inicial)+(DC73*c_on*12)+(DC73*ci_comp10)+(DC73*(ct_comp10+ca_comp10)*'Time on treatment'!$D$28)</f>
        <v>0</v>
      </c>
      <c r="DD135" s="109">
        <f ca="1">(DD73*c_on*12)+(DD73*(ct_comp10+ca_comp10)*'Time on treatment'!$E$28)</f>
        <v>0</v>
      </c>
      <c r="DE135" s="109">
        <f ca="1">(DE73*c_on*12)+(DE73*(ct_comp10+ca_comp10)*'Time on treatment'!$F$28)</f>
        <v>0</v>
      </c>
      <c r="DF135" s="109">
        <f ca="1">(DF73*c_on*12)+(DF73*(ct_comp10+ca_comp10)*'Time on treatment'!$G$28)</f>
        <v>0</v>
      </c>
      <c r="DG135" s="110">
        <f ca="1">(DG73*c_on*12)+(DG73*(ct_comp10+ca_comp10)*'Time on treatment'!$H$28)</f>
        <v>0</v>
      </c>
    </row>
    <row r="136" spans="2:111">
      <c r="B136" s="87" t="s">
        <v>175</v>
      </c>
      <c r="C136" s="109">
        <f>C74*c_off</f>
        <v>0</v>
      </c>
      <c r="D136" s="109">
        <f>D74*c_off</f>
        <v>0</v>
      </c>
      <c r="E136" s="109">
        <f>E74*c_off</f>
        <v>0</v>
      </c>
      <c r="F136" s="109">
        <f>F74*c_off</f>
        <v>0</v>
      </c>
      <c r="G136" s="110">
        <f>G74*c_off</f>
        <v>0</v>
      </c>
      <c r="J136" s="87" t="s">
        <v>175</v>
      </c>
      <c r="K136" s="109">
        <f>K74*c_off</f>
        <v>0</v>
      </c>
      <c r="L136" s="109">
        <f>L74*c_off</f>
        <v>0</v>
      </c>
      <c r="M136" s="109">
        <f>M74*c_off</f>
        <v>0</v>
      </c>
      <c r="N136" s="109">
        <f>N74*c_off</f>
        <v>0</v>
      </c>
      <c r="O136" s="110">
        <f>O74*c_off</f>
        <v>0</v>
      </c>
      <c r="R136" s="87" t="s">
        <v>175</v>
      </c>
      <c r="S136" s="109">
        <f>S74*c_off</f>
        <v>0</v>
      </c>
      <c r="T136" s="109">
        <f>T74*c_off</f>
        <v>0</v>
      </c>
      <c r="U136" s="109">
        <f>U74*c_off</f>
        <v>0</v>
      </c>
      <c r="V136" s="109">
        <f>V74*c_off</f>
        <v>0</v>
      </c>
      <c r="W136" s="110">
        <f>W74*c_off</f>
        <v>0</v>
      </c>
      <c r="Z136" s="87" t="s">
        <v>175</v>
      </c>
      <c r="AA136" s="109">
        <f>AA74*c_off</f>
        <v>0</v>
      </c>
      <c r="AB136" s="109">
        <f>AB74*c_off</f>
        <v>0</v>
      </c>
      <c r="AC136" s="109">
        <f>AC74*c_off</f>
        <v>0</v>
      </c>
      <c r="AD136" s="109">
        <f>AD74*c_off</f>
        <v>0</v>
      </c>
      <c r="AE136" s="110">
        <f>AE74*c_off</f>
        <v>0</v>
      </c>
      <c r="AH136" s="87" t="s">
        <v>175</v>
      </c>
      <c r="AI136" s="109">
        <f>AI74*c_off</f>
        <v>0</v>
      </c>
      <c r="AJ136" s="109">
        <f>AJ74*c_off</f>
        <v>0</v>
      </c>
      <c r="AK136" s="109">
        <f>AK74*c_off</f>
        <v>0</v>
      </c>
      <c r="AL136" s="109">
        <f>AL74*c_off</f>
        <v>0</v>
      </c>
      <c r="AM136" s="110">
        <f>AM74*c_off</f>
        <v>0</v>
      </c>
      <c r="AP136" s="87" t="s">
        <v>175</v>
      </c>
      <c r="AQ136" s="109">
        <f>AQ74*c_off</f>
        <v>0</v>
      </c>
      <c r="AR136" s="109">
        <f>AR74*c_off</f>
        <v>0</v>
      </c>
      <c r="AS136" s="109">
        <f>AS74*c_off</f>
        <v>0</v>
      </c>
      <c r="AT136" s="109">
        <f>AT74*c_off</f>
        <v>0</v>
      </c>
      <c r="AU136" s="110">
        <f>AU74*c_off</f>
        <v>0</v>
      </c>
      <c r="AX136" s="87" t="s">
        <v>175</v>
      </c>
      <c r="AY136" s="109">
        <f>AY74*c_off</f>
        <v>0</v>
      </c>
      <c r="AZ136" s="109">
        <f>AZ74*c_off</f>
        <v>0</v>
      </c>
      <c r="BA136" s="109">
        <f>BA74*c_off</f>
        <v>0</v>
      </c>
      <c r="BB136" s="109">
        <f>BB74*c_off</f>
        <v>0</v>
      </c>
      <c r="BC136" s="110">
        <f>BC74*c_off</f>
        <v>0</v>
      </c>
      <c r="BF136" s="87" t="s">
        <v>175</v>
      </c>
      <c r="BG136" s="109">
        <f>BG74*c_off</f>
        <v>0</v>
      </c>
      <c r="BH136" s="109">
        <f>BH74*c_off</f>
        <v>0</v>
      </c>
      <c r="BI136" s="109">
        <f>BI74*c_off</f>
        <v>0</v>
      </c>
      <c r="BJ136" s="109">
        <f>BJ74*c_off</f>
        <v>0</v>
      </c>
      <c r="BK136" s="110">
        <f>BK74*c_off</f>
        <v>0</v>
      </c>
      <c r="BN136" s="87" t="s">
        <v>175</v>
      </c>
      <c r="BO136" s="109">
        <f>BO74*c_off</f>
        <v>0</v>
      </c>
      <c r="BP136" s="109">
        <f>BP74*c_off</f>
        <v>0</v>
      </c>
      <c r="BQ136" s="109">
        <f>BQ74*c_off</f>
        <v>0</v>
      </c>
      <c r="BR136" s="109">
        <f>BR74*c_off</f>
        <v>0</v>
      </c>
      <c r="BS136" s="110">
        <f>BS74*c_off</f>
        <v>0</v>
      </c>
      <c r="BV136" s="87" t="s">
        <v>175</v>
      </c>
      <c r="BW136" s="109">
        <f>BW74*c_off</f>
        <v>0</v>
      </c>
      <c r="BX136" s="109">
        <f>BX74*c_off</f>
        <v>0</v>
      </c>
      <c r="BY136" s="109">
        <f>BY74*c_off</f>
        <v>0</v>
      </c>
      <c r="BZ136" s="109">
        <f>BZ74*c_off</f>
        <v>0</v>
      </c>
      <c r="CA136" s="110">
        <f>CA74*c_off</f>
        <v>0</v>
      </c>
      <c r="CD136" s="87" t="s">
        <v>175</v>
      </c>
      <c r="CE136" s="109">
        <f>CE74*c_off</f>
        <v>0</v>
      </c>
      <c r="CF136" s="109">
        <f>CF74*c_off</f>
        <v>0</v>
      </c>
      <c r="CG136" s="109">
        <f>CG74*c_off</f>
        <v>0</v>
      </c>
      <c r="CH136" s="109">
        <f>CH74*c_off</f>
        <v>0</v>
      </c>
      <c r="CI136" s="110">
        <f>CI74*c_off</f>
        <v>0</v>
      </c>
      <c r="CL136" s="87" t="s">
        <v>175</v>
      </c>
      <c r="CM136" s="109">
        <f>CM74*c_off</f>
        <v>0</v>
      </c>
      <c r="CN136" s="109">
        <f>CN74*c_off</f>
        <v>0</v>
      </c>
      <c r="CO136" s="109">
        <f>CO74*c_off</f>
        <v>0</v>
      </c>
      <c r="CP136" s="109">
        <f>CP74*c_off</f>
        <v>0</v>
      </c>
      <c r="CQ136" s="110">
        <f>CQ74*c_off</f>
        <v>0</v>
      </c>
      <c r="CT136" s="87" t="s">
        <v>175</v>
      </c>
      <c r="CU136" s="109">
        <f>CU74*c_off</f>
        <v>0</v>
      </c>
      <c r="CV136" s="109">
        <f>CV74*c_off</f>
        <v>0</v>
      </c>
      <c r="CW136" s="109">
        <f>CW74*c_off</f>
        <v>0</v>
      </c>
      <c r="CX136" s="109">
        <f>CX74*c_off</f>
        <v>0</v>
      </c>
      <c r="CY136" s="110">
        <f>CY74*c_off</f>
        <v>0</v>
      </c>
      <c r="DB136" s="87" t="s">
        <v>175</v>
      </c>
      <c r="DC136" s="109">
        <f>DC74*c_off</f>
        <v>0</v>
      </c>
      <c r="DD136" s="109">
        <f>DD74*c_off</f>
        <v>0</v>
      </c>
      <c r="DE136" s="109">
        <f>DE74*c_off</f>
        <v>0</v>
      </c>
      <c r="DF136" s="109">
        <f>DF74*c_off</f>
        <v>0</v>
      </c>
      <c r="DG136" s="110">
        <f>DG74*c_off</f>
        <v>0</v>
      </c>
    </row>
    <row r="137" spans="2:111">
      <c r="B137" s="87" t="s">
        <v>171</v>
      </c>
      <c r="C137" s="111"/>
      <c r="D137" s="109">
        <f ca="1">(D75*c_inicial)+(D75*c_on*12)+(D75*ci_int1)+(D75*(ct_int1+ca_int1)*'Time on treatment'!$D$12)</f>
        <v>0</v>
      </c>
      <c r="E137" s="109">
        <f ca="1">(E75*c_on*12)+(E75*(ct_int1+ca_int1)*'Time on treatment'!$E$12)</f>
        <v>0</v>
      </c>
      <c r="F137" s="109">
        <f ca="1">(F75*c_on*12)+(F75*(ct_int1+ca_int1)*'Time on treatment'!$F$12)</f>
        <v>0</v>
      </c>
      <c r="G137" s="110">
        <f ca="1">(G75*c_on*12)+(G75*(ct_int1+ca_int1)*'Time on treatment'!$G$12)</f>
        <v>0</v>
      </c>
      <c r="J137" s="87" t="s">
        <v>171</v>
      </c>
      <c r="K137" s="111"/>
      <c r="L137" s="109">
        <f ca="1">(L75*c_inicial)+(L75*c_on*12)+(L75*ci_int2)+(L75*(ct_int2+ca_int2)*'Time on treatment'!$D$13)</f>
        <v>0</v>
      </c>
      <c r="M137" s="109">
        <f ca="1">(M75*c_on*12)+(M75*(ct_int2+ca_int2)*'Time on treatment'!$E$13)</f>
        <v>0</v>
      </c>
      <c r="N137" s="109">
        <f ca="1">(N75*c_on*12)+(N75*(ct_int2+ca_int2)*'Time on treatment'!$F$13)</f>
        <v>0</v>
      </c>
      <c r="O137" s="110">
        <f ca="1">(O75*c_on*12)+(O75*(ct_int2+ca_int2)*'Time on treatment'!$G$13)</f>
        <v>0</v>
      </c>
      <c r="R137" s="87" t="s">
        <v>171</v>
      </c>
      <c r="S137" s="111"/>
      <c r="T137" s="109">
        <f ca="1">(T75*c_inicial)+(T75*c_on*12)+(T75*ci_int3)+(T75*(ct_int3+ca_int3)*'Time on treatment'!$D$14)</f>
        <v>0</v>
      </c>
      <c r="U137" s="109">
        <f ca="1">(U75*c_on*12)+(U75*(ct_int3+ca_int3)*'Time on treatment'!$E$14)</f>
        <v>0</v>
      </c>
      <c r="V137" s="109">
        <f ca="1">(V75*c_on*12)+(V75*(ct_int3+ca_int3)*'Time on treatment'!$F$14)</f>
        <v>0</v>
      </c>
      <c r="W137" s="110">
        <f ca="1">(W75*c_on*12)+(W75*(ct_int3+ca_int3)*'Time on treatment'!$G$14)</f>
        <v>0</v>
      </c>
      <c r="Z137" s="87" t="s">
        <v>171</v>
      </c>
      <c r="AA137" s="111"/>
      <c r="AB137" s="109">
        <f ca="1">(AB75*c_inicial)+(AB75*c_on*12)+(AB75*ci_int4)+(AB75*(ct_int4+ca_int4)*'Time on treatment'!$D$15)</f>
        <v>0</v>
      </c>
      <c r="AC137" s="109">
        <f ca="1">(AC75*c_on*12)+(AC75*(ct_int4+ca_int4)*'Time on treatment'!$E$15)</f>
        <v>0</v>
      </c>
      <c r="AD137" s="109">
        <f ca="1">(AD75*c_on*12)+(AD75*(ct_int4+ca_int4)*'Time on treatment'!$F$15)</f>
        <v>0</v>
      </c>
      <c r="AE137" s="110">
        <f ca="1">(AE75*c_on*12)+(AE75*(ct_int4+ca_int4)*'Time on treatment'!$G$15)</f>
        <v>0</v>
      </c>
      <c r="AH137" s="87" t="s">
        <v>171</v>
      </c>
      <c r="AI137" s="111"/>
      <c r="AJ137" s="109">
        <f ca="1">(AJ75*c_inicial)+(AJ75*c_on*12)+(AJ75*ci_comp1)+(AJ75*(ct_comp1+ca_comp1)*'Time on treatment'!$D$19)</f>
        <v>0</v>
      </c>
      <c r="AK137" s="109">
        <f ca="1">(AK75*c_on*12)+(AK75*(ct_comp1+ca_comp1)*'Time on treatment'!$E$19)</f>
        <v>0</v>
      </c>
      <c r="AL137" s="109">
        <f ca="1">(AL75*c_on*12)+(AL75*(ct_comp1+ca_comp1)*'Time on treatment'!$F$19)</f>
        <v>0</v>
      </c>
      <c r="AM137" s="110">
        <f ca="1">(AM75*c_on*12)+(AM75*(ct_comp1+ca_comp1)*'Time on treatment'!$G$19)</f>
        <v>0</v>
      </c>
      <c r="AP137" s="87" t="s">
        <v>171</v>
      </c>
      <c r="AQ137" s="111"/>
      <c r="AR137" s="109">
        <f ca="1">(AR75*c_inicial)+(AR75*c_on*12)+(AR75*ci_comp2)+(AR75*(ct_comp2+ca_comp2)*'Time on treatment'!$D$20)</f>
        <v>0</v>
      </c>
      <c r="AS137" s="109">
        <f ca="1">(AS75*c_on*12)+(AS75*(ct_comp2+ca_comp2)*'Time on treatment'!$E$20)</f>
        <v>0</v>
      </c>
      <c r="AT137" s="109">
        <f ca="1">(AT75*c_on*12)+(AT75*(ct_comp2+ca_comp2)*'Time on treatment'!$F$20)</f>
        <v>0</v>
      </c>
      <c r="AU137" s="110">
        <f ca="1">(AU75*c_on*12)+(AU75*(ct_comp2+ca_comp2)*'Time on treatment'!$G$20)</f>
        <v>0</v>
      </c>
      <c r="AX137" s="87" t="s">
        <v>171</v>
      </c>
      <c r="AY137" s="111"/>
      <c r="AZ137" s="109">
        <f ca="1">(AZ75*c_inicial)+(AZ75*c_on*12)+(AZ75*ci_comp3)+(AZ75*(ct_comp3+ca_comp3)*'Time on treatment'!$D$21)</f>
        <v>0</v>
      </c>
      <c r="BA137" s="109">
        <f ca="1">(BA75*c_on*12)+(BA75*(ct_comp3+ca_comp3)*'Time on treatment'!$E$21)</f>
        <v>0</v>
      </c>
      <c r="BB137" s="109">
        <f ca="1">(BB75*c_on*12)+(BB75*(ct_comp3+ca_comp3)*'Time on treatment'!$F$21)</f>
        <v>0</v>
      </c>
      <c r="BC137" s="110">
        <f ca="1">(BC75*c_on*12)+(BC75*(ct_comp3+ca_comp3)*'Time on treatment'!$G$21)</f>
        <v>0</v>
      </c>
      <c r="BF137" s="87" t="s">
        <v>171</v>
      </c>
      <c r="BG137" s="111"/>
      <c r="BH137" s="109">
        <f ca="1">(BH75*c_inicial)+(BH75*c_on*12)+(BH75*ci_comp4)+(BH75*(ct_comp4+ca_comp4)*'Time on treatment'!$D$22)</f>
        <v>0</v>
      </c>
      <c r="BI137" s="109">
        <f ca="1">(BI75*c_on*12)+(BI75*(ct_comp4+ca_comp4)*'Time on treatment'!$E$22)</f>
        <v>0</v>
      </c>
      <c r="BJ137" s="109">
        <f ca="1">(BJ75*c_on*12)+(BJ75*(ct_comp4+ca_comp4)*'Time on treatment'!$F$22)</f>
        <v>0</v>
      </c>
      <c r="BK137" s="110">
        <f ca="1">(BK75*c_on*12)+(BK75*(ct_comp4+ca_comp4)*'Time on treatment'!$G$22)</f>
        <v>0</v>
      </c>
      <c r="BN137" s="87" t="s">
        <v>171</v>
      </c>
      <c r="BO137" s="111"/>
      <c r="BP137" s="109">
        <f ca="1">(BP75*c_inicial)+(BP75*c_on*12)+(BP75*ci_comp5)+(BP75*(ct_comp5+ca_comp5)*'Time on treatment'!$D$23)</f>
        <v>0</v>
      </c>
      <c r="BQ137" s="109">
        <f ca="1">(BQ75*c_on*12)+(BQ75*(ct_comp5+ca_comp5)*'Time on treatment'!$E$23)</f>
        <v>0</v>
      </c>
      <c r="BR137" s="109">
        <f ca="1">(BR75*c_on*12)+(BR75*(ct_comp5+ca_comp5)*'Time on treatment'!$F$23)</f>
        <v>0</v>
      </c>
      <c r="BS137" s="110">
        <f ca="1">(BS75*c_on*12)+(BS75*(ct_comp5+ca_comp5)*'Time on treatment'!$G$23)</f>
        <v>0</v>
      </c>
      <c r="BV137" s="87" t="s">
        <v>171</v>
      </c>
      <c r="BW137" s="111"/>
      <c r="BX137" s="109">
        <f ca="1">(BX75*c_inicial)+(BX75*c_on*12)+(BX75*ci_comp6)+(BX75*(ct_comp6+ca_comp6)*'Time on treatment'!$D$24)</f>
        <v>0</v>
      </c>
      <c r="BY137" s="109">
        <f ca="1">(BY75*c_on*12)+(BY75*(ct_comp6+ca_comp6)*'Time on treatment'!$E$24)</f>
        <v>0</v>
      </c>
      <c r="BZ137" s="109">
        <f ca="1">(BZ75*c_on*12)+(BZ75*(ct_comp6+ca_comp6)*'Time on treatment'!$F$24)</f>
        <v>0</v>
      </c>
      <c r="CA137" s="110">
        <f ca="1">(CA75*c_on*12)+(CA75*(ct_comp6+ca_comp6)*'Time on treatment'!$G$24)</f>
        <v>0</v>
      </c>
      <c r="CD137" s="87" t="s">
        <v>171</v>
      </c>
      <c r="CE137" s="111"/>
      <c r="CF137" s="109">
        <f ca="1">(CF75*c_inicial)+(CF75*c_on*12)+(CF75*ci_comp7)+(CF75*(ct_comp7+ca_comp7)*'Time on treatment'!$D$25)</f>
        <v>0</v>
      </c>
      <c r="CG137" s="109">
        <f ca="1">(CG75*c_on*12)+(CG75*(ct_comp7+ca_comp7)*'Time on treatment'!$E$25)</f>
        <v>0</v>
      </c>
      <c r="CH137" s="109">
        <f ca="1">(CH75*c_on*12)+(CH75*(ct_comp7+ca_comp7)*'Time on treatment'!$F$25)</f>
        <v>0</v>
      </c>
      <c r="CI137" s="110">
        <f ca="1">(CI75*c_on*12)+(CI75*(ct_comp7+ca_comp7)*'Time on treatment'!$G$25)</f>
        <v>0</v>
      </c>
      <c r="CL137" s="87" t="s">
        <v>171</v>
      </c>
      <c r="CM137" s="111"/>
      <c r="CN137" s="109">
        <f ca="1">(CN75*c_inicial)+(CN75*c_on*12)+(CN75*ci_comp8)+(CN75*(ct_comp8+ca_comp8)*'Time on treatment'!$D$26)</f>
        <v>0</v>
      </c>
      <c r="CO137" s="109">
        <f ca="1">(CO75*c_on*12)+(CO75*(ct_comp8+ca_comp8)*'Time on treatment'!$E$26)</f>
        <v>0</v>
      </c>
      <c r="CP137" s="109">
        <f ca="1">(CP75*c_on*12)+(CP75*(ct_comp8+ca_comp8)*'Time on treatment'!$F$26)</f>
        <v>0</v>
      </c>
      <c r="CQ137" s="110">
        <f ca="1">(CQ75*c_on*12)+(CQ75*(ct_comp8+ca_comp8)*'Time on treatment'!$G$26)</f>
        <v>0</v>
      </c>
      <c r="CT137" s="87" t="s">
        <v>171</v>
      </c>
      <c r="CU137" s="111"/>
      <c r="CV137" s="109">
        <f ca="1">(CV75*c_inicial)+(CV75*c_on*12)+(CV75*ci_comp9)+(CV75*(ct_comp9+ca_comp9)*'Time on treatment'!$D$27)</f>
        <v>0</v>
      </c>
      <c r="CW137" s="109">
        <f ca="1">(CW75*c_on*12)+(CW75*(ct_comp9+ca_comp9)*'Time on treatment'!$E$27)</f>
        <v>0</v>
      </c>
      <c r="CX137" s="109">
        <f ca="1">(CX75*c_on*12)+(CX75*(ct_comp9+ca_comp9)*'Time on treatment'!$F$27)</f>
        <v>0</v>
      </c>
      <c r="CY137" s="110">
        <f ca="1">(CY75*c_on*12)+(CY75*(ct_comp9+ca_comp9)*'Time on treatment'!$G$27)</f>
        <v>0</v>
      </c>
      <c r="DB137" s="87" t="s">
        <v>171</v>
      </c>
      <c r="DC137" s="111"/>
      <c r="DD137" s="109">
        <f ca="1">(DD75*c_inicial)+(DD75*c_on*12)+(DD75*ci_comp10)+(DD75*(ct_comp10+ca_comp10)*'Time on treatment'!$D$28)</f>
        <v>0</v>
      </c>
      <c r="DE137" s="109">
        <f ca="1">(DE75*c_on*12)+(DE75*(ct_comp10+ca_comp10)*'Time on treatment'!$E$28)</f>
        <v>0</v>
      </c>
      <c r="DF137" s="109">
        <f ca="1">(DF75*c_on*12)+(DF75*(ct_comp10+ca_comp10)*'Time on treatment'!$F$28)</f>
        <v>0</v>
      </c>
      <c r="DG137" s="110">
        <f ca="1">(DG75*c_on*12)+(DG75*(ct_comp10+ca_comp10)*'Time on treatment'!$G$28)</f>
        <v>0</v>
      </c>
    </row>
    <row r="138" spans="2:111">
      <c r="B138" s="87" t="s">
        <v>176</v>
      </c>
      <c r="C138" s="111"/>
      <c r="D138" s="109">
        <f>D76*c_off</f>
        <v>0</v>
      </c>
      <c r="E138" s="109">
        <f>E76*c_off</f>
        <v>0</v>
      </c>
      <c r="F138" s="109">
        <f>F76*c_off</f>
        <v>0</v>
      </c>
      <c r="G138" s="110">
        <f>G76*c_off</f>
        <v>0</v>
      </c>
      <c r="J138" s="87" t="s">
        <v>176</v>
      </c>
      <c r="K138" s="111"/>
      <c r="L138" s="109">
        <f>L76*c_off</f>
        <v>0</v>
      </c>
      <c r="M138" s="109">
        <f>M76*c_off</f>
        <v>0</v>
      </c>
      <c r="N138" s="109">
        <f>N76*c_off</f>
        <v>0</v>
      </c>
      <c r="O138" s="110">
        <f>O76*c_off</f>
        <v>0</v>
      </c>
      <c r="R138" s="87" t="s">
        <v>176</v>
      </c>
      <c r="S138" s="111"/>
      <c r="T138" s="109">
        <f>T76*c_off</f>
        <v>0</v>
      </c>
      <c r="U138" s="109">
        <f>U76*c_off</f>
        <v>0</v>
      </c>
      <c r="V138" s="109">
        <f>V76*c_off</f>
        <v>0</v>
      </c>
      <c r="W138" s="110">
        <f>W76*c_off</f>
        <v>0</v>
      </c>
      <c r="Z138" s="87" t="s">
        <v>176</v>
      </c>
      <c r="AA138" s="111"/>
      <c r="AB138" s="109">
        <f>AB76*c_off</f>
        <v>0</v>
      </c>
      <c r="AC138" s="109">
        <f>AC76*c_off</f>
        <v>0</v>
      </c>
      <c r="AD138" s="109">
        <f>AD76*c_off</f>
        <v>0</v>
      </c>
      <c r="AE138" s="110">
        <f>AE76*c_off</f>
        <v>0</v>
      </c>
      <c r="AH138" s="87" t="s">
        <v>176</v>
      </c>
      <c r="AI138" s="111"/>
      <c r="AJ138" s="109">
        <f>AJ76*c_off</f>
        <v>0</v>
      </c>
      <c r="AK138" s="109">
        <f>AK76*c_off</f>
        <v>0</v>
      </c>
      <c r="AL138" s="109">
        <f>AL76*c_off</f>
        <v>0</v>
      </c>
      <c r="AM138" s="110">
        <f>AM76*c_off</f>
        <v>0</v>
      </c>
      <c r="AP138" s="87" t="s">
        <v>176</v>
      </c>
      <c r="AQ138" s="111"/>
      <c r="AR138" s="109">
        <f>AR76*c_off</f>
        <v>0</v>
      </c>
      <c r="AS138" s="109">
        <f>AS76*c_off</f>
        <v>0</v>
      </c>
      <c r="AT138" s="109">
        <f>AT76*c_off</f>
        <v>0</v>
      </c>
      <c r="AU138" s="110">
        <f>AU76*c_off</f>
        <v>0</v>
      </c>
      <c r="AX138" s="87" t="s">
        <v>176</v>
      </c>
      <c r="AY138" s="111"/>
      <c r="AZ138" s="109">
        <f>AZ76*c_off</f>
        <v>0</v>
      </c>
      <c r="BA138" s="109">
        <f>BA76*c_off</f>
        <v>0</v>
      </c>
      <c r="BB138" s="109">
        <f>BB76*c_off</f>
        <v>0</v>
      </c>
      <c r="BC138" s="110">
        <f>BC76*c_off</f>
        <v>0</v>
      </c>
      <c r="BF138" s="87" t="s">
        <v>176</v>
      </c>
      <c r="BG138" s="111"/>
      <c r="BH138" s="109">
        <f>BH76*c_off</f>
        <v>0</v>
      </c>
      <c r="BI138" s="109">
        <f>BI76*c_off</f>
        <v>0</v>
      </c>
      <c r="BJ138" s="109">
        <f>BJ76*c_off</f>
        <v>0</v>
      </c>
      <c r="BK138" s="110">
        <f>BK76*c_off</f>
        <v>0</v>
      </c>
      <c r="BN138" s="87" t="s">
        <v>176</v>
      </c>
      <c r="BO138" s="111"/>
      <c r="BP138" s="109">
        <f>BP76*c_off</f>
        <v>0</v>
      </c>
      <c r="BQ138" s="109">
        <f>BQ76*c_off</f>
        <v>0</v>
      </c>
      <c r="BR138" s="109">
        <f>BR76*c_off</f>
        <v>0</v>
      </c>
      <c r="BS138" s="110">
        <f>BS76*c_off</f>
        <v>0</v>
      </c>
      <c r="BV138" s="87" t="s">
        <v>176</v>
      </c>
      <c r="BW138" s="111"/>
      <c r="BX138" s="109">
        <f>BX76*c_off</f>
        <v>0</v>
      </c>
      <c r="BY138" s="109">
        <f>BY76*c_off</f>
        <v>0</v>
      </c>
      <c r="BZ138" s="109">
        <f>BZ76*c_off</f>
        <v>0</v>
      </c>
      <c r="CA138" s="110">
        <f>CA76*c_off</f>
        <v>0</v>
      </c>
      <c r="CD138" s="87" t="s">
        <v>176</v>
      </c>
      <c r="CE138" s="111"/>
      <c r="CF138" s="109">
        <f>CF76*c_off</f>
        <v>0</v>
      </c>
      <c r="CG138" s="109">
        <f>CG76*c_off</f>
        <v>0</v>
      </c>
      <c r="CH138" s="109">
        <f>CH76*c_off</f>
        <v>0</v>
      </c>
      <c r="CI138" s="110">
        <f>CI76*c_off</f>
        <v>0</v>
      </c>
      <c r="CL138" s="87" t="s">
        <v>176</v>
      </c>
      <c r="CM138" s="111"/>
      <c r="CN138" s="109">
        <f>CN76*c_off</f>
        <v>0</v>
      </c>
      <c r="CO138" s="109">
        <f>CO76*c_off</f>
        <v>0</v>
      </c>
      <c r="CP138" s="109">
        <f>CP76*c_off</f>
        <v>0</v>
      </c>
      <c r="CQ138" s="110">
        <f>CQ76*c_off</f>
        <v>0</v>
      </c>
      <c r="CT138" s="87" t="s">
        <v>176</v>
      </c>
      <c r="CU138" s="111"/>
      <c r="CV138" s="109">
        <f>CV76*c_off</f>
        <v>0</v>
      </c>
      <c r="CW138" s="109">
        <f>CW76*c_off</f>
        <v>0</v>
      </c>
      <c r="CX138" s="109">
        <f>CX76*c_off</f>
        <v>0</v>
      </c>
      <c r="CY138" s="110">
        <f>CY76*c_off</f>
        <v>0</v>
      </c>
      <c r="DB138" s="87" t="s">
        <v>176</v>
      </c>
      <c r="DC138" s="111"/>
      <c r="DD138" s="109">
        <f>DD76*c_off</f>
        <v>0</v>
      </c>
      <c r="DE138" s="109">
        <f>DE76*c_off</f>
        <v>0</v>
      </c>
      <c r="DF138" s="109">
        <f>DF76*c_off</f>
        <v>0</v>
      </c>
      <c r="DG138" s="110">
        <f>DG76*c_off</f>
        <v>0</v>
      </c>
    </row>
    <row r="139" spans="2:111">
      <c r="B139" s="87" t="s">
        <v>172</v>
      </c>
      <c r="C139" s="111"/>
      <c r="D139" s="111"/>
      <c r="E139" s="109">
        <f ca="1">(E77*c_inicial)+(E77*c_on*12)+(E77*ci_int1)+(E77*(ct_int1+ca_int1)*'Time on treatment'!$D$12)</f>
        <v>0</v>
      </c>
      <c r="F139" s="109">
        <f ca="1">(F77*c_on*12)+(F77*(ct_int1+ca_int1)*'Time on treatment'!$E$12)</f>
        <v>0</v>
      </c>
      <c r="G139" s="110">
        <f ca="1">(G77*c_on*12)+(G77*(ct_int1+ca_int1)*'Time on treatment'!$F$12)</f>
        <v>0</v>
      </c>
      <c r="J139" s="87" t="s">
        <v>172</v>
      </c>
      <c r="K139" s="111"/>
      <c r="L139" s="111"/>
      <c r="M139" s="109">
        <f ca="1">(M77*c_inicial)+(M77*c_on*12)+(M77*ci_int2)+(M77*(ct_int2+ca_int2)*'Time on treatment'!$D$13)</f>
        <v>0</v>
      </c>
      <c r="N139" s="109">
        <f ca="1">(N77*c_on*12)+(N77*(ct_int2+ca_int2)*'Time on treatment'!$E$13)</f>
        <v>0</v>
      </c>
      <c r="O139" s="110">
        <f ca="1">(O77*c_on*12)+(O77*(ct_int2+ca_int2)*'Time on treatment'!$F$13)</f>
        <v>0</v>
      </c>
      <c r="R139" s="87" t="s">
        <v>172</v>
      </c>
      <c r="S139" s="111"/>
      <c r="T139" s="111"/>
      <c r="U139" s="109">
        <f ca="1">(U77*c_inicial)+(U77*c_on*12)+(U77*ci_int3)+(U77*(ct_int3+ca_int3)*'Time on treatment'!$D$14)</f>
        <v>0</v>
      </c>
      <c r="V139" s="109">
        <f ca="1">(V77*c_on*12)+(V77*(ct_int3+ca_int3)*'Time on treatment'!$E$14)</f>
        <v>0</v>
      </c>
      <c r="W139" s="110">
        <f ca="1">(W77*c_on*12)+(W77*(ct_int3+ca_int3)*'Time on treatment'!$F$14)</f>
        <v>0</v>
      </c>
      <c r="Z139" s="87" t="s">
        <v>172</v>
      </c>
      <c r="AA139" s="111"/>
      <c r="AB139" s="111"/>
      <c r="AC139" s="109">
        <f ca="1">(AC77*c_inicial)+(AC77*c_on*12)+(AC77*ci_int4)+(AC77*(ct_int4+ca_int4)*'Time on treatment'!$D$15)</f>
        <v>0</v>
      </c>
      <c r="AD139" s="109">
        <f ca="1">(AD77*c_on*12)+(AD77*(ct_int4+ca_int4)*'Time on treatment'!$E$15)</f>
        <v>0</v>
      </c>
      <c r="AE139" s="110">
        <f ca="1">(AE77*c_on*12)+(AE77*(ct_int4+ca_int4)*'Time on treatment'!$F$15)</f>
        <v>0</v>
      </c>
      <c r="AH139" s="87" t="s">
        <v>172</v>
      </c>
      <c r="AI139" s="111"/>
      <c r="AJ139" s="111"/>
      <c r="AK139" s="109">
        <f ca="1">(AK77*c_inicial)+(AK77*c_on*12)+(AK77*ci_comp1)+(AK77*(ct_comp1+ca_comp1)*'Time on treatment'!$D$19)</f>
        <v>0</v>
      </c>
      <c r="AL139" s="109">
        <f ca="1">(AL77*c_on*12)+(AL77*(ct_comp1+ca_comp1)*'Time on treatment'!$E$19)</f>
        <v>0</v>
      </c>
      <c r="AM139" s="110">
        <f ca="1">(AM77*c_on*12)+(AM77*(ct_comp1+ca_comp1)*'Time on treatment'!$F$19)</f>
        <v>0</v>
      </c>
      <c r="AP139" s="87" t="s">
        <v>172</v>
      </c>
      <c r="AQ139" s="111"/>
      <c r="AR139" s="111"/>
      <c r="AS139" s="109">
        <f ca="1">(AS77*c_inicial)+(AS77*c_on*12)+(AS77*ci_comp2)+(AS77*(ct_comp2+ca_comp2)*'Time on treatment'!$D$20)</f>
        <v>0</v>
      </c>
      <c r="AT139" s="109">
        <f ca="1">(AT77*c_on*12)+(AT77*(ct_comp2+ca_comp2)*'Time on treatment'!$E$20)</f>
        <v>0</v>
      </c>
      <c r="AU139" s="110">
        <f ca="1">(AU77*c_on*12)+(AU77*(ct_comp2+ca_comp2)*'Time on treatment'!$F$20)</f>
        <v>0</v>
      </c>
      <c r="AX139" s="87" t="s">
        <v>172</v>
      </c>
      <c r="AY139" s="111"/>
      <c r="AZ139" s="111"/>
      <c r="BA139" s="109">
        <f ca="1">(BA77*c_inicial)+(BA77*c_on*12)+(BA77*ci_comp3)+(BA77*(ct_comp3+ca_comp3)*'Time on treatment'!$D$21)</f>
        <v>0</v>
      </c>
      <c r="BB139" s="109">
        <f ca="1">(BB77*c_on*12)+(BB77*(ct_comp3+ca_comp3)*'Time on treatment'!$E$21)</f>
        <v>0</v>
      </c>
      <c r="BC139" s="110">
        <f ca="1">(BC77*c_on*12)+(BC77*(ct_comp3+ca_comp3)*'Time on treatment'!$F$21)</f>
        <v>0</v>
      </c>
      <c r="BF139" s="87" t="s">
        <v>172</v>
      </c>
      <c r="BG139" s="111"/>
      <c r="BH139" s="111"/>
      <c r="BI139" s="109">
        <f ca="1">(BI77*c_inicial)+(BI77*c_on*12)+(BI77*ci_comp4)+(BI77*(ct_comp4+ca_comp4)*'Time on treatment'!$D$22)</f>
        <v>0</v>
      </c>
      <c r="BJ139" s="109">
        <f ca="1">(BJ77*c_on*12)+(BJ77*(ct_comp4+ca_comp4)*'Time on treatment'!$E$22)</f>
        <v>0</v>
      </c>
      <c r="BK139" s="110">
        <f ca="1">(BK77*c_on*12)+(BK77*(ct_comp4+ca_comp4)*'Time on treatment'!$F$22)</f>
        <v>0</v>
      </c>
      <c r="BN139" s="87" t="s">
        <v>172</v>
      </c>
      <c r="BO139" s="111"/>
      <c r="BP139" s="111"/>
      <c r="BQ139" s="109">
        <f ca="1">(BQ77*c_inicial)+(BQ77*c_on*12)+(BQ77*ci_comp5)+(BQ77*(ct_comp5+ca_comp5)*'Time on treatment'!$D$23)</f>
        <v>0</v>
      </c>
      <c r="BR139" s="109">
        <f ca="1">(BR77*c_on*12)+(BR77*(ct_comp5+ca_comp5)*'Time on treatment'!$E$23)</f>
        <v>0</v>
      </c>
      <c r="BS139" s="110">
        <f ca="1">(BS77*c_on*12)+(BS77*(ct_comp5+ca_comp5)*'Time on treatment'!$F$23)</f>
        <v>0</v>
      </c>
      <c r="BV139" s="87" t="s">
        <v>172</v>
      </c>
      <c r="BW139" s="111"/>
      <c r="BX139" s="111"/>
      <c r="BY139" s="109">
        <f ca="1">(BY77*c_inicial)+(BY77*c_on*12)+(BY77*ci_comp6)+(BY77*(ct_comp6+ca_comp6)*'Time on treatment'!$D$24)</f>
        <v>0</v>
      </c>
      <c r="BZ139" s="109">
        <f ca="1">(BZ77*c_on*12)+(BZ77*(ct_comp6+ca_comp6)*'Time on treatment'!$E$24)</f>
        <v>0</v>
      </c>
      <c r="CA139" s="110">
        <f ca="1">(CA77*c_on*12)+(CA77*(ct_comp6+ca_comp6)*'Time on treatment'!$F$24)</f>
        <v>0</v>
      </c>
      <c r="CD139" s="87" t="s">
        <v>172</v>
      </c>
      <c r="CE139" s="111"/>
      <c r="CF139" s="111"/>
      <c r="CG139" s="109">
        <f ca="1">(CG77*c_inicial)+(CG77*c_on*12)+(CG77*ci_comp7)+(CG77*(ct_comp7+ca_comp7)*'Time on treatment'!$D$25)</f>
        <v>0</v>
      </c>
      <c r="CH139" s="109">
        <f ca="1">(CH77*c_on*12)+(CH77*(ct_comp7+ca_comp7)*'Time on treatment'!$E$25)</f>
        <v>0</v>
      </c>
      <c r="CI139" s="110">
        <f ca="1">(CI77*c_on*12)+(CI77*(ct_comp7+ca_comp7)*'Time on treatment'!$F$25)</f>
        <v>0</v>
      </c>
      <c r="CL139" s="87" t="s">
        <v>172</v>
      </c>
      <c r="CM139" s="111"/>
      <c r="CN139" s="111"/>
      <c r="CO139" s="109">
        <f ca="1">(CO77*c_inicial)+(CO77*c_on*12)+(CO77*ci_comp8)+(CO77*(ct_comp8+ca_comp8)*'Time on treatment'!$D$26)</f>
        <v>0</v>
      </c>
      <c r="CP139" s="109">
        <f ca="1">(CP77*c_on*12)+(CP77*(ct_comp8+ca_comp8)*'Time on treatment'!$E$26)</f>
        <v>0</v>
      </c>
      <c r="CQ139" s="110">
        <f ca="1">(CQ77*c_on*12)+(CQ77*(ct_comp8+ca_comp8)*'Time on treatment'!$F$26)</f>
        <v>0</v>
      </c>
      <c r="CT139" s="87" t="s">
        <v>172</v>
      </c>
      <c r="CU139" s="111"/>
      <c r="CV139" s="111"/>
      <c r="CW139" s="109">
        <f ca="1">(CW77*c_inicial)+(CW77*c_on*12)+(CW77*ci_comp9)+(CW77*(ct_comp9+ca_comp9)*'Time on treatment'!$D$27)</f>
        <v>0</v>
      </c>
      <c r="CX139" s="109">
        <f ca="1">(CX77*c_on*12)+(CX77*(ct_comp9+ca_comp9)*'Time on treatment'!$E$27)</f>
        <v>0</v>
      </c>
      <c r="CY139" s="110">
        <f ca="1">(CY77*c_on*12)+(CY77*(ct_comp9+ca_comp9)*'Time on treatment'!$F$27)</f>
        <v>0</v>
      </c>
      <c r="DB139" s="87" t="s">
        <v>172</v>
      </c>
      <c r="DC139" s="111"/>
      <c r="DD139" s="111"/>
      <c r="DE139" s="109">
        <f ca="1">(DE77*c_inicial)+(DE77*c_on*12)+(DE77*ci_comp10)+(DE77*(ct_comp10+ca_comp10)*'Time on treatment'!$D$28)</f>
        <v>0</v>
      </c>
      <c r="DF139" s="109">
        <f ca="1">(DF77*c_on*12)+(DF77*(ct_comp10+ca_comp10)*'Time on treatment'!$E$28)</f>
        <v>0</v>
      </c>
      <c r="DG139" s="110">
        <f ca="1">(DG77*c_on*12)+(DG77*(ct_comp10+ca_comp10)*'Time on treatment'!$F$28)</f>
        <v>0</v>
      </c>
    </row>
    <row r="140" spans="2:111">
      <c r="B140" s="87" t="s">
        <v>177</v>
      </c>
      <c r="C140" s="111"/>
      <c r="D140" s="111"/>
      <c r="E140" s="109">
        <f>E78*c_off</f>
        <v>0</v>
      </c>
      <c r="F140" s="109">
        <f>F78*c_off</f>
        <v>0</v>
      </c>
      <c r="G140" s="110">
        <f>G78*c_off</f>
        <v>0</v>
      </c>
      <c r="J140" s="87" t="s">
        <v>177</v>
      </c>
      <c r="K140" s="111"/>
      <c r="L140" s="111"/>
      <c r="M140" s="109">
        <f>M78*c_off</f>
        <v>0</v>
      </c>
      <c r="N140" s="109">
        <f>N78*c_off</f>
        <v>0</v>
      </c>
      <c r="O140" s="110">
        <f>O78*c_off</f>
        <v>0</v>
      </c>
      <c r="R140" s="87" t="s">
        <v>177</v>
      </c>
      <c r="S140" s="111"/>
      <c r="T140" s="111"/>
      <c r="U140" s="109">
        <f>U78*c_off</f>
        <v>0</v>
      </c>
      <c r="V140" s="109">
        <f>V78*c_off</f>
        <v>0</v>
      </c>
      <c r="W140" s="110">
        <f>W78*c_off</f>
        <v>0</v>
      </c>
      <c r="Z140" s="87" t="s">
        <v>177</v>
      </c>
      <c r="AA140" s="111"/>
      <c r="AB140" s="111"/>
      <c r="AC140" s="109">
        <f>AC78*c_off</f>
        <v>0</v>
      </c>
      <c r="AD140" s="109">
        <f>AD78*c_off</f>
        <v>0</v>
      </c>
      <c r="AE140" s="110">
        <f>AE78*c_off</f>
        <v>0</v>
      </c>
      <c r="AH140" s="87" t="s">
        <v>177</v>
      </c>
      <c r="AI140" s="111"/>
      <c r="AJ140" s="111"/>
      <c r="AK140" s="109">
        <f>AK78*c_off</f>
        <v>0</v>
      </c>
      <c r="AL140" s="109">
        <f>AL78*c_off</f>
        <v>0</v>
      </c>
      <c r="AM140" s="110">
        <f>AM78*c_off</f>
        <v>0</v>
      </c>
      <c r="AP140" s="87" t="s">
        <v>177</v>
      </c>
      <c r="AQ140" s="111"/>
      <c r="AR140" s="111"/>
      <c r="AS140" s="109">
        <f>AS78*c_off</f>
        <v>0</v>
      </c>
      <c r="AT140" s="109">
        <f>AT78*c_off</f>
        <v>0</v>
      </c>
      <c r="AU140" s="110">
        <f>AU78*c_off</f>
        <v>0</v>
      </c>
      <c r="AX140" s="87" t="s">
        <v>177</v>
      </c>
      <c r="AY140" s="111"/>
      <c r="AZ140" s="111"/>
      <c r="BA140" s="109">
        <f>BA78*c_off</f>
        <v>0</v>
      </c>
      <c r="BB140" s="109">
        <f>BB78*c_off</f>
        <v>0</v>
      </c>
      <c r="BC140" s="110">
        <f>BC78*c_off</f>
        <v>0</v>
      </c>
      <c r="BF140" s="87" t="s">
        <v>177</v>
      </c>
      <c r="BG140" s="111"/>
      <c r="BH140" s="111"/>
      <c r="BI140" s="109">
        <f>BI78*c_off</f>
        <v>0</v>
      </c>
      <c r="BJ140" s="109">
        <f>BJ78*c_off</f>
        <v>0</v>
      </c>
      <c r="BK140" s="110">
        <f>BK78*c_off</f>
        <v>0</v>
      </c>
      <c r="BN140" s="87" t="s">
        <v>177</v>
      </c>
      <c r="BO140" s="111"/>
      <c r="BP140" s="111"/>
      <c r="BQ140" s="109">
        <f>BQ78*c_off</f>
        <v>0</v>
      </c>
      <c r="BR140" s="109">
        <f>BR78*c_off</f>
        <v>0</v>
      </c>
      <c r="BS140" s="110">
        <f>BS78*c_off</f>
        <v>0</v>
      </c>
      <c r="BV140" s="87" t="s">
        <v>177</v>
      </c>
      <c r="BW140" s="111"/>
      <c r="BX140" s="111"/>
      <c r="BY140" s="109">
        <f>BY78*c_off</f>
        <v>0</v>
      </c>
      <c r="BZ140" s="109">
        <f>BZ78*c_off</f>
        <v>0</v>
      </c>
      <c r="CA140" s="110">
        <f>CA78*c_off</f>
        <v>0</v>
      </c>
      <c r="CD140" s="87" t="s">
        <v>177</v>
      </c>
      <c r="CE140" s="111"/>
      <c r="CF140" s="111"/>
      <c r="CG140" s="109">
        <f>CG78*c_off</f>
        <v>0</v>
      </c>
      <c r="CH140" s="109">
        <f>CH78*c_off</f>
        <v>0</v>
      </c>
      <c r="CI140" s="110">
        <f>CI78*c_off</f>
        <v>0</v>
      </c>
      <c r="CL140" s="87" t="s">
        <v>177</v>
      </c>
      <c r="CM140" s="111"/>
      <c r="CN140" s="111"/>
      <c r="CO140" s="109">
        <f>CO78*c_off</f>
        <v>0</v>
      </c>
      <c r="CP140" s="109">
        <f>CP78*c_off</f>
        <v>0</v>
      </c>
      <c r="CQ140" s="110">
        <f>CQ78*c_off</f>
        <v>0</v>
      </c>
      <c r="CT140" s="87" t="s">
        <v>177</v>
      </c>
      <c r="CU140" s="111"/>
      <c r="CV140" s="111"/>
      <c r="CW140" s="109">
        <f>CW78*c_off</f>
        <v>0</v>
      </c>
      <c r="CX140" s="109">
        <f>CX78*c_off</f>
        <v>0</v>
      </c>
      <c r="CY140" s="110">
        <f>CY78*c_off</f>
        <v>0</v>
      </c>
      <c r="DB140" s="87" t="s">
        <v>177</v>
      </c>
      <c r="DC140" s="111"/>
      <c r="DD140" s="111"/>
      <c r="DE140" s="109">
        <f>DE78*c_off</f>
        <v>0</v>
      </c>
      <c r="DF140" s="109">
        <f>DF78*c_off</f>
        <v>0</v>
      </c>
      <c r="DG140" s="110">
        <f>DG78*c_off</f>
        <v>0</v>
      </c>
    </row>
    <row r="141" spans="2:111">
      <c r="B141" s="87" t="s">
        <v>173</v>
      </c>
      <c r="C141" s="111"/>
      <c r="D141" s="111"/>
      <c r="E141" s="111"/>
      <c r="F141" s="109">
        <f ca="1">(F79*c_inicial)+(F79*c_on*12)+(F79*ci_int1)+(F79*(ct_int1+ca_int1)*'Time on treatment'!$D$12)</f>
        <v>0</v>
      </c>
      <c r="G141" s="110">
        <f ca="1">(G79*c_on*12)+(G79*(ct_int1+ca_int1)*'Time on treatment'!$E$12)</f>
        <v>0</v>
      </c>
      <c r="J141" s="87" t="s">
        <v>173</v>
      </c>
      <c r="K141" s="111"/>
      <c r="L141" s="111"/>
      <c r="M141" s="111"/>
      <c r="N141" s="109">
        <f ca="1">(N79*c_inicial)+(N79*c_on*12)+(N79*ci_int2)+(N79*(ct_int2+ca_int2)*'Time on treatment'!$D$13)</f>
        <v>0</v>
      </c>
      <c r="O141" s="110">
        <f ca="1">(O79*c_on*12)+(O79*(ct_int2+ca_int2)*'Time on treatment'!$E$13)</f>
        <v>0</v>
      </c>
      <c r="R141" s="87" t="s">
        <v>173</v>
      </c>
      <c r="S141" s="111"/>
      <c r="T141" s="111"/>
      <c r="U141" s="111"/>
      <c r="V141" s="109">
        <f ca="1">(V79*c_inicial)+(V79*c_on*12)+(V79*ci_int3)+(V79*(ct_int3+ca_int3)*'Time on treatment'!$D$14)</f>
        <v>0</v>
      </c>
      <c r="W141" s="110">
        <f ca="1">(W79*c_on*12)+(W79*(ct_int3+ca_int3)*'Time on treatment'!$E$14)</f>
        <v>0</v>
      </c>
      <c r="Z141" s="87" t="s">
        <v>173</v>
      </c>
      <c r="AA141" s="111"/>
      <c r="AB141" s="111"/>
      <c r="AC141" s="111"/>
      <c r="AD141" s="109">
        <f ca="1">(AD79*c_inicial)+(AD79*c_on*12)+(AD79*ci_int4)+(AD79*(ct_int4+ca_int4)*'Time on treatment'!$D$15)</f>
        <v>0</v>
      </c>
      <c r="AE141" s="110">
        <f ca="1">(AE79*c_on*12)+(AE79*(ct_int4+ca_int4)*'Time on treatment'!$E$15)</f>
        <v>0</v>
      </c>
      <c r="AH141" s="87" t="s">
        <v>173</v>
      </c>
      <c r="AI141" s="111"/>
      <c r="AJ141" s="111"/>
      <c r="AK141" s="111"/>
      <c r="AL141" s="109">
        <f ca="1">(AL79*c_inicial)+(AL79*c_on*12)+(AL79*ci_comp1)+(AL79*(ct_comp1+ca_comp1)*'Time on treatment'!$D$19)</f>
        <v>0</v>
      </c>
      <c r="AM141" s="110">
        <f ca="1">(AM79*c_on*12)+(AM79*(ct_comp1+ca_comp1)*'Time on treatment'!$E$19)</f>
        <v>0</v>
      </c>
      <c r="AP141" s="87" t="s">
        <v>173</v>
      </c>
      <c r="AQ141" s="111"/>
      <c r="AR141" s="111"/>
      <c r="AS141" s="111"/>
      <c r="AT141" s="109">
        <f ca="1">(AT79*c_inicial)+(AT79*c_on*12)+(AT79*ci_comp2)+(AT79*(ct_comp2+ca_comp2)*'Time on treatment'!$D$20)</f>
        <v>0</v>
      </c>
      <c r="AU141" s="110">
        <f ca="1">(AU79*c_on*12)+(AU79*(ct_comp2+ca_comp2)*'Time on treatment'!$E$20)</f>
        <v>0</v>
      </c>
      <c r="AX141" s="87" t="s">
        <v>173</v>
      </c>
      <c r="AY141" s="111"/>
      <c r="AZ141" s="111"/>
      <c r="BA141" s="111"/>
      <c r="BB141" s="109">
        <f ca="1">(BB79*c_inicial)+(BB79*c_on*12)+(BB79*ci_comp3)+(BB79*(ct_comp3+ca_comp3)*'Time on treatment'!$D$21)</f>
        <v>0</v>
      </c>
      <c r="BC141" s="110">
        <f ca="1">(BC79*c_on*12)+(BC79*(ct_comp3+ca_comp3)*'Time on treatment'!$E$21)</f>
        <v>0</v>
      </c>
      <c r="BF141" s="87" t="s">
        <v>173</v>
      </c>
      <c r="BG141" s="111"/>
      <c r="BH141" s="111"/>
      <c r="BI141" s="111"/>
      <c r="BJ141" s="109">
        <f ca="1">(BJ79*c_inicial)+(BJ79*c_on*12)+(BJ79*ci_comp4)+(BJ79*(ct_comp4+ca_comp4)*'Time on treatment'!$D$22)</f>
        <v>0</v>
      </c>
      <c r="BK141" s="110">
        <f ca="1">(BK79*c_on*12)+(BK79*(ct_comp4+ca_comp4)*'Time on treatment'!$E$22)</f>
        <v>0</v>
      </c>
      <c r="BN141" s="87" t="s">
        <v>173</v>
      </c>
      <c r="BO141" s="111"/>
      <c r="BP141" s="111"/>
      <c r="BQ141" s="111"/>
      <c r="BR141" s="109">
        <f ca="1">(BR79*c_inicial)+(BR79*c_on*12)+(BR79*ci_comp5)+(BR79*(ct_comp5+ca_comp5)*'Time on treatment'!$D$23)</f>
        <v>0</v>
      </c>
      <c r="BS141" s="110">
        <f ca="1">(BS79*c_on*12)+(BS79*(ct_comp5+ca_comp5)*'Time on treatment'!$E$23)</f>
        <v>0</v>
      </c>
      <c r="BV141" s="87" t="s">
        <v>173</v>
      </c>
      <c r="BW141" s="111"/>
      <c r="BX141" s="111"/>
      <c r="BY141" s="111"/>
      <c r="BZ141" s="109">
        <f ca="1">(BZ79*c_inicial)+(BZ79*c_on*12)+(BZ79*ci_comp6)+(BZ79*(ct_comp6+ca_comp6)*'Time on treatment'!$D$24)</f>
        <v>0</v>
      </c>
      <c r="CA141" s="110">
        <f ca="1">(CA79*c_on*12)+(CA79*(ct_comp6+ca_comp6)*'Time on treatment'!$E$24)</f>
        <v>0</v>
      </c>
      <c r="CD141" s="87" t="s">
        <v>173</v>
      </c>
      <c r="CE141" s="111"/>
      <c r="CF141" s="111"/>
      <c r="CG141" s="111"/>
      <c r="CH141" s="109">
        <f ca="1">(CH79*c_inicial)+(CH79*c_on*12)+(CH79*ci_comp7)+(CH79*(ct_comp7+ca_comp7)*'Time on treatment'!$D$25)</f>
        <v>0</v>
      </c>
      <c r="CI141" s="110">
        <f ca="1">(CI79*c_on*12)+(CI79*(ct_comp7+ca_comp7)*'Time on treatment'!$E$25)</f>
        <v>0</v>
      </c>
      <c r="CL141" s="87" t="s">
        <v>173</v>
      </c>
      <c r="CM141" s="111"/>
      <c r="CN141" s="111"/>
      <c r="CO141" s="111"/>
      <c r="CP141" s="109">
        <f ca="1">(CP79*c_inicial)+(CP79*c_on*12)+(CP79*ci_comp8)+(CP79*(ct_comp8+ca_comp8)*'Time on treatment'!$D$26)</f>
        <v>0</v>
      </c>
      <c r="CQ141" s="110">
        <f ca="1">(CQ79*c_on*12)+(CQ79*(ct_comp8+ca_comp8)*'Time on treatment'!$E$26)</f>
        <v>0</v>
      </c>
      <c r="CT141" s="87" t="s">
        <v>173</v>
      </c>
      <c r="CU141" s="111"/>
      <c r="CV141" s="111"/>
      <c r="CW141" s="111"/>
      <c r="CX141" s="109">
        <f ca="1">(CX79*c_inicial)+(CX79*c_on*12)+(CX79*ci_comp9)+(CX79*(ct_comp9+ca_comp9)*'Time on treatment'!$D$27)</f>
        <v>0</v>
      </c>
      <c r="CY141" s="110">
        <f ca="1">(CY79*c_on*12)+(CY79*(ct_comp9+ca_comp9)*'Time on treatment'!$E$27)</f>
        <v>0</v>
      </c>
      <c r="DB141" s="87" t="s">
        <v>173</v>
      </c>
      <c r="DC141" s="111"/>
      <c r="DD141" s="111"/>
      <c r="DE141" s="111"/>
      <c r="DF141" s="109">
        <f ca="1">(DF79*c_inicial)+(DF79*c_on*12)+(DF79*ci_comp10)+(DF79*(ct_comp10+ca_comp10)*'Time on treatment'!$D$28)</f>
        <v>0</v>
      </c>
      <c r="DG141" s="110">
        <f ca="1">(DG79*c_on*12)+(DG79*(ct_comp10+ca_comp10)*'Time on treatment'!$E$28)</f>
        <v>0</v>
      </c>
    </row>
    <row r="142" spans="2:111">
      <c r="B142" s="87" t="s">
        <v>178</v>
      </c>
      <c r="C142" s="111"/>
      <c r="D142" s="111"/>
      <c r="E142" s="111"/>
      <c r="F142" s="109">
        <f>F80*c_off</f>
        <v>0</v>
      </c>
      <c r="G142" s="110">
        <f>G80*c_off</f>
        <v>0</v>
      </c>
      <c r="J142" s="87" t="s">
        <v>178</v>
      </c>
      <c r="K142" s="111"/>
      <c r="L142" s="111"/>
      <c r="M142" s="111"/>
      <c r="N142" s="109">
        <f>N80*c_off</f>
        <v>0</v>
      </c>
      <c r="O142" s="110">
        <f>O80*c_off</f>
        <v>0</v>
      </c>
      <c r="R142" s="87" t="s">
        <v>178</v>
      </c>
      <c r="S142" s="111"/>
      <c r="T142" s="111"/>
      <c r="U142" s="111"/>
      <c r="V142" s="109">
        <f>V80*c_off</f>
        <v>0</v>
      </c>
      <c r="W142" s="110">
        <f>W80*c_off</f>
        <v>0</v>
      </c>
      <c r="Z142" s="87" t="s">
        <v>178</v>
      </c>
      <c r="AA142" s="111"/>
      <c r="AB142" s="111"/>
      <c r="AC142" s="111"/>
      <c r="AD142" s="109">
        <f>AD80*c_off</f>
        <v>0</v>
      </c>
      <c r="AE142" s="110">
        <f>AE80*c_off</f>
        <v>0</v>
      </c>
      <c r="AH142" s="87" t="s">
        <v>178</v>
      </c>
      <c r="AI142" s="111"/>
      <c r="AJ142" s="111"/>
      <c r="AK142" s="111"/>
      <c r="AL142" s="109">
        <f>AL80*c_off</f>
        <v>0</v>
      </c>
      <c r="AM142" s="110">
        <f>AM80*c_off</f>
        <v>0</v>
      </c>
      <c r="AP142" s="87" t="s">
        <v>178</v>
      </c>
      <c r="AQ142" s="111"/>
      <c r="AR142" s="111"/>
      <c r="AS142" s="111"/>
      <c r="AT142" s="109">
        <f>AT80*c_off</f>
        <v>0</v>
      </c>
      <c r="AU142" s="110">
        <f>AU80*c_off</f>
        <v>0</v>
      </c>
      <c r="AX142" s="87" t="s">
        <v>178</v>
      </c>
      <c r="AY142" s="111"/>
      <c r="AZ142" s="111"/>
      <c r="BA142" s="111"/>
      <c r="BB142" s="109">
        <f>BB80*c_off</f>
        <v>0</v>
      </c>
      <c r="BC142" s="110">
        <f>BC80*c_off</f>
        <v>0</v>
      </c>
      <c r="BF142" s="87" t="s">
        <v>178</v>
      </c>
      <c r="BG142" s="111"/>
      <c r="BH142" s="111"/>
      <c r="BI142" s="111"/>
      <c r="BJ142" s="109">
        <f>BJ80*c_off</f>
        <v>0</v>
      </c>
      <c r="BK142" s="110">
        <f>BK80*c_off</f>
        <v>0</v>
      </c>
      <c r="BN142" s="87" t="s">
        <v>178</v>
      </c>
      <c r="BO142" s="111"/>
      <c r="BP142" s="111"/>
      <c r="BQ142" s="111"/>
      <c r="BR142" s="109">
        <f>BR80*c_off</f>
        <v>0</v>
      </c>
      <c r="BS142" s="110">
        <f>BS80*c_off</f>
        <v>0</v>
      </c>
      <c r="BV142" s="87" t="s">
        <v>178</v>
      </c>
      <c r="BW142" s="111"/>
      <c r="BX142" s="111"/>
      <c r="BY142" s="111"/>
      <c r="BZ142" s="109">
        <f>BZ80*c_off</f>
        <v>0</v>
      </c>
      <c r="CA142" s="110">
        <f>CA80*c_off</f>
        <v>0</v>
      </c>
      <c r="CD142" s="87" t="s">
        <v>178</v>
      </c>
      <c r="CE142" s="111"/>
      <c r="CF142" s="111"/>
      <c r="CG142" s="111"/>
      <c r="CH142" s="109">
        <f>CH80*c_off</f>
        <v>0</v>
      </c>
      <c r="CI142" s="110">
        <f>CI80*c_off</f>
        <v>0</v>
      </c>
      <c r="CL142" s="87" t="s">
        <v>178</v>
      </c>
      <c r="CM142" s="111"/>
      <c r="CN142" s="111"/>
      <c r="CO142" s="111"/>
      <c r="CP142" s="109">
        <f>CP80*c_off</f>
        <v>0</v>
      </c>
      <c r="CQ142" s="110">
        <f>CQ80*c_off</f>
        <v>0</v>
      </c>
      <c r="CT142" s="87" t="s">
        <v>178</v>
      </c>
      <c r="CU142" s="111"/>
      <c r="CV142" s="111"/>
      <c r="CW142" s="111"/>
      <c r="CX142" s="109">
        <f>CX80*c_off</f>
        <v>0</v>
      </c>
      <c r="CY142" s="110">
        <f>CY80*c_off</f>
        <v>0</v>
      </c>
      <c r="DB142" s="87" t="s">
        <v>178</v>
      </c>
      <c r="DC142" s="111"/>
      <c r="DD142" s="111"/>
      <c r="DE142" s="111"/>
      <c r="DF142" s="109">
        <f>DF80*c_off</f>
        <v>0</v>
      </c>
      <c r="DG142" s="110">
        <f>DG80*c_off</f>
        <v>0</v>
      </c>
    </row>
    <row r="143" spans="2:111">
      <c r="B143" s="87" t="s">
        <v>174</v>
      </c>
      <c r="C143" s="111"/>
      <c r="D143" s="111"/>
      <c r="E143" s="111"/>
      <c r="F143" s="111"/>
      <c r="G143" s="110">
        <f ca="1">(G81*c_inicial)+(G81*c_on*12)+(G81*ci_int1)+(G81*(ct_int1+ca_int1)*'Time on treatment'!$D$12)</f>
        <v>0</v>
      </c>
      <c r="J143" s="87" t="s">
        <v>174</v>
      </c>
      <c r="K143" s="111"/>
      <c r="L143" s="111"/>
      <c r="M143" s="111"/>
      <c r="N143" s="111"/>
      <c r="O143" s="110">
        <f ca="1">(O81*c_inicial)+(O81*c_on*12)+(O81*ci_int2)+(O81*(ct_int2+ca_int2)*'Time on treatment'!$D$13)</f>
        <v>0</v>
      </c>
      <c r="R143" s="87" t="s">
        <v>174</v>
      </c>
      <c r="S143" s="111"/>
      <c r="T143" s="111"/>
      <c r="U143" s="111"/>
      <c r="V143" s="111"/>
      <c r="W143" s="110">
        <f ca="1">(W81*c_inicial)+(W81*c_on*12)+(W81*ci_int3)+(W81*(ct_int3+ca_int3)*'Time on treatment'!$D$14)</f>
        <v>0</v>
      </c>
      <c r="Z143" s="87" t="s">
        <v>174</v>
      </c>
      <c r="AA143" s="111"/>
      <c r="AB143" s="111"/>
      <c r="AC143" s="111"/>
      <c r="AD143" s="111"/>
      <c r="AE143" s="110">
        <f ca="1">(AE81*c_inicial)+(AE81*c_on*12)+(AE81*ci_int4)+(AE81*(ct_int4+ca_int4)*'Time on treatment'!$D$15)</f>
        <v>0</v>
      </c>
      <c r="AH143" s="87" t="s">
        <v>174</v>
      </c>
      <c r="AI143" s="111"/>
      <c r="AJ143" s="111"/>
      <c r="AK143" s="111"/>
      <c r="AL143" s="111"/>
      <c r="AM143" s="110">
        <f ca="1">(AM81*c_inicial)+(AM81*c_on*12)+(AM81*ci_comp1)+(AM81*(ct_comp1+ca_comp1)*'Time on treatment'!$D$19)</f>
        <v>0</v>
      </c>
      <c r="AP143" s="87" t="s">
        <v>174</v>
      </c>
      <c r="AQ143" s="111"/>
      <c r="AR143" s="111"/>
      <c r="AS143" s="111"/>
      <c r="AT143" s="111"/>
      <c r="AU143" s="110">
        <f ca="1">(AU81*c_inicial)+(AU81*c_on*12)+(AU81*ci_comp2)+(AU81*(ct_comp2+ca_comp2)*'Time on treatment'!$D$20)</f>
        <v>0</v>
      </c>
      <c r="AX143" s="87" t="s">
        <v>174</v>
      </c>
      <c r="AY143" s="111"/>
      <c r="AZ143" s="111"/>
      <c r="BA143" s="111"/>
      <c r="BB143" s="111"/>
      <c r="BC143" s="110">
        <f ca="1">(BC81*c_inicial)+(BC81*c_on*12)+(BC81*ci_comp3)+(BC81*(ct_comp3+ca_comp3)*'Time on treatment'!$D$21)</f>
        <v>0</v>
      </c>
      <c r="BF143" s="87" t="s">
        <v>174</v>
      </c>
      <c r="BG143" s="111"/>
      <c r="BH143" s="111"/>
      <c r="BI143" s="111"/>
      <c r="BJ143" s="111"/>
      <c r="BK143" s="110">
        <f ca="1">(BK81*c_inicial)+(BK81*c_on*12)+(BK81*ci_comp4)+(BK81*(ct_comp4+ca_comp4)*'Time on treatment'!$D$22)</f>
        <v>0</v>
      </c>
      <c r="BN143" s="87" t="s">
        <v>174</v>
      </c>
      <c r="BO143" s="111"/>
      <c r="BP143" s="111"/>
      <c r="BQ143" s="111"/>
      <c r="BR143" s="111"/>
      <c r="BS143" s="110">
        <f ca="1">(BS81*c_inicial)+(BS81*c_on*12)+(BS81*ci_comp5)+(BS81*(ct_comp5+ca_comp5)*'Time on treatment'!$D$23)</f>
        <v>0</v>
      </c>
      <c r="BV143" s="87" t="s">
        <v>174</v>
      </c>
      <c r="BW143" s="111"/>
      <c r="BX143" s="111"/>
      <c r="BY143" s="111"/>
      <c r="BZ143" s="111"/>
      <c r="CA143" s="110">
        <f ca="1">(CA81*c_inicial)+(CA81*c_on*12)+(CA81*ci_comp6)+(CA81*(ct_comp6+ca_comp6)*'Time on treatment'!$D$24)</f>
        <v>0</v>
      </c>
      <c r="CD143" s="87" t="s">
        <v>174</v>
      </c>
      <c r="CE143" s="111"/>
      <c r="CF143" s="111"/>
      <c r="CG143" s="111"/>
      <c r="CH143" s="111"/>
      <c r="CI143" s="110">
        <f ca="1">(CI81*c_inicial)+(CI81*c_on*12)+(CI81*ci_comp7)+(CI81*(ct_comp7+ca_comp7)*'Time on treatment'!$D$25)</f>
        <v>0</v>
      </c>
      <c r="CL143" s="87" t="s">
        <v>174</v>
      </c>
      <c r="CM143" s="111"/>
      <c r="CN143" s="111"/>
      <c r="CO143" s="111"/>
      <c r="CP143" s="111"/>
      <c r="CQ143" s="110">
        <f ca="1">(CQ81*c_inicial)+(CQ81*c_on*12)+(CQ81*ci_comp8)+(CQ81*(ct_comp8+ca_comp8)*'Time on treatment'!$D$26)</f>
        <v>0</v>
      </c>
      <c r="CT143" s="87" t="s">
        <v>174</v>
      </c>
      <c r="CU143" s="111"/>
      <c r="CV143" s="111"/>
      <c r="CW143" s="111"/>
      <c r="CX143" s="111"/>
      <c r="CY143" s="110">
        <f ca="1">(CY81*c_inicial)+(CY81*c_on*12)+(CY81*ci_comp9)+(CY81*(ct_comp9+ca_comp9)*'Time on treatment'!$D$27)</f>
        <v>0</v>
      </c>
      <c r="DB143" s="87" t="s">
        <v>174</v>
      </c>
      <c r="DC143" s="111"/>
      <c r="DD143" s="111"/>
      <c r="DE143" s="111"/>
      <c r="DF143" s="111"/>
      <c r="DG143" s="110">
        <f ca="1">(DG81*c_inicial)+(DG81*c_on*12)+(DG81*ci_comp10)+(DG81*(ct_comp10+ca_comp10)*'Time on treatment'!$D$28)</f>
        <v>0</v>
      </c>
    </row>
    <row r="144" spans="2:111" ht="15" thickBot="1">
      <c r="B144" s="87" t="s">
        <v>179</v>
      </c>
      <c r="C144" s="111"/>
      <c r="D144" s="111"/>
      <c r="E144" s="111"/>
      <c r="F144" s="111"/>
      <c r="G144" s="112">
        <v>0</v>
      </c>
      <c r="J144" s="87" t="s">
        <v>179</v>
      </c>
      <c r="K144" s="111"/>
      <c r="L144" s="111"/>
      <c r="M144" s="111"/>
      <c r="N144" s="111"/>
      <c r="O144" s="112">
        <v>0</v>
      </c>
      <c r="R144" s="87" t="s">
        <v>179</v>
      </c>
      <c r="S144" s="111"/>
      <c r="T144" s="111"/>
      <c r="U144" s="111"/>
      <c r="V144" s="111"/>
      <c r="W144" s="112">
        <v>0</v>
      </c>
      <c r="Z144" s="87" t="s">
        <v>179</v>
      </c>
      <c r="AA144" s="111"/>
      <c r="AB144" s="111"/>
      <c r="AC144" s="111"/>
      <c r="AD144" s="111"/>
      <c r="AE144" s="112">
        <v>0</v>
      </c>
      <c r="AH144" s="87" t="s">
        <v>179</v>
      </c>
      <c r="AI144" s="111"/>
      <c r="AJ144" s="111"/>
      <c r="AK144" s="111"/>
      <c r="AL144" s="111"/>
      <c r="AM144" s="112">
        <v>0</v>
      </c>
      <c r="AP144" s="87" t="s">
        <v>179</v>
      </c>
      <c r="AQ144" s="111"/>
      <c r="AR144" s="111"/>
      <c r="AS144" s="111"/>
      <c r="AT144" s="111"/>
      <c r="AU144" s="112">
        <v>0</v>
      </c>
      <c r="AX144" s="87" t="s">
        <v>179</v>
      </c>
      <c r="AY144" s="111"/>
      <c r="AZ144" s="111"/>
      <c r="BA144" s="111"/>
      <c r="BB144" s="111"/>
      <c r="BC144" s="112">
        <v>0</v>
      </c>
      <c r="BF144" s="87" t="s">
        <v>179</v>
      </c>
      <c r="BG144" s="111"/>
      <c r="BH144" s="111"/>
      <c r="BI144" s="111"/>
      <c r="BJ144" s="111"/>
      <c r="BK144" s="112">
        <v>0</v>
      </c>
      <c r="BN144" s="87" t="s">
        <v>179</v>
      </c>
      <c r="BO144" s="111"/>
      <c r="BP144" s="111"/>
      <c r="BQ144" s="111"/>
      <c r="BR144" s="111"/>
      <c r="BS144" s="112">
        <v>0</v>
      </c>
      <c r="BV144" s="87" t="s">
        <v>179</v>
      </c>
      <c r="BW144" s="111"/>
      <c r="BX144" s="111"/>
      <c r="BY144" s="111"/>
      <c r="BZ144" s="111"/>
      <c r="CA144" s="112">
        <v>0</v>
      </c>
      <c r="CD144" s="87" t="s">
        <v>179</v>
      </c>
      <c r="CE144" s="111"/>
      <c r="CF144" s="111"/>
      <c r="CG144" s="111"/>
      <c r="CH144" s="111"/>
      <c r="CI144" s="112">
        <v>0</v>
      </c>
      <c r="CL144" s="87" t="s">
        <v>179</v>
      </c>
      <c r="CM144" s="111"/>
      <c r="CN144" s="111"/>
      <c r="CO144" s="111"/>
      <c r="CP144" s="111"/>
      <c r="CQ144" s="112">
        <v>0</v>
      </c>
      <c r="CT144" s="87" t="s">
        <v>179</v>
      </c>
      <c r="CU144" s="111"/>
      <c r="CV144" s="111"/>
      <c r="CW144" s="111"/>
      <c r="CX144" s="111"/>
      <c r="CY144" s="112">
        <v>0</v>
      </c>
      <c r="DB144" s="87" t="s">
        <v>179</v>
      </c>
      <c r="DC144" s="111"/>
      <c r="DD144" s="111"/>
      <c r="DE144" s="111"/>
      <c r="DF144" s="111"/>
      <c r="DG144" s="112">
        <v>0</v>
      </c>
    </row>
    <row r="145" spans="2:113" ht="15" thickBot="1">
      <c r="B145" s="85" t="str">
        <f>B131</f>
        <v>Intrauterine device levonorgestrel</v>
      </c>
      <c r="C145" s="113">
        <f ca="1">SUM(C135:C143)</f>
        <v>0</v>
      </c>
      <c r="D145" s="113">
        <f ca="1">SUM(D135:D143)</f>
        <v>0</v>
      </c>
      <c r="E145" s="113">
        <f ca="1">SUM(E135:E143)</f>
        <v>0</v>
      </c>
      <c r="F145" s="113">
        <f ca="1">SUM(F135:F143)</f>
        <v>0</v>
      </c>
      <c r="G145" s="114">
        <f ca="1">SUM(G135:G143)</f>
        <v>0</v>
      </c>
      <c r="J145" s="85">
        <f>J131</f>
        <v>0</v>
      </c>
      <c r="K145" s="113">
        <f ca="1">SUM(K135:K143)</f>
        <v>0</v>
      </c>
      <c r="L145" s="113">
        <f ca="1">SUM(L135:L143)</f>
        <v>0</v>
      </c>
      <c r="M145" s="113">
        <f ca="1">SUM(M135:M143)</f>
        <v>0</v>
      </c>
      <c r="N145" s="113">
        <f ca="1">SUM(N135:N143)</f>
        <v>0</v>
      </c>
      <c r="O145" s="114">
        <f ca="1">SUM(O135:O143)</f>
        <v>0</v>
      </c>
      <c r="R145" s="85">
        <f>R131</f>
        <v>0</v>
      </c>
      <c r="S145" s="113">
        <f ca="1">SUM(S135:S143)</f>
        <v>0</v>
      </c>
      <c r="T145" s="113">
        <f ca="1">SUM(T135:T143)</f>
        <v>0</v>
      </c>
      <c r="U145" s="113">
        <f ca="1">SUM(U135:U143)</f>
        <v>0</v>
      </c>
      <c r="V145" s="113">
        <f ca="1">SUM(V135:V143)</f>
        <v>0</v>
      </c>
      <c r="W145" s="114">
        <f ca="1">SUM(W135:W143)</f>
        <v>0</v>
      </c>
      <c r="Z145" s="85">
        <f>Z131</f>
        <v>0</v>
      </c>
      <c r="AA145" s="113">
        <f ca="1">SUM(AA135:AA143)</f>
        <v>0</v>
      </c>
      <c r="AB145" s="113">
        <f ca="1">SUM(AB135:AB143)</f>
        <v>0</v>
      </c>
      <c r="AC145" s="113">
        <f ca="1">SUM(AC135:AC143)</f>
        <v>0</v>
      </c>
      <c r="AD145" s="113">
        <f ca="1">SUM(AD135:AD143)</f>
        <v>0</v>
      </c>
      <c r="AE145" s="114">
        <f ca="1">SUM(AE135:AE143)</f>
        <v>0</v>
      </c>
      <c r="AH145" s="85" t="str">
        <f>AH131</f>
        <v>Oral contraceptive</v>
      </c>
      <c r="AI145" s="113">
        <f ca="1">SUM(AI135:AI143)</f>
        <v>0</v>
      </c>
      <c r="AJ145" s="113">
        <f ca="1">SUM(AJ135:AJ143)</f>
        <v>0</v>
      </c>
      <c r="AK145" s="113">
        <f ca="1">SUM(AK135:AK143)</f>
        <v>0</v>
      </c>
      <c r="AL145" s="113">
        <f ca="1">SUM(AL135:AL143)</f>
        <v>0</v>
      </c>
      <c r="AM145" s="114">
        <f ca="1">SUM(AM135:AM143)</f>
        <v>0</v>
      </c>
      <c r="AP145" s="85">
        <f>AP131</f>
        <v>0</v>
      </c>
      <c r="AQ145" s="113">
        <f ca="1">SUM(AQ135:AQ143)</f>
        <v>0</v>
      </c>
      <c r="AR145" s="113">
        <f ca="1">SUM(AR135:AR143)</f>
        <v>0</v>
      </c>
      <c r="AS145" s="113">
        <f ca="1">SUM(AS135:AS143)</f>
        <v>0</v>
      </c>
      <c r="AT145" s="113">
        <f ca="1">SUM(AT135:AT143)</f>
        <v>0</v>
      </c>
      <c r="AU145" s="114">
        <f ca="1">SUM(AU135:AU143)</f>
        <v>0</v>
      </c>
      <c r="AX145" s="85">
        <f>AX131</f>
        <v>0</v>
      </c>
      <c r="AY145" s="113">
        <f ca="1">SUM(AY135:AY143)</f>
        <v>0</v>
      </c>
      <c r="AZ145" s="113">
        <f ca="1">SUM(AZ135:AZ143)</f>
        <v>0</v>
      </c>
      <c r="BA145" s="113">
        <f ca="1">SUM(BA135:BA143)</f>
        <v>0</v>
      </c>
      <c r="BB145" s="113">
        <f ca="1">SUM(BB135:BB143)</f>
        <v>0</v>
      </c>
      <c r="BC145" s="114">
        <f ca="1">SUM(BC135:BC143)</f>
        <v>0</v>
      </c>
      <c r="BF145" s="85">
        <f>BF131</f>
        <v>0</v>
      </c>
      <c r="BG145" s="113">
        <f ca="1">SUM(BG135:BG143)</f>
        <v>0</v>
      </c>
      <c r="BH145" s="113">
        <f ca="1">SUM(BH135:BH143)</f>
        <v>0</v>
      </c>
      <c r="BI145" s="113">
        <f ca="1">SUM(BI135:BI143)</f>
        <v>0</v>
      </c>
      <c r="BJ145" s="113">
        <f ca="1">SUM(BJ135:BJ143)</f>
        <v>0</v>
      </c>
      <c r="BK145" s="114">
        <f ca="1">SUM(BK135:BK143)</f>
        <v>0</v>
      </c>
      <c r="BN145" s="85">
        <f>BN131</f>
        <v>0</v>
      </c>
      <c r="BO145" s="113">
        <f ca="1">SUM(BO135:BO143)</f>
        <v>0</v>
      </c>
      <c r="BP145" s="113">
        <f ca="1">SUM(BP135:BP143)</f>
        <v>0</v>
      </c>
      <c r="BQ145" s="113">
        <f ca="1">SUM(BQ135:BQ143)</f>
        <v>0</v>
      </c>
      <c r="BR145" s="113">
        <f ca="1">SUM(BR135:BR143)</f>
        <v>0</v>
      </c>
      <c r="BS145" s="114">
        <f ca="1">SUM(BS135:BS143)</f>
        <v>0</v>
      </c>
      <c r="BV145" s="85">
        <f>BV131</f>
        <v>0</v>
      </c>
      <c r="BW145" s="113">
        <f ca="1">SUM(BW135:BW143)</f>
        <v>0</v>
      </c>
      <c r="BX145" s="113">
        <f ca="1">SUM(BX135:BX143)</f>
        <v>0</v>
      </c>
      <c r="BY145" s="113">
        <f ca="1">SUM(BY135:BY143)</f>
        <v>0</v>
      </c>
      <c r="BZ145" s="113">
        <f ca="1">SUM(BZ135:BZ143)</f>
        <v>0</v>
      </c>
      <c r="CA145" s="114">
        <f ca="1">SUM(CA135:CA143)</f>
        <v>0</v>
      </c>
      <c r="CD145" s="85">
        <f>CD131</f>
        <v>0</v>
      </c>
      <c r="CE145" s="113">
        <f ca="1">SUM(CE135:CE143)</f>
        <v>0</v>
      </c>
      <c r="CF145" s="113">
        <f ca="1">SUM(CF135:CF143)</f>
        <v>0</v>
      </c>
      <c r="CG145" s="113">
        <f ca="1">SUM(CG135:CG143)</f>
        <v>0</v>
      </c>
      <c r="CH145" s="113">
        <f ca="1">SUM(CH135:CH143)</f>
        <v>0</v>
      </c>
      <c r="CI145" s="114">
        <f ca="1">SUM(CI135:CI143)</f>
        <v>0</v>
      </c>
      <c r="CL145" s="85">
        <f>CL131</f>
        <v>0</v>
      </c>
      <c r="CM145" s="113">
        <f ca="1">SUM(CM135:CM143)</f>
        <v>0</v>
      </c>
      <c r="CN145" s="113">
        <f ca="1">SUM(CN135:CN143)</f>
        <v>0</v>
      </c>
      <c r="CO145" s="113">
        <f ca="1">SUM(CO135:CO143)</f>
        <v>0</v>
      </c>
      <c r="CP145" s="113">
        <f ca="1">SUM(CP135:CP143)</f>
        <v>0</v>
      </c>
      <c r="CQ145" s="114">
        <f ca="1">SUM(CQ135:CQ143)</f>
        <v>0</v>
      </c>
      <c r="CT145" s="85">
        <f>CT131</f>
        <v>0</v>
      </c>
      <c r="CU145" s="113">
        <f ca="1">SUM(CU135:CU143)</f>
        <v>0</v>
      </c>
      <c r="CV145" s="113">
        <f ca="1">SUM(CV135:CV143)</f>
        <v>0</v>
      </c>
      <c r="CW145" s="113">
        <f ca="1">SUM(CW135:CW143)</f>
        <v>0</v>
      </c>
      <c r="CX145" s="113">
        <f ca="1">SUM(CX135:CX143)</f>
        <v>0</v>
      </c>
      <c r="CY145" s="114">
        <f ca="1">SUM(CY135:CY143)</f>
        <v>0</v>
      </c>
      <c r="DB145" s="85">
        <f>DB131</f>
        <v>0</v>
      </c>
      <c r="DC145" s="113">
        <f ca="1">SUM(DC135:DC143)</f>
        <v>0</v>
      </c>
      <c r="DD145" s="113">
        <f ca="1">SUM(DD135:DD143)</f>
        <v>0</v>
      </c>
      <c r="DE145" s="113">
        <f ca="1">SUM(DE135:DE143)</f>
        <v>0</v>
      </c>
      <c r="DF145" s="113">
        <f ca="1">SUM(DF135:DF143)</f>
        <v>0</v>
      </c>
      <c r="DG145" s="114">
        <f ca="1">SUM(DG135:DG143)</f>
        <v>0</v>
      </c>
    </row>
    <row r="148" spans="2:113" s="81" customFormat="1">
      <c r="B148" s="120"/>
      <c r="C148" s="120"/>
      <c r="D148" s="120"/>
      <c r="E148" s="120"/>
      <c r="F148" s="120"/>
      <c r="G148" s="120"/>
      <c r="H148" s="82"/>
      <c r="I148" s="82"/>
      <c r="J148" s="120"/>
      <c r="K148" s="120"/>
      <c r="L148" s="120"/>
      <c r="M148" s="120"/>
      <c r="N148" s="120"/>
      <c r="O148" s="120"/>
      <c r="P148" s="82"/>
      <c r="Q148" s="82"/>
      <c r="R148" s="120"/>
      <c r="S148" s="120"/>
      <c r="T148" s="120"/>
      <c r="U148" s="120"/>
      <c r="V148" s="120"/>
      <c r="W148" s="120"/>
      <c r="X148" s="82"/>
      <c r="Y148" s="82"/>
      <c r="Z148" s="120"/>
      <c r="AA148" s="120"/>
      <c r="AB148" s="120"/>
      <c r="AC148" s="120"/>
      <c r="AD148" s="120"/>
      <c r="AE148" s="120"/>
      <c r="AF148" s="82"/>
      <c r="AG148" s="82"/>
      <c r="AH148" s="120"/>
      <c r="AI148" s="120"/>
      <c r="AJ148" s="120"/>
      <c r="AK148" s="120"/>
      <c r="AL148" s="120"/>
      <c r="AM148" s="120"/>
      <c r="AN148" s="82"/>
      <c r="AO148" s="82"/>
      <c r="AP148" s="120"/>
      <c r="AQ148" s="120"/>
      <c r="AR148" s="120"/>
      <c r="AS148" s="120"/>
      <c r="AT148" s="120"/>
      <c r="AU148" s="120"/>
      <c r="AV148" s="82"/>
      <c r="AW148" s="82"/>
      <c r="AX148" s="120"/>
      <c r="AY148" s="120"/>
      <c r="AZ148" s="120"/>
      <c r="BA148" s="120"/>
      <c r="BB148" s="120"/>
      <c r="BC148" s="120"/>
      <c r="BD148" s="82"/>
      <c r="BE148" s="82"/>
      <c r="BF148" s="120"/>
      <c r="BG148" s="120"/>
      <c r="BH148" s="120"/>
      <c r="BI148" s="120"/>
      <c r="BJ148" s="120"/>
      <c r="BK148" s="120"/>
      <c r="BL148" s="82"/>
      <c r="BM148" s="82"/>
      <c r="BN148" s="120"/>
      <c r="BO148" s="120"/>
      <c r="BP148" s="120"/>
      <c r="BQ148" s="120"/>
      <c r="BR148" s="120"/>
      <c r="BS148" s="120"/>
      <c r="BT148" s="82"/>
      <c r="BU148" s="82"/>
      <c r="BV148" s="120"/>
      <c r="BW148" s="120"/>
      <c r="BX148" s="120"/>
      <c r="BY148" s="120"/>
      <c r="BZ148" s="120"/>
      <c r="CA148" s="120"/>
      <c r="CB148" s="82"/>
      <c r="CC148" s="82"/>
      <c r="CD148" s="120"/>
      <c r="CE148" s="120"/>
      <c r="CF148" s="120"/>
      <c r="CG148" s="120"/>
      <c r="CH148" s="120"/>
      <c r="CI148" s="120"/>
      <c r="CJ148" s="82"/>
      <c r="CK148" s="82"/>
      <c r="CL148" s="120"/>
      <c r="CM148" s="120"/>
      <c r="CN148" s="120"/>
      <c r="CO148" s="120"/>
      <c r="CP148" s="120"/>
      <c r="CQ148" s="120"/>
      <c r="CR148" s="82"/>
      <c r="CS148" s="82"/>
      <c r="CT148" s="120"/>
      <c r="CU148" s="120"/>
      <c r="CV148" s="120"/>
      <c r="CW148" s="120"/>
      <c r="CX148" s="120"/>
      <c r="CY148" s="120"/>
      <c r="CZ148" s="82"/>
      <c r="DA148" s="82"/>
      <c r="DB148" s="120"/>
      <c r="DC148" s="120"/>
      <c r="DD148" s="120"/>
      <c r="DE148" s="120"/>
      <c r="DF148" s="120"/>
      <c r="DG148" s="120"/>
      <c r="DH148" s="82"/>
      <c r="DI148" s="82"/>
    </row>
    <row r="149" spans="2:113" s="76" customFormat="1" ht="21">
      <c r="B149" s="502" t="str">
        <f>intervencao1</f>
        <v>Intrauterine device levonorgestrel</v>
      </c>
      <c r="C149" s="502"/>
      <c r="D149" s="502"/>
      <c r="E149" s="502"/>
      <c r="F149" s="502"/>
      <c r="G149" s="502"/>
      <c r="H149" s="502"/>
      <c r="I149" s="77"/>
      <c r="J149" s="502">
        <f>intervencao2</f>
        <v>0</v>
      </c>
      <c r="K149" s="502"/>
      <c r="L149" s="502"/>
      <c r="M149" s="502"/>
      <c r="N149" s="502"/>
      <c r="O149" s="502"/>
      <c r="P149" s="502"/>
      <c r="Q149" s="77"/>
      <c r="R149" s="502">
        <f>intervencao3</f>
        <v>0</v>
      </c>
      <c r="S149" s="502"/>
      <c r="T149" s="502"/>
      <c r="U149" s="502"/>
      <c r="V149" s="502"/>
      <c r="W149" s="502"/>
      <c r="X149" s="502"/>
      <c r="Y149" s="77"/>
      <c r="Z149" s="502">
        <f>intervencao4</f>
        <v>0</v>
      </c>
      <c r="AA149" s="502"/>
      <c r="AB149" s="502"/>
      <c r="AC149" s="502"/>
      <c r="AD149" s="502"/>
      <c r="AE149" s="502"/>
      <c r="AF149" s="502"/>
      <c r="AG149" s="77"/>
      <c r="AH149" s="502" t="str">
        <f>comparador1</f>
        <v>Oral contraceptive</v>
      </c>
      <c r="AI149" s="502"/>
      <c r="AJ149" s="502"/>
      <c r="AK149" s="502"/>
      <c r="AL149" s="502"/>
      <c r="AM149" s="502"/>
      <c r="AN149" s="502"/>
      <c r="AO149" s="77"/>
      <c r="AP149" s="502">
        <f>comparador2</f>
        <v>0</v>
      </c>
      <c r="AQ149" s="502"/>
      <c r="AR149" s="502"/>
      <c r="AS149" s="502"/>
      <c r="AT149" s="502"/>
      <c r="AU149" s="502"/>
      <c r="AV149" s="502"/>
      <c r="AW149" s="77"/>
      <c r="AX149" s="502">
        <f>comparador3</f>
        <v>0</v>
      </c>
      <c r="AY149" s="502"/>
      <c r="AZ149" s="502"/>
      <c r="BA149" s="502"/>
      <c r="BB149" s="502"/>
      <c r="BC149" s="502"/>
      <c r="BD149" s="502"/>
      <c r="BE149" s="77"/>
      <c r="BF149" s="502">
        <f>comparador4</f>
        <v>0</v>
      </c>
      <c r="BG149" s="502"/>
      <c r="BH149" s="502"/>
      <c r="BI149" s="502"/>
      <c r="BJ149" s="502"/>
      <c r="BK149" s="502"/>
      <c r="BL149" s="502"/>
      <c r="BM149" s="77"/>
      <c r="BN149" s="502">
        <f>comparador5</f>
        <v>0</v>
      </c>
      <c r="BO149" s="502"/>
      <c r="BP149" s="502"/>
      <c r="BQ149" s="502"/>
      <c r="BR149" s="502"/>
      <c r="BS149" s="502"/>
      <c r="BT149" s="502"/>
      <c r="BU149" s="77"/>
      <c r="BV149" s="502">
        <f>comparador6</f>
        <v>0</v>
      </c>
      <c r="BW149" s="502"/>
      <c r="BX149" s="502"/>
      <c r="BY149" s="502"/>
      <c r="BZ149" s="502"/>
      <c r="CA149" s="502"/>
      <c r="CB149" s="502"/>
      <c r="CC149" s="77"/>
      <c r="CD149" s="502">
        <f>comparador7</f>
        <v>0</v>
      </c>
      <c r="CE149" s="502"/>
      <c r="CF149" s="502"/>
      <c r="CG149" s="502"/>
      <c r="CH149" s="502"/>
      <c r="CI149" s="502"/>
      <c r="CJ149" s="502"/>
      <c r="CK149" s="77"/>
      <c r="CL149" s="502">
        <f>comparador8</f>
        <v>0</v>
      </c>
      <c r="CM149" s="502"/>
      <c r="CN149" s="502"/>
      <c r="CO149" s="502"/>
      <c r="CP149" s="502"/>
      <c r="CQ149" s="502"/>
      <c r="CR149" s="502"/>
      <c r="CS149" s="77"/>
      <c r="CT149" s="502">
        <f>comparador9</f>
        <v>0</v>
      </c>
      <c r="CU149" s="502"/>
      <c r="CV149" s="502"/>
      <c r="CW149" s="502"/>
      <c r="CX149" s="502"/>
      <c r="CY149" s="502"/>
      <c r="CZ149" s="502"/>
      <c r="DA149" s="77"/>
      <c r="DB149" s="502">
        <f>comparador10</f>
        <v>0</v>
      </c>
      <c r="DC149" s="502"/>
      <c r="DD149" s="502"/>
      <c r="DE149" s="502"/>
      <c r="DF149" s="502"/>
      <c r="DG149" s="502"/>
      <c r="DH149" s="502"/>
      <c r="DI149" s="77"/>
    </row>
    <row r="150" spans="2:113" ht="18">
      <c r="B150" s="503" t="s">
        <v>182</v>
      </c>
      <c r="C150" s="503"/>
      <c r="D150" s="503"/>
      <c r="E150" s="503"/>
      <c r="F150" s="503"/>
      <c r="G150" s="503"/>
      <c r="H150" s="71"/>
      <c r="I150" s="71"/>
      <c r="J150" s="503" t="s">
        <v>182</v>
      </c>
      <c r="K150" s="503"/>
      <c r="L150" s="503"/>
      <c r="M150" s="503"/>
      <c r="N150" s="503"/>
      <c r="O150" s="503"/>
      <c r="P150" s="71"/>
      <c r="Q150" s="71"/>
      <c r="R150" s="503" t="s">
        <v>182</v>
      </c>
      <c r="S150" s="503"/>
      <c r="T150" s="503"/>
      <c r="U150" s="503"/>
      <c r="V150" s="503"/>
      <c r="W150" s="503"/>
      <c r="X150" s="71"/>
      <c r="Y150" s="71"/>
      <c r="Z150" s="503" t="s">
        <v>182</v>
      </c>
      <c r="AA150" s="503"/>
      <c r="AB150" s="503"/>
      <c r="AC150" s="503"/>
      <c r="AD150" s="503"/>
      <c r="AE150" s="503"/>
      <c r="AF150" s="71"/>
      <c r="AG150" s="71"/>
      <c r="AH150" s="503" t="s">
        <v>182</v>
      </c>
      <c r="AI150" s="503"/>
      <c r="AJ150" s="503"/>
      <c r="AK150" s="503"/>
      <c r="AL150" s="503"/>
      <c r="AM150" s="503"/>
      <c r="AN150" s="71"/>
      <c r="AO150" s="71"/>
      <c r="AP150" s="503" t="s">
        <v>182</v>
      </c>
      <c r="AQ150" s="503"/>
      <c r="AR150" s="503"/>
      <c r="AS150" s="503"/>
      <c r="AT150" s="503"/>
      <c r="AU150" s="503"/>
      <c r="AV150" s="71"/>
      <c r="AW150" s="71"/>
      <c r="AX150" s="503" t="s">
        <v>182</v>
      </c>
      <c r="AY150" s="503"/>
      <c r="AZ150" s="503"/>
      <c r="BA150" s="503"/>
      <c r="BB150" s="503"/>
      <c r="BC150" s="503"/>
      <c r="BD150" s="71"/>
      <c r="BE150" s="71"/>
      <c r="BF150" s="503" t="s">
        <v>182</v>
      </c>
      <c r="BG150" s="503"/>
      <c r="BH150" s="503"/>
      <c r="BI150" s="503"/>
      <c r="BJ150" s="503"/>
      <c r="BK150" s="503"/>
      <c r="BL150" s="71"/>
      <c r="BM150" s="71"/>
      <c r="BN150" s="503" t="s">
        <v>182</v>
      </c>
      <c r="BO150" s="503"/>
      <c r="BP150" s="503"/>
      <c r="BQ150" s="503"/>
      <c r="BR150" s="503"/>
      <c r="BS150" s="503"/>
      <c r="BT150" s="71"/>
      <c r="BU150" s="71"/>
      <c r="BV150" s="503" t="s">
        <v>182</v>
      </c>
      <c r="BW150" s="503"/>
      <c r="BX150" s="503"/>
      <c r="BY150" s="503"/>
      <c r="BZ150" s="503"/>
      <c r="CA150" s="503"/>
      <c r="CB150" s="71"/>
      <c r="CC150" s="71"/>
      <c r="CD150" s="503" t="s">
        <v>182</v>
      </c>
      <c r="CE150" s="503"/>
      <c r="CF150" s="503"/>
      <c r="CG150" s="503"/>
      <c r="CH150" s="503"/>
      <c r="CI150" s="503"/>
      <c r="CJ150" s="71"/>
      <c r="CK150" s="71"/>
      <c r="CL150" s="503" t="s">
        <v>182</v>
      </c>
      <c r="CM150" s="503"/>
      <c r="CN150" s="503"/>
      <c r="CO150" s="503"/>
      <c r="CP150" s="503"/>
      <c r="CQ150" s="503"/>
      <c r="CR150" s="71"/>
      <c r="CS150" s="71"/>
      <c r="CT150" s="503" t="s">
        <v>182</v>
      </c>
      <c r="CU150" s="503"/>
      <c r="CV150" s="503"/>
      <c r="CW150" s="503"/>
      <c r="CX150" s="503"/>
      <c r="CY150" s="503"/>
      <c r="CZ150" s="71"/>
      <c r="DA150" s="71"/>
      <c r="DB150" s="503" t="s">
        <v>182</v>
      </c>
      <c r="DC150" s="503"/>
      <c r="DD150" s="503"/>
      <c r="DE150" s="503"/>
      <c r="DF150" s="503"/>
      <c r="DG150" s="503"/>
      <c r="DH150" s="71"/>
    </row>
    <row r="151" spans="2:113" ht="15" thickBot="1">
      <c r="B151" s="83"/>
      <c r="C151" s="83"/>
      <c r="D151" s="83"/>
      <c r="E151" s="83"/>
      <c r="F151" s="83"/>
      <c r="G151" s="83"/>
      <c r="J151" s="83"/>
      <c r="K151" s="83"/>
      <c r="L151" s="83"/>
      <c r="M151" s="83"/>
      <c r="N151" s="83"/>
      <c r="O151" s="83"/>
      <c r="R151" s="83"/>
      <c r="S151" s="83"/>
      <c r="T151" s="83"/>
      <c r="U151" s="83"/>
      <c r="V151" s="83"/>
      <c r="W151" s="83"/>
      <c r="Z151" s="83"/>
      <c r="AA151" s="83"/>
      <c r="AB151" s="83"/>
      <c r="AC151" s="83"/>
      <c r="AD151" s="83"/>
      <c r="AE151" s="83"/>
      <c r="AH151" s="83"/>
      <c r="AI151" s="83"/>
      <c r="AJ151" s="83"/>
      <c r="AK151" s="83"/>
      <c r="AL151" s="83"/>
      <c r="AM151" s="83"/>
      <c r="AP151" s="83"/>
      <c r="AQ151" s="83"/>
      <c r="AR151" s="83"/>
      <c r="AS151" s="83"/>
      <c r="AT151" s="83"/>
      <c r="AU151" s="83"/>
      <c r="AX151" s="83"/>
      <c r="AY151" s="83"/>
      <c r="AZ151" s="83"/>
      <c r="BA151" s="83"/>
      <c r="BB151" s="83"/>
      <c r="BC151" s="83"/>
      <c r="BF151" s="83"/>
      <c r="BG151" s="83"/>
      <c r="BH151" s="83"/>
      <c r="BI151" s="83"/>
      <c r="BJ151" s="83"/>
      <c r="BK151" s="83"/>
      <c r="BN151" s="83"/>
      <c r="BO151" s="83"/>
      <c r="BP151" s="83"/>
      <c r="BQ151" s="83"/>
      <c r="BR151" s="83"/>
      <c r="BS151" s="83"/>
      <c r="BV151" s="83"/>
      <c r="BW151" s="83"/>
      <c r="BX151" s="83"/>
      <c r="BY151" s="83"/>
      <c r="BZ151" s="83"/>
      <c r="CA151" s="83"/>
      <c r="CD151" s="83"/>
      <c r="CE151" s="83"/>
      <c r="CF151" s="83"/>
      <c r="CG151" s="83"/>
      <c r="CH151" s="83"/>
      <c r="CI151" s="83"/>
      <c r="CL151" s="83"/>
      <c r="CM151" s="83"/>
      <c r="CN151" s="83"/>
      <c r="CO151" s="83"/>
      <c r="CP151" s="83"/>
      <c r="CQ151" s="83"/>
      <c r="CT151" s="83"/>
      <c r="CU151" s="83"/>
      <c r="CV151" s="83"/>
      <c r="CW151" s="83"/>
      <c r="CX151" s="83"/>
      <c r="CY151" s="83"/>
      <c r="DB151" s="83"/>
      <c r="DC151" s="83"/>
      <c r="DD151" s="83"/>
      <c r="DE151" s="83"/>
      <c r="DF151" s="83"/>
      <c r="DG151" s="83"/>
    </row>
    <row r="152" spans="2:113" ht="15" thickBot="1">
      <c r="B152" s="504" t="str">
        <f>B91</f>
        <v>Without IUD-LNG</v>
      </c>
      <c r="C152" s="505"/>
      <c r="D152" s="505"/>
      <c r="E152" s="505"/>
      <c r="F152" s="505"/>
      <c r="G152" s="506"/>
      <c r="J152" s="504" t="str">
        <f>J91</f>
        <v>Without IUD-LNG</v>
      </c>
      <c r="K152" s="505"/>
      <c r="L152" s="505"/>
      <c r="M152" s="505"/>
      <c r="N152" s="505"/>
      <c r="O152" s="506"/>
      <c r="R152" s="504" t="str">
        <f>R91</f>
        <v>Without IUD-LNG</v>
      </c>
      <c r="S152" s="505"/>
      <c r="T152" s="505"/>
      <c r="U152" s="505"/>
      <c r="V152" s="505"/>
      <c r="W152" s="506"/>
      <c r="Z152" s="504" t="str">
        <f>Z91</f>
        <v>Without IUD-LNG</v>
      </c>
      <c r="AA152" s="505"/>
      <c r="AB152" s="505"/>
      <c r="AC152" s="505"/>
      <c r="AD152" s="505"/>
      <c r="AE152" s="506"/>
      <c r="AH152" s="504" t="str">
        <f>AH91</f>
        <v>Without IUD-LNG</v>
      </c>
      <c r="AI152" s="505"/>
      <c r="AJ152" s="505"/>
      <c r="AK152" s="505"/>
      <c r="AL152" s="505"/>
      <c r="AM152" s="506"/>
      <c r="AP152" s="504" t="str">
        <f>AP91</f>
        <v>Without IUD-LNG</v>
      </c>
      <c r="AQ152" s="505"/>
      <c r="AR152" s="505"/>
      <c r="AS152" s="505"/>
      <c r="AT152" s="505"/>
      <c r="AU152" s="506"/>
      <c r="AX152" s="504" t="str">
        <f>AX91</f>
        <v>Without IUD-LNG</v>
      </c>
      <c r="AY152" s="505"/>
      <c r="AZ152" s="505"/>
      <c r="BA152" s="505"/>
      <c r="BB152" s="505"/>
      <c r="BC152" s="506"/>
      <c r="BF152" s="504" t="str">
        <f>BF91</f>
        <v>Without IUD-LNG</v>
      </c>
      <c r="BG152" s="505"/>
      <c r="BH152" s="505"/>
      <c r="BI152" s="505"/>
      <c r="BJ152" s="505"/>
      <c r="BK152" s="506"/>
      <c r="BN152" s="504" t="str">
        <f>BN91</f>
        <v>Without IUD-LNG</v>
      </c>
      <c r="BO152" s="505"/>
      <c r="BP152" s="505"/>
      <c r="BQ152" s="505"/>
      <c r="BR152" s="505"/>
      <c r="BS152" s="506"/>
      <c r="BV152" s="504" t="str">
        <f>BV91</f>
        <v>Without IUD-LNG</v>
      </c>
      <c r="BW152" s="505"/>
      <c r="BX152" s="505"/>
      <c r="BY152" s="505"/>
      <c r="BZ152" s="505"/>
      <c r="CA152" s="506"/>
      <c r="CD152" s="504" t="str">
        <f>CD91</f>
        <v>Without IUD-LNG</v>
      </c>
      <c r="CE152" s="505"/>
      <c r="CF152" s="505"/>
      <c r="CG152" s="505"/>
      <c r="CH152" s="505"/>
      <c r="CI152" s="506"/>
      <c r="CL152" s="504" t="str">
        <f>CL91</f>
        <v>Without IUD-LNG</v>
      </c>
      <c r="CM152" s="505"/>
      <c r="CN152" s="505"/>
      <c r="CO152" s="505"/>
      <c r="CP152" s="505"/>
      <c r="CQ152" s="506"/>
      <c r="CT152" s="504" t="str">
        <f>CT91</f>
        <v>Without IUD-LNG</v>
      </c>
      <c r="CU152" s="505"/>
      <c r="CV152" s="505"/>
      <c r="CW152" s="505"/>
      <c r="CX152" s="505"/>
      <c r="CY152" s="506"/>
      <c r="DB152" s="504" t="str">
        <f>DB91</f>
        <v>Without IUD-LNG</v>
      </c>
      <c r="DC152" s="505"/>
      <c r="DD152" s="505"/>
      <c r="DE152" s="505"/>
      <c r="DF152" s="505"/>
      <c r="DG152" s="506"/>
    </row>
    <row r="153" spans="2:113">
      <c r="B153" s="84"/>
      <c r="C153" s="101">
        <f>C92</f>
        <v>2026</v>
      </c>
      <c r="D153" s="101">
        <f t="shared" ref="D153:F153" si="328">D92</f>
        <v>2027</v>
      </c>
      <c r="E153" s="101">
        <f t="shared" si="328"/>
        <v>2028</v>
      </c>
      <c r="F153" s="101">
        <f t="shared" si="328"/>
        <v>2029</v>
      </c>
      <c r="G153" s="102">
        <f>G92</f>
        <v>2030</v>
      </c>
      <c r="J153" s="84"/>
      <c r="K153" s="101">
        <f>K92</f>
        <v>2026</v>
      </c>
      <c r="L153" s="101">
        <f t="shared" ref="L153:N153" si="329">L92</f>
        <v>2027</v>
      </c>
      <c r="M153" s="101">
        <f t="shared" si="329"/>
        <v>2028</v>
      </c>
      <c r="N153" s="101">
        <f t="shared" si="329"/>
        <v>2029</v>
      </c>
      <c r="O153" s="102">
        <f>O92</f>
        <v>2030</v>
      </c>
      <c r="R153" s="84"/>
      <c r="S153" s="101">
        <f>S92</f>
        <v>2026</v>
      </c>
      <c r="T153" s="101">
        <f t="shared" ref="T153:V153" si="330">T92</f>
        <v>2027</v>
      </c>
      <c r="U153" s="101">
        <f t="shared" si="330"/>
        <v>2028</v>
      </c>
      <c r="V153" s="101">
        <f t="shared" si="330"/>
        <v>2029</v>
      </c>
      <c r="W153" s="102">
        <f>W92</f>
        <v>2030</v>
      </c>
      <c r="Z153" s="84"/>
      <c r="AA153" s="101">
        <f>AA92</f>
        <v>2026</v>
      </c>
      <c r="AB153" s="101">
        <f t="shared" ref="AB153:AD153" si="331">AB92</f>
        <v>2027</v>
      </c>
      <c r="AC153" s="101">
        <f t="shared" si="331"/>
        <v>2028</v>
      </c>
      <c r="AD153" s="101">
        <f t="shared" si="331"/>
        <v>2029</v>
      </c>
      <c r="AE153" s="102">
        <f>AE92</f>
        <v>2030</v>
      </c>
      <c r="AH153" s="84"/>
      <c r="AI153" s="101">
        <f>AI92</f>
        <v>2026</v>
      </c>
      <c r="AJ153" s="101">
        <f t="shared" ref="AJ153:AL153" si="332">AJ92</f>
        <v>2027</v>
      </c>
      <c r="AK153" s="101">
        <f t="shared" si="332"/>
        <v>2028</v>
      </c>
      <c r="AL153" s="101">
        <f t="shared" si="332"/>
        <v>2029</v>
      </c>
      <c r="AM153" s="102">
        <f>AM92</f>
        <v>2030</v>
      </c>
      <c r="AP153" s="84"/>
      <c r="AQ153" s="101">
        <f>AQ92</f>
        <v>2026</v>
      </c>
      <c r="AR153" s="101">
        <f t="shared" ref="AR153:AT153" si="333">AR92</f>
        <v>2027</v>
      </c>
      <c r="AS153" s="101">
        <f t="shared" si="333"/>
        <v>2028</v>
      </c>
      <c r="AT153" s="101">
        <f t="shared" si="333"/>
        <v>2029</v>
      </c>
      <c r="AU153" s="102">
        <f>AU92</f>
        <v>2030</v>
      </c>
      <c r="AX153" s="84"/>
      <c r="AY153" s="101">
        <f>AY92</f>
        <v>2026</v>
      </c>
      <c r="AZ153" s="101">
        <f t="shared" ref="AZ153:BB153" si="334">AZ92</f>
        <v>2027</v>
      </c>
      <c r="BA153" s="101">
        <f t="shared" si="334"/>
        <v>2028</v>
      </c>
      <c r="BB153" s="101">
        <f t="shared" si="334"/>
        <v>2029</v>
      </c>
      <c r="BC153" s="102">
        <f>BC92</f>
        <v>2030</v>
      </c>
      <c r="BF153" s="84"/>
      <c r="BG153" s="101">
        <f>BG92</f>
        <v>2026</v>
      </c>
      <c r="BH153" s="101">
        <f t="shared" ref="BH153:BJ153" si="335">BH92</f>
        <v>2027</v>
      </c>
      <c r="BI153" s="101">
        <f t="shared" si="335"/>
        <v>2028</v>
      </c>
      <c r="BJ153" s="101">
        <f t="shared" si="335"/>
        <v>2029</v>
      </c>
      <c r="BK153" s="102">
        <f>BK92</f>
        <v>2030</v>
      </c>
      <c r="BN153" s="84"/>
      <c r="BO153" s="101">
        <f>BO92</f>
        <v>2026</v>
      </c>
      <c r="BP153" s="101">
        <f t="shared" ref="BP153:BR153" si="336">BP92</f>
        <v>2027</v>
      </c>
      <c r="BQ153" s="101">
        <f t="shared" si="336"/>
        <v>2028</v>
      </c>
      <c r="BR153" s="101">
        <f t="shared" si="336"/>
        <v>2029</v>
      </c>
      <c r="BS153" s="102">
        <f>BS92</f>
        <v>2030</v>
      </c>
      <c r="BV153" s="84"/>
      <c r="BW153" s="101">
        <f>BW92</f>
        <v>2026</v>
      </c>
      <c r="BX153" s="101">
        <f t="shared" ref="BX153:BZ153" si="337">BX92</f>
        <v>2027</v>
      </c>
      <c r="BY153" s="101">
        <f t="shared" si="337"/>
        <v>2028</v>
      </c>
      <c r="BZ153" s="101">
        <f t="shared" si="337"/>
        <v>2029</v>
      </c>
      <c r="CA153" s="102">
        <f>CA92</f>
        <v>2030</v>
      </c>
      <c r="CD153" s="84"/>
      <c r="CE153" s="101">
        <f>CE92</f>
        <v>2026</v>
      </c>
      <c r="CF153" s="101">
        <f t="shared" ref="CF153:CH153" si="338">CF92</f>
        <v>2027</v>
      </c>
      <c r="CG153" s="101">
        <f t="shared" si="338"/>
        <v>2028</v>
      </c>
      <c r="CH153" s="101">
        <f t="shared" si="338"/>
        <v>2029</v>
      </c>
      <c r="CI153" s="102">
        <f>CI92</f>
        <v>2030</v>
      </c>
      <c r="CL153" s="84"/>
      <c r="CM153" s="101">
        <f>CM92</f>
        <v>2026</v>
      </c>
      <c r="CN153" s="101">
        <f t="shared" ref="CN153:CP153" si="339">CN92</f>
        <v>2027</v>
      </c>
      <c r="CO153" s="101">
        <f t="shared" si="339"/>
        <v>2028</v>
      </c>
      <c r="CP153" s="101">
        <f t="shared" si="339"/>
        <v>2029</v>
      </c>
      <c r="CQ153" s="102">
        <f>CQ92</f>
        <v>2030</v>
      </c>
      <c r="CT153" s="84"/>
      <c r="CU153" s="101">
        <f>CU92</f>
        <v>2026</v>
      </c>
      <c r="CV153" s="101">
        <f t="shared" ref="CV153:CX153" si="340">CV92</f>
        <v>2027</v>
      </c>
      <c r="CW153" s="101">
        <f t="shared" si="340"/>
        <v>2028</v>
      </c>
      <c r="CX153" s="101">
        <f t="shared" si="340"/>
        <v>2029</v>
      </c>
      <c r="CY153" s="102">
        <f>CY92</f>
        <v>2030</v>
      </c>
      <c r="DB153" s="84"/>
      <c r="DC153" s="101">
        <f>DC92</f>
        <v>2026</v>
      </c>
      <c r="DD153" s="101">
        <f t="shared" ref="DD153:DF153" si="341">DD92</f>
        <v>2027</v>
      </c>
      <c r="DE153" s="101">
        <f t="shared" si="341"/>
        <v>2028</v>
      </c>
      <c r="DF153" s="101">
        <f t="shared" si="341"/>
        <v>2029</v>
      </c>
      <c r="DG153" s="102">
        <f>DG92</f>
        <v>2030</v>
      </c>
    </row>
    <row r="154" spans="2:113">
      <c r="B154" s="87" t="s">
        <v>170</v>
      </c>
      <c r="C154" s="109">
        <f ca="1">(C28*ci_int1)+(C28*ct_int1*'Time on treatment'!$D$12)</f>
        <v>0</v>
      </c>
      <c r="D154" s="109">
        <f ca="1">(D28*ct_int1*'Time on treatment'!$E$12)</f>
        <v>0</v>
      </c>
      <c r="E154" s="109">
        <f ca="1">(E28*ct_int1*'Time on treatment'!$F$12)</f>
        <v>0</v>
      </c>
      <c r="F154" s="109">
        <f ca="1">(F28*ct_int1*'Time on treatment'!$G$12)</f>
        <v>0</v>
      </c>
      <c r="G154" s="110">
        <f ca="1">(G28*ct_int1*'Time on treatment'!$H$12)</f>
        <v>0</v>
      </c>
      <c r="J154" s="87" t="s">
        <v>170</v>
      </c>
      <c r="K154" s="109">
        <f ca="1">(K28*ci_int2)+(K28*ct_int2*'Time on treatment'!$D$13)</f>
        <v>0</v>
      </c>
      <c r="L154" s="109">
        <f ca="1">(L28*ct_int2*'Time on treatment'!$E$13)</f>
        <v>0</v>
      </c>
      <c r="M154" s="109">
        <f ca="1">(M28*ct_int2*'Time on treatment'!$F$13)</f>
        <v>0</v>
      </c>
      <c r="N154" s="109">
        <f ca="1">(N28*ct_int2*'Time on treatment'!$G$13)</f>
        <v>0</v>
      </c>
      <c r="O154" s="110">
        <f ca="1">(O28*ct_int2*'Time on treatment'!$H$13)</f>
        <v>0</v>
      </c>
      <c r="R154" s="87" t="s">
        <v>170</v>
      </c>
      <c r="S154" s="109">
        <f ca="1">(S28*ci_int3)+(S28*ct_int3*'Time on treatment'!$D$14)</f>
        <v>0</v>
      </c>
      <c r="T154" s="109">
        <f ca="1">(T28*ct_int3*'Time on treatment'!$E$14)</f>
        <v>0</v>
      </c>
      <c r="U154" s="109">
        <f ca="1">(U28*ct_int3*'Time on treatment'!$F$14)</f>
        <v>0</v>
      </c>
      <c r="V154" s="109">
        <f ca="1">(V28*ct_int3*'Time on treatment'!$G$14)</f>
        <v>0</v>
      </c>
      <c r="W154" s="110">
        <f ca="1">(W28*ct_int3*'Time on treatment'!$H$14)</f>
        <v>0</v>
      </c>
      <c r="Z154" s="87" t="s">
        <v>170</v>
      </c>
      <c r="AA154" s="109">
        <f ca="1">(AA28*ci_int4)+(AA28*ct_int4*'Time on treatment'!$D$15)</f>
        <v>0</v>
      </c>
      <c r="AB154" s="109">
        <f ca="1">(AB28*ct_int4*'Time on treatment'!$E$15)</f>
        <v>0</v>
      </c>
      <c r="AC154" s="109">
        <f ca="1">(AC28*ct_int4*'Time on treatment'!$F$15)</f>
        <v>0</v>
      </c>
      <c r="AD154" s="109">
        <f ca="1">(AD28*ct_int4*'Time on treatment'!$G$15)</f>
        <v>0</v>
      </c>
      <c r="AE154" s="110">
        <f ca="1">(AE28*ct_int4*'Time on treatment'!$H$15)</f>
        <v>0</v>
      </c>
      <c r="AH154" s="87" t="s">
        <v>170</v>
      </c>
      <c r="AI154" s="109">
        <f ca="1">(AI28*ci_comp1)+(AI28*ct_comp1*'Time on treatment'!$D$19)</f>
        <v>5487460.7252860991</v>
      </c>
      <c r="AJ154" s="109">
        <f ca="1">(AJ28*ct_comp1*'Time on treatment'!$E$19)</f>
        <v>5487460.7252860991</v>
      </c>
      <c r="AK154" s="109">
        <f ca="1">(AK28*ct_comp1*'Time on treatment'!$F$19)</f>
        <v>5487460.7252860991</v>
      </c>
      <c r="AL154" s="109">
        <f ca="1">(AL28*ct_comp1*'Time on treatment'!$G$19)</f>
        <v>5487460.7252860991</v>
      </c>
      <c r="AM154" s="110">
        <f ca="1">(AM28*ct_comp1*'Time on treatment'!$H$19)</f>
        <v>5487460.7252860991</v>
      </c>
      <c r="AP154" s="87" t="s">
        <v>170</v>
      </c>
      <c r="AQ154" s="109">
        <f ca="1">(AQ28*ci_comp2)+(AQ28*ct_comp2*'Time on treatment'!$D$20)</f>
        <v>0</v>
      </c>
      <c r="AR154" s="109">
        <f ca="1">(AR28*ct_comp2*'Time on treatment'!$E$20)</f>
        <v>0</v>
      </c>
      <c r="AS154" s="109">
        <f ca="1">(AS28*ct_comp2*'Time on treatment'!$F$20)</f>
        <v>0</v>
      </c>
      <c r="AT154" s="109">
        <f ca="1">(AT28*ct_comp2*'Time on treatment'!$G$20)</f>
        <v>0</v>
      </c>
      <c r="AU154" s="110">
        <f ca="1">(AU28*ct_comp2*'Time on treatment'!$H$20)</f>
        <v>0</v>
      </c>
      <c r="AX154" s="87" t="s">
        <v>170</v>
      </c>
      <c r="AY154" s="109">
        <f ca="1">(AY28*ci_comp3)+(AY28*ct_comp3*'Time on treatment'!$D$21)</f>
        <v>0</v>
      </c>
      <c r="AZ154" s="109">
        <f ca="1">(AZ28*ct_comp3*'Time on treatment'!$E$21)</f>
        <v>0</v>
      </c>
      <c r="BA154" s="109">
        <f ca="1">(BA28*ct_comp3*'Time on treatment'!$F$21)</f>
        <v>0</v>
      </c>
      <c r="BB154" s="109">
        <f ca="1">(BB28*ct_comp3*'Time on treatment'!$G$21)</f>
        <v>0</v>
      </c>
      <c r="BC154" s="110">
        <f ca="1">(BC28*ct_comp3*'Time on treatment'!$H$21)</f>
        <v>0</v>
      </c>
      <c r="BF154" s="87" t="s">
        <v>170</v>
      </c>
      <c r="BG154" s="109">
        <f ca="1">(BG28*ci_comp4)+(BG28*ct_comp4*'Time on treatment'!$D$22)</f>
        <v>0</v>
      </c>
      <c r="BH154" s="109">
        <f ca="1">(BH28*ct_comp4*'Time on treatment'!$E$22)</f>
        <v>0</v>
      </c>
      <c r="BI154" s="109">
        <f ca="1">(BI28*ct_comp4*'Time on treatment'!$F$22)</f>
        <v>0</v>
      </c>
      <c r="BJ154" s="109">
        <f ca="1">(BJ28*ct_comp4*'Time on treatment'!$G$22)</f>
        <v>0</v>
      </c>
      <c r="BK154" s="110">
        <f ca="1">(BK28*ct_comp4*'Time on treatment'!$H$22)</f>
        <v>0</v>
      </c>
      <c r="BN154" s="87" t="s">
        <v>170</v>
      </c>
      <c r="BO154" s="109">
        <f ca="1">(BO28*ci_comp5)+(BO28*ct_comp5*'Time on treatment'!$D$23)</f>
        <v>0</v>
      </c>
      <c r="BP154" s="109">
        <f ca="1">(BP28*ct_comp5*'Time on treatment'!$E$23)</f>
        <v>0</v>
      </c>
      <c r="BQ154" s="109">
        <f ca="1">(BQ28*ct_comp5*'Time on treatment'!$F$23)</f>
        <v>0</v>
      </c>
      <c r="BR154" s="109">
        <f ca="1">(BR28*ct_comp5*'Time on treatment'!$G$23)</f>
        <v>0</v>
      </c>
      <c r="BS154" s="110">
        <f ca="1">(BS28*ct_comp5*'Time on treatment'!$H$23)</f>
        <v>0</v>
      </c>
      <c r="BV154" s="87" t="s">
        <v>170</v>
      </c>
      <c r="BW154" s="109">
        <f ca="1">(BW28*ci_comp6)+(BW28*ct_comp6*'Time on treatment'!$D$24)</f>
        <v>0</v>
      </c>
      <c r="BX154" s="109">
        <f ca="1">(BX28*ct_comp6*'Time on treatment'!$E$24)</f>
        <v>0</v>
      </c>
      <c r="BY154" s="109">
        <f ca="1">(BY28*ct_comp6*'Time on treatment'!$F$24)</f>
        <v>0</v>
      </c>
      <c r="BZ154" s="109">
        <f ca="1">(BZ28*ct_comp6*'Time on treatment'!$G$24)</f>
        <v>0</v>
      </c>
      <c r="CA154" s="110">
        <f ca="1">(CA28*ct_comp6*'Time on treatment'!$H$24)</f>
        <v>0</v>
      </c>
      <c r="CD154" s="87" t="s">
        <v>170</v>
      </c>
      <c r="CE154" s="109">
        <f ca="1">(CE28*ci_comp7)+(CE28*ct_comp7*'Time on treatment'!$D$25)</f>
        <v>0</v>
      </c>
      <c r="CF154" s="109">
        <f ca="1">(CF28*ct_comp7*'Time on treatment'!$E$25)</f>
        <v>0</v>
      </c>
      <c r="CG154" s="109">
        <f ca="1">(CG28*ct_comp7*'Time on treatment'!$F$25)</f>
        <v>0</v>
      </c>
      <c r="CH154" s="109">
        <f ca="1">(CH28*ct_comp7*'Time on treatment'!$G$25)</f>
        <v>0</v>
      </c>
      <c r="CI154" s="110">
        <f ca="1">(CI28*ct_comp7*'Time on treatment'!$H$25)</f>
        <v>0</v>
      </c>
      <c r="CL154" s="87" t="s">
        <v>170</v>
      </c>
      <c r="CM154" s="109">
        <f ca="1">(CM28*ci_comp8)+(CM28*ct_comp8*'Time on treatment'!$D$26)</f>
        <v>0</v>
      </c>
      <c r="CN154" s="109">
        <f ca="1">(CN28*ct_comp8*'Time on treatment'!$E$26)</f>
        <v>0</v>
      </c>
      <c r="CO154" s="109">
        <f ca="1">(CO28*ct_comp8*'Time on treatment'!$F$26)</f>
        <v>0</v>
      </c>
      <c r="CP154" s="109">
        <f ca="1">(CP28*ct_comp8*'Time on treatment'!$G$26)</f>
        <v>0</v>
      </c>
      <c r="CQ154" s="110">
        <f ca="1">(CQ28*ct_comp8*'Time on treatment'!$H$26)</f>
        <v>0</v>
      </c>
      <c r="CT154" s="87" t="s">
        <v>170</v>
      </c>
      <c r="CU154" s="109">
        <f ca="1">(CU28*ci_comp9)+(CU28*ct_comp9*'Time on treatment'!$D$27)</f>
        <v>0</v>
      </c>
      <c r="CV154" s="109">
        <f ca="1">(CV28*ct_comp9*'Time on treatment'!$E$27)</f>
        <v>0</v>
      </c>
      <c r="CW154" s="109">
        <f ca="1">(CW28*ct_comp9*'Time on treatment'!$F$27)</f>
        <v>0</v>
      </c>
      <c r="CX154" s="109">
        <f ca="1">(CX28*ct_comp9*'Time on treatment'!$G$27)</f>
        <v>0</v>
      </c>
      <c r="CY154" s="110">
        <f ca="1">(CY28*ct_comp9*'Time on treatment'!$H$27)</f>
        <v>0</v>
      </c>
      <c r="DB154" s="87" t="s">
        <v>170</v>
      </c>
      <c r="DC154" s="109">
        <f ca="1">(DC28*ci_comp10)+(DC28*ct_comp10*'Time on treatment'!$D$28)</f>
        <v>0</v>
      </c>
      <c r="DD154" s="109">
        <f ca="1">(DD28*ct_comp10*'Time on treatment'!$E$28)</f>
        <v>0</v>
      </c>
      <c r="DE154" s="109">
        <f ca="1">(DE28*ct_comp10*'Time on treatment'!$F$28)</f>
        <v>0</v>
      </c>
      <c r="DF154" s="109">
        <f ca="1">(DF28*ct_comp10*'Time on treatment'!$G$28)</f>
        <v>0</v>
      </c>
      <c r="DG154" s="110">
        <f ca="1">(DG28*ct_comp10*'Time on treatment'!$H$28)</f>
        <v>0</v>
      </c>
    </row>
    <row r="155" spans="2:113">
      <c r="B155" s="87" t="s">
        <v>175</v>
      </c>
      <c r="C155" s="109"/>
      <c r="D155" s="109"/>
      <c r="E155" s="109"/>
      <c r="F155" s="109"/>
      <c r="G155" s="110"/>
      <c r="J155" s="87" t="s">
        <v>175</v>
      </c>
      <c r="K155" s="109"/>
      <c r="L155" s="109"/>
      <c r="M155" s="109"/>
      <c r="N155" s="109"/>
      <c r="O155" s="110"/>
      <c r="R155" s="87" t="s">
        <v>175</v>
      </c>
      <c r="S155" s="109"/>
      <c r="T155" s="109"/>
      <c r="U155" s="109"/>
      <c r="V155" s="109"/>
      <c r="W155" s="110"/>
      <c r="Z155" s="87" t="s">
        <v>175</v>
      </c>
      <c r="AA155" s="109"/>
      <c r="AB155" s="109"/>
      <c r="AC155" s="109"/>
      <c r="AD155" s="109"/>
      <c r="AE155" s="110"/>
      <c r="AH155" s="87" t="s">
        <v>175</v>
      </c>
      <c r="AI155" s="109"/>
      <c r="AJ155" s="109"/>
      <c r="AK155" s="109"/>
      <c r="AL155" s="109"/>
      <c r="AM155" s="110"/>
      <c r="AP155" s="87" t="s">
        <v>175</v>
      </c>
      <c r="AQ155" s="109"/>
      <c r="AR155" s="109"/>
      <c r="AS155" s="109"/>
      <c r="AT155" s="109"/>
      <c r="AU155" s="110"/>
      <c r="AX155" s="87" t="s">
        <v>175</v>
      </c>
      <c r="AY155" s="109"/>
      <c r="AZ155" s="109"/>
      <c r="BA155" s="109"/>
      <c r="BB155" s="109"/>
      <c r="BC155" s="110"/>
      <c r="BF155" s="87" t="s">
        <v>175</v>
      </c>
      <c r="BG155" s="109"/>
      <c r="BH155" s="109"/>
      <c r="BI155" s="109"/>
      <c r="BJ155" s="109"/>
      <c r="BK155" s="110"/>
      <c r="BN155" s="87" t="s">
        <v>175</v>
      </c>
      <c r="BO155" s="109"/>
      <c r="BP155" s="109"/>
      <c r="BQ155" s="109"/>
      <c r="BR155" s="109"/>
      <c r="BS155" s="110"/>
      <c r="BV155" s="87" t="s">
        <v>175</v>
      </c>
      <c r="BW155" s="109"/>
      <c r="BX155" s="109"/>
      <c r="BY155" s="109"/>
      <c r="BZ155" s="109"/>
      <c r="CA155" s="110"/>
      <c r="CD155" s="87" t="s">
        <v>175</v>
      </c>
      <c r="CE155" s="109"/>
      <c r="CF155" s="109"/>
      <c r="CG155" s="109"/>
      <c r="CH155" s="109"/>
      <c r="CI155" s="110"/>
      <c r="CL155" s="87" t="s">
        <v>175</v>
      </c>
      <c r="CM155" s="109"/>
      <c r="CN155" s="109"/>
      <c r="CO155" s="109"/>
      <c r="CP155" s="109"/>
      <c r="CQ155" s="110"/>
      <c r="CT155" s="87" t="s">
        <v>175</v>
      </c>
      <c r="CU155" s="109"/>
      <c r="CV155" s="109"/>
      <c r="CW155" s="109"/>
      <c r="CX155" s="109"/>
      <c r="CY155" s="110"/>
      <c r="DB155" s="87" t="s">
        <v>175</v>
      </c>
      <c r="DC155" s="109"/>
      <c r="DD155" s="109"/>
      <c r="DE155" s="109"/>
      <c r="DF155" s="109"/>
      <c r="DG155" s="110"/>
    </row>
    <row r="156" spans="2:113">
      <c r="B156" s="87" t="s">
        <v>171</v>
      </c>
      <c r="C156" s="111"/>
      <c r="D156" s="109">
        <f ca="1">(D30*ci_int1)+(D30*ct_int1*'Time on treatment'!$D$12)</f>
        <v>0</v>
      </c>
      <c r="E156" s="109">
        <f ca="1">(E30*ct_int1*'Time on treatment'!$E$12)</f>
        <v>0</v>
      </c>
      <c r="F156" s="109">
        <f ca="1">(F30*ct_int1*'Time on treatment'!$F$12)</f>
        <v>0</v>
      </c>
      <c r="G156" s="110">
        <f ca="1">(G30*ct_int1*'Time on treatment'!$G$12)</f>
        <v>0</v>
      </c>
      <c r="J156" s="87" t="s">
        <v>171</v>
      </c>
      <c r="K156" s="111"/>
      <c r="L156" s="109">
        <f ca="1">(L30*ci_int2)+(L30*ct_int2*'Time on treatment'!$D$13)</f>
        <v>0</v>
      </c>
      <c r="M156" s="109">
        <f ca="1">(M30*ct_int2*'Time on treatment'!$E$13)</f>
        <v>0</v>
      </c>
      <c r="N156" s="109">
        <f ca="1">(N30*ct_int2*'Time on treatment'!$F$13)</f>
        <v>0</v>
      </c>
      <c r="O156" s="110">
        <f ca="1">(O30*ct_int2*'Time on treatment'!$G$13)</f>
        <v>0</v>
      </c>
      <c r="R156" s="87" t="s">
        <v>171</v>
      </c>
      <c r="S156" s="111"/>
      <c r="T156" s="109">
        <f ca="1">(T30*ci_int3)+(T30*ct_int3*'Time on treatment'!$D$14)</f>
        <v>0</v>
      </c>
      <c r="U156" s="109">
        <f ca="1">(U30*ct_int3*'Time on treatment'!$E$14)</f>
        <v>0</v>
      </c>
      <c r="V156" s="109">
        <f ca="1">(V30*ct_int3*'Time on treatment'!$F$14)</f>
        <v>0</v>
      </c>
      <c r="W156" s="110">
        <f ca="1">(W30*ct_int3*'Time on treatment'!$G$14)</f>
        <v>0</v>
      </c>
      <c r="Z156" s="87" t="s">
        <v>171</v>
      </c>
      <c r="AA156" s="111"/>
      <c r="AB156" s="109">
        <f ca="1">(AB30*ci_int4)+(AB30*ct_int4*'Time on treatment'!$D$15)</f>
        <v>0</v>
      </c>
      <c r="AC156" s="109">
        <f ca="1">(AC30*ct_int4*'Time on treatment'!$E$15)</f>
        <v>0</v>
      </c>
      <c r="AD156" s="109">
        <f ca="1">(AD30*ct_int4*'Time on treatment'!$F$15)</f>
        <v>0</v>
      </c>
      <c r="AE156" s="110">
        <f ca="1">(AE30*ct_int4*'Time on treatment'!$G$15)</f>
        <v>0</v>
      </c>
      <c r="AH156" s="87" t="s">
        <v>171</v>
      </c>
      <c r="AI156" s="111"/>
      <c r="AJ156" s="109">
        <f ca="1">(AJ30*ci_comp1)+(AJ30*ct_comp1*'Time on treatment'!$D$19)</f>
        <v>5467685.6632549856</v>
      </c>
      <c r="AK156" s="109">
        <f ca="1">(AK30*ct_comp1*'Time on treatment'!$E$19)</f>
        <v>5467685.6632549856</v>
      </c>
      <c r="AL156" s="109">
        <f ca="1">(AL30*ct_comp1*'Time on treatment'!$F$19)</f>
        <v>5467685.6632549856</v>
      </c>
      <c r="AM156" s="110">
        <f ca="1">(AM30*ct_comp1*'Time on treatment'!$G$19)</f>
        <v>5467685.6632549856</v>
      </c>
      <c r="AP156" s="87" t="s">
        <v>171</v>
      </c>
      <c r="AQ156" s="111"/>
      <c r="AR156" s="109">
        <f ca="1">(AR30*ci_comp2)+(AR30*ct_comp2*'Time on treatment'!$D$20)</f>
        <v>0</v>
      </c>
      <c r="AS156" s="109">
        <f ca="1">(AS30*ct_comp2*'Time on treatment'!$E$20)</f>
        <v>0</v>
      </c>
      <c r="AT156" s="109">
        <f ca="1">(AT30*ct_comp2*'Time on treatment'!$F$20)</f>
        <v>0</v>
      </c>
      <c r="AU156" s="110">
        <f ca="1">(AU30*ct_comp2*'Time on treatment'!$G$20)</f>
        <v>0</v>
      </c>
      <c r="AX156" s="87" t="s">
        <v>171</v>
      </c>
      <c r="AY156" s="111"/>
      <c r="AZ156" s="109">
        <f ca="1">(AZ30*ci_comp3)+(AZ30*ct_comp3*'Time on treatment'!$D$21)</f>
        <v>0</v>
      </c>
      <c r="BA156" s="109">
        <f ca="1">(BA30*ct_comp3*'Time on treatment'!$E$21)</f>
        <v>0</v>
      </c>
      <c r="BB156" s="109">
        <f ca="1">(BB30*ct_comp3*'Time on treatment'!$F$21)</f>
        <v>0</v>
      </c>
      <c r="BC156" s="110">
        <f ca="1">(BC30*ct_comp3*'Time on treatment'!$G$21)</f>
        <v>0</v>
      </c>
      <c r="BF156" s="87" t="s">
        <v>171</v>
      </c>
      <c r="BG156" s="111"/>
      <c r="BH156" s="109">
        <f ca="1">(BH30*ci_comp4)+(BH30*ct_comp4*'Time on treatment'!$D$22)</f>
        <v>0</v>
      </c>
      <c r="BI156" s="109">
        <f ca="1">(BI30*ct_comp4*'Time on treatment'!$E$22)</f>
        <v>0</v>
      </c>
      <c r="BJ156" s="109">
        <f ca="1">(BJ30*ct_comp4*'Time on treatment'!$F$22)</f>
        <v>0</v>
      </c>
      <c r="BK156" s="110">
        <f ca="1">(BK30*ct_comp4*'Time on treatment'!$G$22)</f>
        <v>0</v>
      </c>
      <c r="BN156" s="87" t="s">
        <v>171</v>
      </c>
      <c r="BO156" s="111"/>
      <c r="BP156" s="109">
        <f ca="1">(BP30*ci_comp5)+(BP30*ct_comp5*'Time on treatment'!$D$23)</f>
        <v>0</v>
      </c>
      <c r="BQ156" s="109">
        <f ca="1">(BQ30*ct_comp5*'Time on treatment'!$E$23)</f>
        <v>0</v>
      </c>
      <c r="BR156" s="109">
        <f ca="1">(BR30*ct_comp5*'Time on treatment'!$F$23)</f>
        <v>0</v>
      </c>
      <c r="BS156" s="110">
        <f ca="1">(BS30*ct_comp5*'Time on treatment'!$G$23)</f>
        <v>0</v>
      </c>
      <c r="BV156" s="87" t="s">
        <v>171</v>
      </c>
      <c r="BW156" s="111"/>
      <c r="BX156" s="109">
        <f ca="1">(BX30*ci_comp6)+(BX30*ct_comp6*'Time on treatment'!$D$24)</f>
        <v>0</v>
      </c>
      <c r="BY156" s="109">
        <f ca="1">(BY30*ct_comp6*'Time on treatment'!$E$24)</f>
        <v>0</v>
      </c>
      <c r="BZ156" s="109">
        <f ca="1">(BZ30*ct_comp6*'Time on treatment'!$F$24)</f>
        <v>0</v>
      </c>
      <c r="CA156" s="110">
        <f ca="1">(CA30*ct_comp6*'Time on treatment'!$G$24)</f>
        <v>0</v>
      </c>
      <c r="CD156" s="87" t="s">
        <v>171</v>
      </c>
      <c r="CE156" s="111"/>
      <c r="CF156" s="109">
        <f ca="1">(CF30*ci_comp7)+(CF30*ct_comp7*'Time on treatment'!$D$25)</f>
        <v>0</v>
      </c>
      <c r="CG156" s="109">
        <f ca="1">(CG30*ct_comp7*'Time on treatment'!$E$25)</f>
        <v>0</v>
      </c>
      <c r="CH156" s="109">
        <f ca="1">(CH30*ct_comp7*'Time on treatment'!$F$25)</f>
        <v>0</v>
      </c>
      <c r="CI156" s="110">
        <f ca="1">(CI30*ct_comp7*'Time on treatment'!$G$25)</f>
        <v>0</v>
      </c>
      <c r="CL156" s="87" t="s">
        <v>171</v>
      </c>
      <c r="CM156" s="111"/>
      <c r="CN156" s="109">
        <f ca="1">(CN30*ci_comp8)+(CN30*ct_comp8*'Time on treatment'!$D$26)</f>
        <v>0</v>
      </c>
      <c r="CO156" s="109">
        <f ca="1">(CO30*ct_comp8*'Time on treatment'!$E$26)</f>
        <v>0</v>
      </c>
      <c r="CP156" s="109">
        <f ca="1">(CP30*ct_comp8*'Time on treatment'!$F$26)</f>
        <v>0</v>
      </c>
      <c r="CQ156" s="110">
        <f ca="1">(CQ30*ct_comp8*'Time on treatment'!$G$26)</f>
        <v>0</v>
      </c>
      <c r="CT156" s="87" t="s">
        <v>171</v>
      </c>
      <c r="CU156" s="111"/>
      <c r="CV156" s="109">
        <f ca="1">(CV30*ci_comp9)+(CV30*ct_comp9*'Time on treatment'!$D$27)</f>
        <v>0</v>
      </c>
      <c r="CW156" s="109">
        <f ca="1">(CW30*ct_comp9*'Time on treatment'!$E$27)</f>
        <v>0</v>
      </c>
      <c r="CX156" s="109">
        <f ca="1">(CX30*ct_comp9*'Time on treatment'!$F$27)</f>
        <v>0</v>
      </c>
      <c r="CY156" s="110">
        <f ca="1">(CY30*ct_comp9*'Time on treatment'!$G$27)</f>
        <v>0</v>
      </c>
      <c r="DB156" s="87" t="s">
        <v>171</v>
      </c>
      <c r="DC156" s="111"/>
      <c r="DD156" s="109">
        <f ca="1">(DD30*ci_comp10)+(DD30*ct_comp10*'Time on treatment'!$D$28)</f>
        <v>0</v>
      </c>
      <c r="DE156" s="109">
        <f ca="1">(DE30*ct_comp10*'Time on treatment'!$E$28)</f>
        <v>0</v>
      </c>
      <c r="DF156" s="109">
        <f ca="1">(DF30*ct_comp10*'Time on treatment'!$F$28)</f>
        <v>0</v>
      </c>
      <c r="DG156" s="110">
        <f ca="1">(DG30*ct_comp10*'Time on treatment'!$G$28)</f>
        <v>0</v>
      </c>
    </row>
    <row r="157" spans="2:113">
      <c r="B157" s="87" t="s">
        <v>176</v>
      </c>
      <c r="C157" s="111"/>
      <c r="D157" s="109"/>
      <c r="E157" s="109"/>
      <c r="F157" s="109"/>
      <c r="G157" s="110"/>
      <c r="J157" s="87" t="s">
        <v>176</v>
      </c>
      <c r="K157" s="111"/>
      <c r="L157" s="109"/>
      <c r="M157" s="109"/>
      <c r="N157" s="109"/>
      <c r="O157" s="110"/>
      <c r="R157" s="87" t="s">
        <v>176</v>
      </c>
      <c r="S157" s="111"/>
      <c r="T157" s="109"/>
      <c r="U157" s="109"/>
      <c r="V157" s="109"/>
      <c r="W157" s="110"/>
      <c r="Z157" s="87" t="s">
        <v>176</v>
      </c>
      <c r="AA157" s="111"/>
      <c r="AB157" s="109"/>
      <c r="AC157" s="109"/>
      <c r="AD157" s="109"/>
      <c r="AE157" s="110"/>
      <c r="AH157" s="87" t="s">
        <v>176</v>
      </c>
      <c r="AI157" s="111"/>
      <c r="AJ157" s="109"/>
      <c r="AK157" s="109"/>
      <c r="AL157" s="109"/>
      <c r="AM157" s="110"/>
      <c r="AP157" s="87" t="s">
        <v>176</v>
      </c>
      <c r="AQ157" s="111"/>
      <c r="AR157" s="109"/>
      <c r="AS157" s="109"/>
      <c r="AT157" s="109"/>
      <c r="AU157" s="110"/>
      <c r="AX157" s="87" t="s">
        <v>176</v>
      </c>
      <c r="AY157" s="111"/>
      <c r="AZ157" s="109"/>
      <c r="BA157" s="109"/>
      <c r="BB157" s="109"/>
      <c r="BC157" s="110"/>
      <c r="BF157" s="87" t="s">
        <v>176</v>
      </c>
      <c r="BG157" s="111"/>
      <c r="BH157" s="109"/>
      <c r="BI157" s="109"/>
      <c r="BJ157" s="109"/>
      <c r="BK157" s="110"/>
      <c r="BN157" s="87" t="s">
        <v>176</v>
      </c>
      <c r="BO157" s="111"/>
      <c r="BP157" s="109"/>
      <c r="BQ157" s="109"/>
      <c r="BR157" s="109"/>
      <c r="BS157" s="110"/>
      <c r="BV157" s="87" t="s">
        <v>176</v>
      </c>
      <c r="BW157" s="111"/>
      <c r="BX157" s="109"/>
      <c r="BY157" s="109"/>
      <c r="BZ157" s="109"/>
      <c r="CA157" s="110"/>
      <c r="CD157" s="87" t="s">
        <v>176</v>
      </c>
      <c r="CE157" s="111"/>
      <c r="CF157" s="109"/>
      <c r="CG157" s="109"/>
      <c r="CH157" s="109"/>
      <c r="CI157" s="110"/>
      <c r="CL157" s="87" t="s">
        <v>176</v>
      </c>
      <c r="CM157" s="111"/>
      <c r="CN157" s="109"/>
      <c r="CO157" s="109"/>
      <c r="CP157" s="109"/>
      <c r="CQ157" s="110"/>
      <c r="CT157" s="87" t="s">
        <v>176</v>
      </c>
      <c r="CU157" s="111"/>
      <c r="CV157" s="109"/>
      <c r="CW157" s="109"/>
      <c r="CX157" s="109"/>
      <c r="CY157" s="110"/>
      <c r="DB157" s="87" t="s">
        <v>176</v>
      </c>
      <c r="DC157" s="111"/>
      <c r="DD157" s="109"/>
      <c r="DE157" s="109"/>
      <c r="DF157" s="109"/>
      <c r="DG157" s="110"/>
    </row>
    <row r="158" spans="2:113">
      <c r="B158" s="87" t="s">
        <v>172</v>
      </c>
      <c r="C158" s="111"/>
      <c r="D158" s="111"/>
      <c r="E158" s="109">
        <f ca="1">(E32*ci_int1)+(E32*ct_int1*'Time on treatment'!$D$12)</f>
        <v>0</v>
      </c>
      <c r="F158" s="109">
        <f ca="1">(F32*ct_int1*'Time on treatment'!$E$12)</f>
        <v>0</v>
      </c>
      <c r="G158" s="110">
        <f ca="1">(G32*ct_int1*'Time on treatment'!$F$12)</f>
        <v>0</v>
      </c>
      <c r="J158" s="87" t="s">
        <v>172</v>
      </c>
      <c r="K158" s="111"/>
      <c r="L158" s="111"/>
      <c r="M158" s="109">
        <f ca="1">(M32*ci_int2)+(M32*ct_int2*'Time on treatment'!$D$13)</f>
        <v>0</v>
      </c>
      <c r="N158" s="109">
        <f ca="1">(N32*ct_int2*'Time on treatment'!$E$13)</f>
        <v>0</v>
      </c>
      <c r="O158" s="110">
        <f ca="1">(O32*ct_int2*'Time on treatment'!$F$13)</f>
        <v>0</v>
      </c>
      <c r="R158" s="87" t="s">
        <v>172</v>
      </c>
      <c r="S158" s="111"/>
      <c r="T158" s="111"/>
      <c r="U158" s="109">
        <f ca="1">(U32*ci_int3)+(U32*ct_int3*'Time on treatment'!$D$14)</f>
        <v>0</v>
      </c>
      <c r="V158" s="109">
        <f ca="1">(V32*ct_int3*'Time on treatment'!$E$14)</f>
        <v>0</v>
      </c>
      <c r="W158" s="110">
        <f ca="1">(W32*ct_int3*'Time on treatment'!$F$14)</f>
        <v>0</v>
      </c>
      <c r="Z158" s="87" t="s">
        <v>172</v>
      </c>
      <c r="AA158" s="111"/>
      <c r="AB158" s="111"/>
      <c r="AC158" s="109">
        <f ca="1">(AC32*ci_int4)+(AC32*ct_int4*'Time on treatment'!$D$15)</f>
        <v>0</v>
      </c>
      <c r="AD158" s="109">
        <f ca="1">(AD32*ct_int4*'Time on treatment'!$E$15)</f>
        <v>0</v>
      </c>
      <c r="AE158" s="110">
        <f ca="1">(AE32*ct_int4*'Time on treatment'!$F$15)</f>
        <v>0</v>
      </c>
      <c r="AH158" s="87" t="s">
        <v>172</v>
      </c>
      <c r="AI158" s="111"/>
      <c r="AJ158" s="111"/>
      <c r="AK158" s="109">
        <f ca="1">(AK32*ci_comp1)+(AK32*ct_comp1*'Time on treatment'!$D$19)</f>
        <v>5446299.9031707607</v>
      </c>
      <c r="AL158" s="109">
        <f ca="1">(AL32*ct_comp1*'Time on treatment'!$E$19)</f>
        <v>5446299.9031707607</v>
      </c>
      <c r="AM158" s="110">
        <f ca="1">(AM32*ct_comp1*'Time on treatment'!$F$19)</f>
        <v>5446299.9031707607</v>
      </c>
      <c r="AP158" s="87" t="s">
        <v>172</v>
      </c>
      <c r="AQ158" s="111"/>
      <c r="AR158" s="111"/>
      <c r="AS158" s="109">
        <f ca="1">(AS32*ci_comp2)+(AS32*ct_comp2*'Time on treatment'!$D$20)</f>
        <v>0</v>
      </c>
      <c r="AT158" s="109">
        <f ca="1">(AT32*ct_comp2*'Time on treatment'!$E$20)</f>
        <v>0</v>
      </c>
      <c r="AU158" s="110">
        <f ca="1">(AU32*ct_comp2*'Time on treatment'!$F$20)</f>
        <v>0</v>
      </c>
      <c r="AX158" s="87" t="s">
        <v>172</v>
      </c>
      <c r="AY158" s="111"/>
      <c r="AZ158" s="111"/>
      <c r="BA158" s="109">
        <f ca="1">(BA32*ci_comp3)+(BA32*ct_comp3*'Time on treatment'!$D$21)</f>
        <v>0</v>
      </c>
      <c r="BB158" s="109">
        <f ca="1">(BB32*ct_comp3*'Time on treatment'!$E$21)</f>
        <v>0</v>
      </c>
      <c r="BC158" s="110">
        <f ca="1">(BC32*ct_comp3*'Time on treatment'!$F$21)</f>
        <v>0</v>
      </c>
      <c r="BF158" s="87" t="s">
        <v>172</v>
      </c>
      <c r="BG158" s="111"/>
      <c r="BH158" s="111"/>
      <c r="BI158" s="109">
        <f ca="1">(BI32*ci_comp4)+(BI32*ct_comp4*'Time on treatment'!$D$22)</f>
        <v>0</v>
      </c>
      <c r="BJ158" s="109">
        <f ca="1">(BJ32*ct_comp4*'Time on treatment'!$E$22)</f>
        <v>0</v>
      </c>
      <c r="BK158" s="110">
        <f ca="1">(BK32*ct_comp4*'Time on treatment'!$F$22)</f>
        <v>0</v>
      </c>
      <c r="BN158" s="87" t="s">
        <v>172</v>
      </c>
      <c r="BO158" s="111"/>
      <c r="BP158" s="111"/>
      <c r="BQ158" s="109">
        <f ca="1">(BQ32*ci_comp5)+(BQ32*ct_comp5*'Time on treatment'!$D$23)</f>
        <v>0</v>
      </c>
      <c r="BR158" s="109">
        <f ca="1">(BR32*ct_comp5*'Time on treatment'!$E$23)</f>
        <v>0</v>
      </c>
      <c r="BS158" s="110">
        <f ca="1">(BS32*ct_comp5*'Time on treatment'!$F$23)</f>
        <v>0</v>
      </c>
      <c r="BV158" s="87" t="s">
        <v>172</v>
      </c>
      <c r="BW158" s="111"/>
      <c r="BX158" s="111"/>
      <c r="BY158" s="109">
        <f ca="1">(BY32*ci_comp6)+(BY32*ct_comp6*'Time on treatment'!$D$24)</f>
        <v>0</v>
      </c>
      <c r="BZ158" s="109">
        <f ca="1">(BZ32*ct_comp6*'Time on treatment'!$E$24)</f>
        <v>0</v>
      </c>
      <c r="CA158" s="110">
        <f ca="1">(CA32*ct_comp6*'Time on treatment'!$F$24)</f>
        <v>0</v>
      </c>
      <c r="CD158" s="87" t="s">
        <v>172</v>
      </c>
      <c r="CE158" s="111"/>
      <c r="CF158" s="111"/>
      <c r="CG158" s="109">
        <f ca="1">(CG32*ci_comp7)+(CG32*ct_comp7*'Time on treatment'!$D$25)</f>
        <v>0</v>
      </c>
      <c r="CH158" s="109">
        <f ca="1">(CH32*ct_comp7*'Time on treatment'!$E$25)</f>
        <v>0</v>
      </c>
      <c r="CI158" s="110">
        <f ca="1">(CI32*ct_comp7*'Time on treatment'!$F$25)</f>
        <v>0</v>
      </c>
      <c r="CL158" s="87" t="s">
        <v>172</v>
      </c>
      <c r="CM158" s="111"/>
      <c r="CN158" s="111"/>
      <c r="CO158" s="109">
        <f ca="1">(CO32*ci_comp8)+(CO32*ct_comp8*'Time on treatment'!$D$26)</f>
        <v>0</v>
      </c>
      <c r="CP158" s="109">
        <f ca="1">(CP32*ct_comp8*'Time on treatment'!$E$26)</f>
        <v>0</v>
      </c>
      <c r="CQ158" s="110">
        <f ca="1">(CQ32*ct_comp8*'Time on treatment'!$F$26)</f>
        <v>0</v>
      </c>
      <c r="CT158" s="87" t="s">
        <v>172</v>
      </c>
      <c r="CU158" s="111"/>
      <c r="CV158" s="111"/>
      <c r="CW158" s="109">
        <f ca="1">(CW32*ci_comp9)+(CW32*ct_comp9*'Time on treatment'!$D$27)</f>
        <v>0</v>
      </c>
      <c r="CX158" s="109">
        <f ca="1">(CX32*ct_comp9*'Time on treatment'!$E$27)</f>
        <v>0</v>
      </c>
      <c r="CY158" s="110">
        <f ca="1">(CY32*ct_comp9*'Time on treatment'!$F$27)</f>
        <v>0</v>
      </c>
      <c r="DB158" s="87" t="s">
        <v>172</v>
      </c>
      <c r="DC158" s="111"/>
      <c r="DD158" s="111"/>
      <c r="DE158" s="109">
        <f ca="1">(DE32*ci_comp10)+(DE32*ct_comp10*'Time on treatment'!$D$28)</f>
        <v>0</v>
      </c>
      <c r="DF158" s="109">
        <f ca="1">(DF32*ct_comp10*'Time on treatment'!$E$28)</f>
        <v>0</v>
      </c>
      <c r="DG158" s="110">
        <f ca="1">(DG32*ct_comp10*'Time on treatment'!$F$28)</f>
        <v>0</v>
      </c>
    </row>
    <row r="159" spans="2:113">
      <c r="B159" s="87" t="s">
        <v>177</v>
      </c>
      <c r="C159" s="111"/>
      <c r="D159" s="111"/>
      <c r="E159" s="109"/>
      <c r="F159" s="109"/>
      <c r="G159" s="110"/>
      <c r="J159" s="87" t="s">
        <v>177</v>
      </c>
      <c r="K159" s="111"/>
      <c r="L159" s="111"/>
      <c r="M159" s="109"/>
      <c r="N159" s="109"/>
      <c r="O159" s="110"/>
      <c r="R159" s="87" t="s">
        <v>177</v>
      </c>
      <c r="S159" s="111"/>
      <c r="T159" s="111"/>
      <c r="U159" s="109"/>
      <c r="V159" s="109"/>
      <c r="W159" s="110"/>
      <c r="Z159" s="87" t="s">
        <v>177</v>
      </c>
      <c r="AA159" s="111"/>
      <c r="AB159" s="111"/>
      <c r="AC159" s="109"/>
      <c r="AD159" s="109"/>
      <c r="AE159" s="110"/>
      <c r="AH159" s="87" t="s">
        <v>177</v>
      </c>
      <c r="AI159" s="111"/>
      <c r="AJ159" s="111"/>
      <c r="AK159" s="109"/>
      <c r="AL159" s="109"/>
      <c r="AM159" s="110"/>
      <c r="AP159" s="87" t="s">
        <v>177</v>
      </c>
      <c r="AQ159" s="111"/>
      <c r="AR159" s="111"/>
      <c r="AS159" s="109"/>
      <c r="AT159" s="109"/>
      <c r="AU159" s="110"/>
      <c r="AX159" s="87" t="s">
        <v>177</v>
      </c>
      <c r="AY159" s="111"/>
      <c r="AZ159" s="111"/>
      <c r="BA159" s="109"/>
      <c r="BB159" s="109"/>
      <c r="BC159" s="110"/>
      <c r="BF159" s="87" t="s">
        <v>177</v>
      </c>
      <c r="BG159" s="111"/>
      <c r="BH159" s="111"/>
      <c r="BI159" s="109"/>
      <c r="BJ159" s="109"/>
      <c r="BK159" s="110"/>
      <c r="BN159" s="87" t="s">
        <v>177</v>
      </c>
      <c r="BO159" s="111"/>
      <c r="BP159" s="111"/>
      <c r="BQ159" s="109"/>
      <c r="BR159" s="109"/>
      <c r="BS159" s="110"/>
      <c r="BV159" s="87" t="s">
        <v>177</v>
      </c>
      <c r="BW159" s="111"/>
      <c r="BX159" s="111"/>
      <c r="BY159" s="109"/>
      <c r="BZ159" s="109"/>
      <c r="CA159" s="110"/>
      <c r="CD159" s="87" t="s">
        <v>177</v>
      </c>
      <c r="CE159" s="111"/>
      <c r="CF159" s="111"/>
      <c r="CG159" s="109"/>
      <c r="CH159" s="109"/>
      <c r="CI159" s="110"/>
      <c r="CL159" s="87" t="s">
        <v>177</v>
      </c>
      <c r="CM159" s="111"/>
      <c r="CN159" s="111"/>
      <c r="CO159" s="109"/>
      <c r="CP159" s="109"/>
      <c r="CQ159" s="110"/>
      <c r="CT159" s="87" t="s">
        <v>177</v>
      </c>
      <c r="CU159" s="111"/>
      <c r="CV159" s="111"/>
      <c r="CW159" s="109"/>
      <c r="CX159" s="109"/>
      <c r="CY159" s="110"/>
      <c r="DB159" s="87" t="s">
        <v>177</v>
      </c>
      <c r="DC159" s="111"/>
      <c r="DD159" s="111"/>
      <c r="DE159" s="109"/>
      <c r="DF159" s="109"/>
      <c r="DG159" s="110"/>
    </row>
    <row r="160" spans="2:113">
      <c r="B160" s="87" t="s">
        <v>173</v>
      </c>
      <c r="C160" s="111"/>
      <c r="D160" s="111"/>
      <c r="E160" s="111"/>
      <c r="F160" s="109">
        <f ca="1">(F34*ci_int1)+(F34*ct_int1*'Time on treatment'!$D$12)</f>
        <v>0</v>
      </c>
      <c r="G160" s="110">
        <f ca="1">(G34*ct_int1*'Time on treatment'!$E$12)</f>
        <v>0</v>
      </c>
      <c r="J160" s="87" t="s">
        <v>173</v>
      </c>
      <c r="K160" s="111"/>
      <c r="L160" s="111"/>
      <c r="M160" s="111"/>
      <c r="N160" s="109">
        <f ca="1">(N34*ci_int2)+(N34*ct_int2*'Time on treatment'!$D$13)</f>
        <v>0</v>
      </c>
      <c r="O160" s="110">
        <f ca="1">(O34*ct_int2*'Time on treatment'!$E$13)</f>
        <v>0</v>
      </c>
      <c r="R160" s="87" t="s">
        <v>173</v>
      </c>
      <c r="S160" s="111"/>
      <c r="T160" s="111"/>
      <c r="U160" s="111"/>
      <c r="V160" s="109">
        <f ca="1">(V34*ci_int3)+(V34*ct_int3*'Time on treatment'!$D$14)</f>
        <v>0</v>
      </c>
      <c r="W160" s="110">
        <f ca="1">(W34*ct_int3*'Time on treatment'!$E$14)</f>
        <v>0</v>
      </c>
      <c r="Z160" s="87" t="s">
        <v>173</v>
      </c>
      <c r="AA160" s="111"/>
      <c r="AB160" s="111"/>
      <c r="AC160" s="111"/>
      <c r="AD160" s="109">
        <f ca="1">(AD34*ci_int4)+(AD34*ct_int4*'Time on treatment'!$D$15)</f>
        <v>0</v>
      </c>
      <c r="AE160" s="110">
        <f ca="1">(AE34*ct_int4*'Time on treatment'!$E$15)</f>
        <v>0</v>
      </c>
      <c r="AH160" s="87" t="s">
        <v>173</v>
      </c>
      <c r="AI160" s="111"/>
      <c r="AJ160" s="111"/>
      <c r="AK160" s="111"/>
      <c r="AL160" s="109">
        <f ca="1">(AL34*ci_comp1)+(AL34*ct_comp1*'Time on treatment'!$D$19)</f>
        <v>5420643.1059906445</v>
      </c>
      <c r="AM160" s="110">
        <f ca="1">(AM34*ct_comp1*'Time on treatment'!$E$19)</f>
        <v>5420643.1059906445</v>
      </c>
      <c r="AP160" s="87" t="s">
        <v>173</v>
      </c>
      <c r="AQ160" s="111"/>
      <c r="AR160" s="111"/>
      <c r="AS160" s="111"/>
      <c r="AT160" s="109">
        <f ca="1">(AT34*ci_comp2)+(AT34*ct_comp2*'Time on treatment'!$D$20)</f>
        <v>0</v>
      </c>
      <c r="AU160" s="110">
        <f ca="1">(AU34*ct_comp2*'Time on treatment'!$E$20)</f>
        <v>0</v>
      </c>
      <c r="AX160" s="87" t="s">
        <v>173</v>
      </c>
      <c r="AY160" s="111"/>
      <c r="AZ160" s="111"/>
      <c r="BA160" s="111"/>
      <c r="BB160" s="109">
        <f ca="1">(BB34*ci_comp3)+(BB34*ct_comp3*'Time on treatment'!$D$21)</f>
        <v>0</v>
      </c>
      <c r="BC160" s="110">
        <f ca="1">(BC34*ct_comp3*'Time on treatment'!$E$21)</f>
        <v>0</v>
      </c>
      <c r="BF160" s="87" t="s">
        <v>173</v>
      </c>
      <c r="BG160" s="111"/>
      <c r="BH160" s="111"/>
      <c r="BI160" s="111"/>
      <c r="BJ160" s="109">
        <f ca="1">(BJ34*ci_comp4)+(BJ34*ct_comp4*'Time on treatment'!$D$22)</f>
        <v>0</v>
      </c>
      <c r="BK160" s="110">
        <f ca="1">(BK34*ct_comp4*'Time on treatment'!$E$22)</f>
        <v>0</v>
      </c>
      <c r="BN160" s="87" t="s">
        <v>173</v>
      </c>
      <c r="BO160" s="111"/>
      <c r="BP160" s="111"/>
      <c r="BQ160" s="111"/>
      <c r="BR160" s="109">
        <f ca="1">(BR34*ci_comp5)+(BR34*ct_comp5*'Time on treatment'!$D$23)</f>
        <v>0</v>
      </c>
      <c r="BS160" s="110">
        <f ca="1">(BS34*ct_comp5*'Time on treatment'!$E$23)</f>
        <v>0</v>
      </c>
      <c r="BV160" s="87" t="s">
        <v>173</v>
      </c>
      <c r="BW160" s="111"/>
      <c r="BX160" s="111"/>
      <c r="BY160" s="111"/>
      <c r="BZ160" s="109">
        <f ca="1">(BZ34*ci_comp6)+(BZ34*ct_comp6*'Time on treatment'!$D$24)</f>
        <v>0</v>
      </c>
      <c r="CA160" s="110">
        <f ca="1">(CA34*ct_comp6*'Time on treatment'!$E$24)</f>
        <v>0</v>
      </c>
      <c r="CD160" s="87" t="s">
        <v>173</v>
      </c>
      <c r="CE160" s="111"/>
      <c r="CF160" s="111"/>
      <c r="CG160" s="111"/>
      <c r="CH160" s="109">
        <f ca="1">(CH34*ci_comp7)+(CH34*ct_comp7*'Time on treatment'!$D$25)</f>
        <v>0</v>
      </c>
      <c r="CI160" s="110">
        <f ca="1">(CI34*ct_comp7*'Time on treatment'!$E$25)</f>
        <v>0</v>
      </c>
      <c r="CL160" s="87" t="s">
        <v>173</v>
      </c>
      <c r="CM160" s="111"/>
      <c r="CN160" s="111"/>
      <c r="CO160" s="111"/>
      <c r="CP160" s="109">
        <f ca="1">(CP34*ci_comp8)+(CP34*ct_comp8*'Time on treatment'!$D$26)</f>
        <v>0</v>
      </c>
      <c r="CQ160" s="110">
        <f ca="1">(CQ34*ct_comp8*'Time on treatment'!$E$26)</f>
        <v>0</v>
      </c>
      <c r="CT160" s="87" t="s">
        <v>173</v>
      </c>
      <c r="CU160" s="111"/>
      <c r="CV160" s="111"/>
      <c r="CW160" s="111"/>
      <c r="CX160" s="109">
        <f ca="1">(CX34*ci_comp9)+(CX34*ct_comp9*'Time on treatment'!$D$27)</f>
        <v>0</v>
      </c>
      <c r="CY160" s="110">
        <f ca="1">(CY34*ct_comp9*'Time on treatment'!$E$27)</f>
        <v>0</v>
      </c>
      <c r="DB160" s="87" t="s">
        <v>173</v>
      </c>
      <c r="DC160" s="111"/>
      <c r="DD160" s="111"/>
      <c r="DE160" s="111"/>
      <c r="DF160" s="109">
        <f ca="1">(DF34*ci_comp10)+(DF34*ct_comp10*'Time on treatment'!$D$28)</f>
        <v>0</v>
      </c>
      <c r="DG160" s="110">
        <f ca="1">(DG34*ct_comp10*'Time on treatment'!$E$28)</f>
        <v>0</v>
      </c>
    </row>
    <row r="161" spans="2:111">
      <c r="B161" s="87" t="s">
        <v>178</v>
      </c>
      <c r="C161" s="111"/>
      <c r="D161" s="111"/>
      <c r="E161" s="111"/>
      <c r="F161" s="109"/>
      <c r="G161" s="110"/>
      <c r="J161" s="87" t="s">
        <v>178</v>
      </c>
      <c r="K161" s="111"/>
      <c r="L161" s="111"/>
      <c r="M161" s="111"/>
      <c r="N161" s="109"/>
      <c r="O161" s="110"/>
      <c r="R161" s="87" t="s">
        <v>178</v>
      </c>
      <c r="S161" s="111"/>
      <c r="T161" s="111"/>
      <c r="U161" s="111"/>
      <c r="V161" s="109"/>
      <c r="W161" s="110"/>
      <c r="Z161" s="87" t="s">
        <v>178</v>
      </c>
      <c r="AA161" s="111"/>
      <c r="AB161" s="111"/>
      <c r="AC161" s="111"/>
      <c r="AD161" s="109"/>
      <c r="AE161" s="110"/>
      <c r="AH161" s="87" t="s">
        <v>178</v>
      </c>
      <c r="AI161" s="111"/>
      <c r="AJ161" s="111"/>
      <c r="AK161" s="111"/>
      <c r="AL161" s="109"/>
      <c r="AM161" s="110"/>
      <c r="AP161" s="87" t="s">
        <v>178</v>
      </c>
      <c r="AQ161" s="111"/>
      <c r="AR161" s="111"/>
      <c r="AS161" s="111"/>
      <c r="AT161" s="109"/>
      <c r="AU161" s="110"/>
      <c r="AX161" s="87" t="s">
        <v>178</v>
      </c>
      <c r="AY161" s="111"/>
      <c r="AZ161" s="111"/>
      <c r="BA161" s="111"/>
      <c r="BB161" s="109"/>
      <c r="BC161" s="110"/>
      <c r="BF161" s="87" t="s">
        <v>178</v>
      </c>
      <c r="BG161" s="111"/>
      <c r="BH161" s="111"/>
      <c r="BI161" s="111"/>
      <c r="BJ161" s="109"/>
      <c r="BK161" s="110"/>
      <c r="BN161" s="87" t="s">
        <v>178</v>
      </c>
      <c r="BO161" s="111"/>
      <c r="BP161" s="111"/>
      <c r="BQ161" s="111"/>
      <c r="BR161" s="109"/>
      <c r="BS161" s="110"/>
      <c r="BV161" s="87" t="s">
        <v>178</v>
      </c>
      <c r="BW161" s="111"/>
      <c r="BX161" s="111"/>
      <c r="BY161" s="111"/>
      <c r="BZ161" s="109"/>
      <c r="CA161" s="110"/>
      <c r="CD161" s="87" t="s">
        <v>178</v>
      </c>
      <c r="CE161" s="111"/>
      <c r="CF161" s="111"/>
      <c r="CG161" s="111"/>
      <c r="CH161" s="109"/>
      <c r="CI161" s="110"/>
      <c r="CL161" s="87" t="s">
        <v>178</v>
      </c>
      <c r="CM161" s="111"/>
      <c r="CN161" s="111"/>
      <c r="CO161" s="111"/>
      <c r="CP161" s="109"/>
      <c r="CQ161" s="110"/>
      <c r="CT161" s="87" t="s">
        <v>178</v>
      </c>
      <c r="CU161" s="111"/>
      <c r="CV161" s="111"/>
      <c r="CW161" s="111"/>
      <c r="CX161" s="109"/>
      <c r="CY161" s="110"/>
      <c r="DB161" s="87" t="s">
        <v>178</v>
      </c>
      <c r="DC161" s="111"/>
      <c r="DD161" s="111"/>
      <c r="DE161" s="111"/>
      <c r="DF161" s="109"/>
      <c r="DG161" s="110"/>
    </row>
    <row r="162" spans="2:111">
      <c r="B162" s="87" t="s">
        <v>174</v>
      </c>
      <c r="C162" s="111"/>
      <c r="D162" s="111"/>
      <c r="E162" s="111"/>
      <c r="F162" s="111"/>
      <c r="G162" s="110">
        <f ca="1">(G36*ci_int1)+(G36*ct_int1*'Time on treatment'!$D$12)</f>
        <v>0</v>
      </c>
      <c r="J162" s="87" t="s">
        <v>174</v>
      </c>
      <c r="K162" s="111"/>
      <c r="L162" s="111"/>
      <c r="M162" s="111"/>
      <c r="N162" s="111"/>
      <c r="O162" s="110">
        <f ca="1">(O36*ci_int2)+(O36*ct_int2*'Time on treatment'!$D$13)</f>
        <v>0</v>
      </c>
      <c r="R162" s="87" t="s">
        <v>174</v>
      </c>
      <c r="S162" s="111"/>
      <c r="T162" s="111"/>
      <c r="U162" s="111"/>
      <c r="V162" s="111"/>
      <c r="W162" s="110">
        <f ca="1">(W36*ci_int3)+(W36*ct_int3*'Time on treatment'!$D$14)</f>
        <v>0</v>
      </c>
      <c r="Z162" s="87" t="s">
        <v>174</v>
      </c>
      <c r="AA162" s="111"/>
      <c r="AB162" s="111"/>
      <c r="AC162" s="111"/>
      <c r="AD162" s="111"/>
      <c r="AE162" s="110">
        <f ca="1">(AE36*ci_int4)+(AE36*ct_int4*'Time on treatment'!$D$15)</f>
        <v>0</v>
      </c>
      <c r="AH162" s="87" t="s">
        <v>174</v>
      </c>
      <c r="AI162" s="111"/>
      <c r="AJ162" s="111"/>
      <c r="AK162" s="111"/>
      <c r="AL162" s="111"/>
      <c r="AM162" s="110">
        <f ca="1">(AM36*ci_comp1)+(AM36*ct_comp1*'Time on treatment'!$D$19)</f>
        <v>5388358.501041064</v>
      </c>
      <c r="AP162" s="87" t="s">
        <v>174</v>
      </c>
      <c r="AQ162" s="111"/>
      <c r="AR162" s="111"/>
      <c r="AS162" s="111"/>
      <c r="AT162" s="111"/>
      <c r="AU162" s="110">
        <f ca="1">(AU36*ci_comp2)+(AU36*ct_comp2*'Time on treatment'!$D$20)</f>
        <v>0</v>
      </c>
      <c r="AX162" s="87" t="s">
        <v>174</v>
      </c>
      <c r="AY162" s="111"/>
      <c r="AZ162" s="111"/>
      <c r="BA162" s="111"/>
      <c r="BB162" s="111"/>
      <c r="BC162" s="110">
        <f ca="1">(BC36*ci_comp3)+(BC36*ct_comp3*'Time on treatment'!$D$21)</f>
        <v>0</v>
      </c>
      <c r="BF162" s="87" t="s">
        <v>174</v>
      </c>
      <c r="BG162" s="111"/>
      <c r="BH162" s="111"/>
      <c r="BI162" s="111"/>
      <c r="BJ162" s="111"/>
      <c r="BK162" s="110">
        <f ca="1">(BK36*ci_comp4)+(BK36*ct_comp4*'Time on treatment'!$D$22)</f>
        <v>0</v>
      </c>
      <c r="BN162" s="87" t="s">
        <v>174</v>
      </c>
      <c r="BO162" s="111"/>
      <c r="BP162" s="111"/>
      <c r="BQ162" s="111"/>
      <c r="BR162" s="111"/>
      <c r="BS162" s="110">
        <f ca="1">(BS36*ci_comp5)+(BS36*ct_comp5*'Time on treatment'!$D$23)</f>
        <v>0</v>
      </c>
      <c r="BV162" s="87" t="s">
        <v>174</v>
      </c>
      <c r="BW162" s="111"/>
      <c r="BX162" s="111"/>
      <c r="BY162" s="111"/>
      <c r="BZ162" s="111"/>
      <c r="CA162" s="110">
        <f ca="1">(CA36*ci_comp6)+(CA36*ct_comp6*'Time on treatment'!$D$24)</f>
        <v>0</v>
      </c>
      <c r="CD162" s="87" t="s">
        <v>174</v>
      </c>
      <c r="CE162" s="111"/>
      <c r="CF162" s="111"/>
      <c r="CG162" s="111"/>
      <c r="CH162" s="111"/>
      <c r="CI162" s="110">
        <f ca="1">(CI36*ci_comp7)+(CI36*ct_comp7*'Time on treatment'!$D$25)</f>
        <v>0</v>
      </c>
      <c r="CL162" s="87" t="s">
        <v>174</v>
      </c>
      <c r="CM162" s="111"/>
      <c r="CN162" s="111"/>
      <c r="CO162" s="111"/>
      <c r="CP162" s="111"/>
      <c r="CQ162" s="110">
        <f ca="1">(CQ36*ci_comp8)+(CQ36*ct_comp8*'Time on treatment'!$D$26)</f>
        <v>0</v>
      </c>
      <c r="CT162" s="87" t="s">
        <v>174</v>
      </c>
      <c r="CU162" s="111"/>
      <c r="CV162" s="111"/>
      <c r="CW162" s="111"/>
      <c r="CX162" s="111"/>
      <c r="CY162" s="110">
        <f ca="1">(CY36*ci_comp9)+(CY36*ct_comp9*'Time on treatment'!$D$27)</f>
        <v>0</v>
      </c>
      <c r="DB162" s="87" t="s">
        <v>174</v>
      </c>
      <c r="DC162" s="111"/>
      <c r="DD162" s="111"/>
      <c r="DE162" s="111"/>
      <c r="DF162" s="111"/>
      <c r="DG162" s="110">
        <f ca="1">(DG36*ci_comp10)+(DG36*ct_comp10*'Time on treatment'!$D$28)</f>
        <v>0</v>
      </c>
    </row>
    <row r="163" spans="2:111" ht="15" thickBot="1">
      <c r="B163" s="87" t="s">
        <v>179</v>
      </c>
      <c r="C163" s="111"/>
      <c r="D163" s="111"/>
      <c r="E163" s="111"/>
      <c r="F163" s="111"/>
      <c r="G163" s="112"/>
      <c r="J163" s="87" t="s">
        <v>179</v>
      </c>
      <c r="K163" s="111"/>
      <c r="L163" s="111"/>
      <c r="M163" s="111"/>
      <c r="N163" s="111"/>
      <c r="O163" s="112"/>
      <c r="R163" s="87" t="s">
        <v>179</v>
      </c>
      <c r="S163" s="111"/>
      <c r="T163" s="111"/>
      <c r="U163" s="111"/>
      <c r="V163" s="111"/>
      <c r="W163" s="112"/>
      <c r="Z163" s="87" t="s">
        <v>179</v>
      </c>
      <c r="AA163" s="111"/>
      <c r="AB163" s="111"/>
      <c r="AC163" s="111"/>
      <c r="AD163" s="111"/>
      <c r="AE163" s="112"/>
      <c r="AH163" s="87" t="s">
        <v>179</v>
      </c>
      <c r="AI163" s="111"/>
      <c r="AJ163" s="111"/>
      <c r="AK163" s="111"/>
      <c r="AL163" s="111"/>
      <c r="AM163" s="112"/>
      <c r="AP163" s="87" t="s">
        <v>179</v>
      </c>
      <c r="AQ163" s="111"/>
      <c r="AR163" s="111"/>
      <c r="AS163" s="111"/>
      <c r="AT163" s="111"/>
      <c r="AU163" s="112"/>
      <c r="AX163" s="87" t="s">
        <v>179</v>
      </c>
      <c r="AY163" s="111"/>
      <c r="AZ163" s="111"/>
      <c r="BA163" s="111"/>
      <c r="BB163" s="111"/>
      <c r="BC163" s="112"/>
      <c r="BF163" s="87" t="s">
        <v>179</v>
      </c>
      <c r="BG163" s="111"/>
      <c r="BH163" s="111"/>
      <c r="BI163" s="111"/>
      <c r="BJ163" s="111"/>
      <c r="BK163" s="112"/>
      <c r="BN163" s="87" t="s">
        <v>179</v>
      </c>
      <c r="BO163" s="111"/>
      <c r="BP163" s="111"/>
      <c r="BQ163" s="111"/>
      <c r="BR163" s="111"/>
      <c r="BS163" s="112"/>
      <c r="BV163" s="87" t="s">
        <v>179</v>
      </c>
      <c r="BW163" s="111"/>
      <c r="BX163" s="111"/>
      <c r="BY163" s="111"/>
      <c r="BZ163" s="111"/>
      <c r="CA163" s="112"/>
      <c r="CD163" s="87" t="s">
        <v>179</v>
      </c>
      <c r="CE163" s="111"/>
      <c r="CF163" s="111"/>
      <c r="CG163" s="111"/>
      <c r="CH163" s="111"/>
      <c r="CI163" s="112"/>
      <c r="CL163" s="87" t="s">
        <v>179</v>
      </c>
      <c r="CM163" s="111"/>
      <c r="CN163" s="111"/>
      <c r="CO163" s="111"/>
      <c r="CP163" s="111"/>
      <c r="CQ163" s="112"/>
      <c r="CT163" s="87" t="s">
        <v>179</v>
      </c>
      <c r="CU163" s="111"/>
      <c r="CV163" s="111"/>
      <c r="CW163" s="111"/>
      <c r="CX163" s="111"/>
      <c r="CY163" s="112"/>
      <c r="DB163" s="87" t="s">
        <v>179</v>
      </c>
      <c r="DC163" s="111"/>
      <c r="DD163" s="111"/>
      <c r="DE163" s="111"/>
      <c r="DF163" s="111"/>
      <c r="DG163" s="112"/>
    </row>
    <row r="164" spans="2:111" ht="15" thickBot="1">
      <c r="B164" s="85" t="str">
        <f>B145</f>
        <v>Intrauterine device levonorgestrel</v>
      </c>
      <c r="C164" s="113">
        <f ca="1">SUM(C154:C162)</f>
        <v>0</v>
      </c>
      <c r="D164" s="113">
        <f ca="1">SUM(D154:D162)</f>
        <v>0</v>
      </c>
      <c r="E164" s="113">
        <f ca="1">SUM(E154:E162)</f>
        <v>0</v>
      </c>
      <c r="F164" s="113">
        <f ca="1">SUM(F154:F162)</f>
        <v>0</v>
      </c>
      <c r="G164" s="114">
        <f ca="1">SUM(G154:G162)</f>
        <v>0</v>
      </c>
      <c r="J164" s="85">
        <f>J145</f>
        <v>0</v>
      </c>
      <c r="K164" s="113">
        <f ca="1">SUM(K154:K162)</f>
        <v>0</v>
      </c>
      <c r="L164" s="113">
        <f ca="1">SUM(L154:L162)</f>
        <v>0</v>
      </c>
      <c r="M164" s="113">
        <f ca="1">SUM(M154:M162)</f>
        <v>0</v>
      </c>
      <c r="N164" s="113">
        <f ca="1">SUM(N154:N162)</f>
        <v>0</v>
      </c>
      <c r="O164" s="114">
        <f ca="1">SUM(O154:O162)</f>
        <v>0</v>
      </c>
      <c r="R164" s="85">
        <f>R145</f>
        <v>0</v>
      </c>
      <c r="S164" s="113">
        <f ca="1">SUM(S154:S162)</f>
        <v>0</v>
      </c>
      <c r="T164" s="113">
        <f ca="1">SUM(T154:T162)</f>
        <v>0</v>
      </c>
      <c r="U164" s="113">
        <f ca="1">SUM(U154:U162)</f>
        <v>0</v>
      </c>
      <c r="V164" s="113">
        <f ca="1">SUM(V154:V162)</f>
        <v>0</v>
      </c>
      <c r="W164" s="114">
        <f ca="1">SUM(W154:W162)</f>
        <v>0</v>
      </c>
      <c r="Z164" s="85">
        <f>Z145</f>
        <v>0</v>
      </c>
      <c r="AA164" s="113">
        <f ca="1">SUM(AA154:AA162)</f>
        <v>0</v>
      </c>
      <c r="AB164" s="113">
        <f ca="1">SUM(AB154:AB162)</f>
        <v>0</v>
      </c>
      <c r="AC164" s="113">
        <f ca="1">SUM(AC154:AC162)</f>
        <v>0</v>
      </c>
      <c r="AD164" s="113">
        <f ca="1">SUM(AD154:AD162)</f>
        <v>0</v>
      </c>
      <c r="AE164" s="114">
        <f ca="1">SUM(AE154:AE162)</f>
        <v>0</v>
      </c>
      <c r="AH164" s="85" t="str">
        <f>AH145</f>
        <v>Oral contraceptive</v>
      </c>
      <c r="AI164" s="113">
        <f ca="1">SUM(AI154:AI162)</f>
        <v>5487460.7252860991</v>
      </c>
      <c r="AJ164" s="113">
        <f ca="1">SUM(AJ154:AJ162)</f>
        <v>10955146.388541084</v>
      </c>
      <c r="AK164" s="113">
        <f ca="1">SUM(AK154:AK162)</f>
        <v>16401446.291711845</v>
      </c>
      <c r="AL164" s="113">
        <f ca="1">SUM(AL154:AL162)</f>
        <v>21822089.397702489</v>
      </c>
      <c r="AM164" s="114">
        <f ca="1">SUM(AM154:AM162)</f>
        <v>27210447.898743555</v>
      </c>
      <c r="AP164" s="85">
        <f>AP145</f>
        <v>0</v>
      </c>
      <c r="AQ164" s="113">
        <f ca="1">SUM(AQ154:AQ162)</f>
        <v>0</v>
      </c>
      <c r="AR164" s="113">
        <f ca="1">SUM(AR154:AR162)</f>
        <v>0</v>
      </c>
      <c r="AS164" s="113">
        <f ca="1">SUM(AS154:AS162)</f>
        <v>0</v>
      </c>
      <c r="AT164" s="113">
        <f ca="1">SUM(AT154:AT162)</f>
        <v>0</v>
      </c>
      <c r="AU164" s="114">
        <f ca="1">SUM(AU154:AU162)</f>
        <v>0</v>
      </c>
      <c r="AX164" s="85">
        <f>AX145</f>
        <v>0</v>
      </c>
      <c r="AY164" s="113">
        <f ca="1">SUM(AY154:AY162)</f>
        <v>0</v>
      </c>
      <c r="AZ164" s="113">
        <f ca="1">SUM(AZ154:AZ162)</f>
        <v>0</v>
      </c>
      <c r="BA164" s="113">
        <f ca="1">SUM(BA154:BA162)</f>
        <v>0</v>
      </c>
      <c r="BB164" s="113">
        <f ca="1">SUM(BB154:BB162)</f>
        <v>0</v>
      </c>
      <c r="BC164" s="114">
        <f ca="1">SUM(BC154:BC162)</f>
        <v>0</v>
      </c>
      <c r="BF164" s="85">
        <f>BF145</f>
        <v>0</v>
      </c>
      <c r="BG164" s="113">
        <f ca="1">SUM(BG154:BG162)</f>
        <v>0</v>
      </c>
      <c r="BH164" s="113">
        <f ca="1">SUM(BH154:BH162)</f>
        <v>0</v>
      </c>
      <c r="BI164" s="113">
        <f ca="1">SUM(BI154:BI162)</f>
        <v>0</v>
      </c>
      <c r="BJ164" s="113">
        <f ca="1">SUM(BJ154:BJ162)</f>
        <v>0</v>
      </c>
      <c r="BK164" s="114">
        <f ca="1">SUM(BK154:BK162)</f>
        <v>0</v>
      </c>
      <c r="BN164" s="85">
        <f>BN145</f>
        <v>0</v>
      </c>
      <c r="BO164" s="113">
        <f ca="1">SUM(BO154:BO162)</f>
        <v>0</v>
      </c>
      <c r="BP164" s="113">
        <f ca="1">SUM(BP154:BP162)</f>
        <v>0</v>
      </c>
      <c r="BQ164" s="113">
        <f ca="1">SUM(BQ154:BQ162)</f>
        <v>0</v>
      </c>
      <c r="BR164" s="113">
        <f ca="1">SUM(BR154:BR162)</f>
        <v>0</v>
      </c>
      <c r="BS164" s="114">
        <f ca="1">SUM(BS154:BS162)</f>
        <v>0</v>
      </c>
      <c r="BV164" s="85">
        <f>BV145</f>
        <v>0</v>
      </c>
      <c r="BW164" s="113">
        <f ca="1">SUM(BW154:BW162)</f>
        <v>0</v>
      </c>
      <c r="BX164" s="113">
        <f ca="1">SUM(BX154:BX162)</f>
        <v>0</v>
      </c>
      <c r="BY164" s="113">
        <f ca="1">SUM(BY154:BY162)</f>
        <v>0</v>
      </c>
      <c r="BZ164" s="113">
        <f ca="1">SUM(BZ154:BZ162)</f>
        <v>0</v>
      </c>
      <c r="CA164" s="114">
        <f ca="1">SUM(CA154:CA162)</f>
        <v>0</v>
      </c>
      <c r="CD164" s="85">
        <f>CD145</f>
        <v>0</v>
      </c>
      <c r="CE164" s="113">
        <f ca="1">SUM(CE154:CE162)</f>
        <v>0</v>
      </c>
      <c r="CF164" s="113">
        <f ca="1">SUM(CF154:CF162)</f>
        <v>0</v>
      </c>
      <c r="CG164" s="113">
        <f ca="1">SUM(CG154:CG162)</f>
        <v>0</v>
      </c>
      <c r="CH164" s="113">
        <f ca="1">SUM(CH154:CH162)</f>
        <v>0</v>
      </c>
      <c r="CI164" s="114">
        <f ca="1">SUM(CI154:CI162)</f>
        <v>0</v>
      </c>
      <c r="CL164" s="85">
        <f>CL145</f>
        <v>0</v>
      </c>
      <c r="CM164" s="113">
        <f ca="1">SUM(CM154:CM162)</f>
        <v>0</v>
      </c>
      <c r="CN164" s="113">
        <f ca="1">SUM(CN154:CN162)</f>
        <v>0</v>
      </c>
      <c r="CO164" s="113">
        <f ca="1">SUM(CO154:CO162)</f>
        <v>0</v>
      </c>
      <c r="CP164" s="113">
        <f ca="1">SUM(CP154:CP162)</f>
        <v>0</v>
      </c>
      <c r="CQ164" s="114">
        <f ca="1">SUM(CQ154:CQ162)</f>
        <v>0</v>
      </c>
      <c r="CT164" s="85">
        <f>CT145</f>
        <v>0</v>
      </c>
      <c r="CU164" s="113">
        <f ca="1">SUM(CU154:CU162)</f>
        <v>0</v>
      </c>
      <c r="CV164" s="113">
        <f ca="1">SUM(CV154:CV162)</f>
        <v>0</v>
      </c>
      <c r="CW164" s="113">
        <f ca="1">SUM(CW154:CW162)</f>
        <v>0</v>
      </c>
      <c r="CX164" s="113">
        <f ca="1">SUM(CX154:CX162)</f>
        <v>0</v>
      </c>
      <c r="CY164" s="114">
        <f ca="1">SUM(CY154:CY162)</f>
        <v>0</v>
      </c>
      <c r="DB164" s="85">
        <f>DB145</f>
        <v>0</v>
      </c>
      <c r="DC164" s="113">
        <f ca="1">SUM(DC154:DC162)</f>
        <v>0</v>
      </c>
      <c r="DD164" s="113">
        <f ca="1">SUM(DD154:DD162)</f>
        <v>0</v>
      </c>
      <c r="DE164" s="113">
        <f ca="1">SUM(DE154:DE162)</f>
        <v>0</v>
      </c>
      <c r="DF164" s="113">
        <f ca="1">SUM(DF154:DF162)</f>
        <v>0</v>
      </c>
      <c r="DG164" s="114">
        <f ca="1">SUM(DG154:DG162)</f>
        <v>0</v>
      </c>
    </row>
    <row r="165" spans="2:111" ht="15" thickBot="1">
      <c r="B165" s="83"/>
      <c r="C165" s="86"/>
      <c r="D165" s="86"/>
      <c r="E165" s="86"/>
      <c r="F165" s="86"/>
      <c r="G165" s="86"/>
      <c r="J165" s="83"/>
      <c r="K165" s="86"/>
      <c r="L165" s="86"/>
      <c r="M165" s="86"/>
      <c r="N165" s="86"/>
      <c r="O165" s="86"/>
      <c r="R165" s="83"/>
      <c r="S165" s="86"/>
      <c r="T165" s="86"/>
      <c r="U165" s="86"/>
      <c r="V165" s="86"/>
      <c r="W165" s="86"/>
      <c r="Z165" s="83"/>
      <c r="AA165" s="86"/>
      <c r="AB165" s="86"/>
      <c r="AC165" s="86"/>
      <c r="AD165" s="86"/>
      <c r="AE165" s="86"/>
      <c r="AH165" s="83"/>
      <c r="AI165" s="86"/>
      <c r="AJ165" s="86"/>
      <c r="AK165" s="86"/>
      <c r="AL165" s="86"/>
      <c r="AM165" s="86"/>
      <c r="AP165" s="83"/>
      <c r="AQ165" s="86"/>
      <c r="AR165" s="86"/>
      <c r="AS165" s="86"/>
      <c r="AT165" s="86"/>
      <c r="AU165" s="86"/>
      <c r="AX165" s="83"/>
      <c r="AY165" s="86"/>
      <c r="AZ165" s="86"/>
      <c r="BA165" s="86"/>
      <c r="BB165" s="86"/>
      <c r="BC165" s="86"/>
      <c r="BF165" s="83"/>
      <c r="BG165" s="86"/>
      <c r="BH165" s="86"/>
      <c r="BI165" s="86"/>
      <c r="BJ165" s="86"/>
      <c r="BK165" s="86"/>
      <c r="BN165" s="83"/>
      <c r="BO165" s="86"/>
      <c r="BP165" s="86"/>
      <c r="BQ165" s="86"/>
      <c r="BR165" s="86"/>
      <c r="BS165" s="86"/>
      <c r="BV165" s="83"/>
      <c r="BW165" s="86"/>
      <c r="BX165" s="86"/>
      <c r="BY165" s="86"/>
      <c r="BZ165" s="86"/>
      <c r="CA165" s="86"/>
      <c r="CD165" s="83"/>
      <c r="CE165" s="86"/>
      <c r="CF165" s="86"/>
      <c r="CG165" s="86"/>
      <c r="CH165" s="86"/>
      <c r="CI165" s="86"/>
      <c r="CL165" s="83"/>
      <c r="CM165" s="86"/>
      <c r="CN165" s="86"/>
      <c r="CO165" s="86"/>
      <c r="CP165" s="86"/>
      <c r="CQ165" s="86"/>
      <c r="CT165" s="83"/>
      <c r="CU165" s="86"/>
      <c r="CV165" s="86"/>
      <c r="CW165" s="86"/>
      <c r="CX165" s="86"/>
      <c r="CY165" s="86"/>
      <c r="DB165" s="83"/>
      <c r="DC165" s="86"/>
      <c r="DD165" s="86"/>
      <c r="DE165" s="86"/>
      <c r="DF165" s="86"/>
      <c r="DG165" s="86"/>
    </row>
    <row r="166" spans="2:111" ht="15" thickBot="1">
      <c r="B166" s="507" t="str">
        <f>B105</f>
        <v>With IUD-LNG 5-25%</v>
      </c>
      <c r="C166" s="505"/>
      <c r="D166" s="505"/>
      <c r="E166" s="505"/>
      <c r="F166" s="505"/>
      <c r="G166" s="506"/>
      <c r="J166" s="507" t="str">
        <f>J105</f>
        <v>With IUD-LNG 5-25%</v>
      </c>
      <c r="K166" s="505"/>
      <c r="L166" s="505"/>
      <c r="M166" s="505"/>
      <c r="N166" s="505"/>
      <c r="O166" s="506"/>
      <c r="R166" s="507" t="str">
        <f>R105</f>
        <v>With IUD-LNG 5-25%</v>
      </c>
      <c r="S166" s="505"/>
      <c r="T166" s="505"/>
      <c r="U166" s="505"/>
      <c r="V166" s="505"/>
      <c r="W166" s="506"/>
      <c r="Z166" s="507" t="str">
        <f>Z105</f>
        <v>With IUD-LNG 5-25%</v>
      </c>
      <c r="AA166" s="505"/>
      <c r="AB166" s="505"/>
      <c r="AC166" s="505"/>
      <c r="AD166" s="505"/>
      <c r="AE166" s="506"/>
      <c r="AH166" s="507" t="str">
        <f>AH105</f>
        <v>With IUD-LNG 5-25%</v>
      </c>
      <c r="AI166" s="505"/>
      <c r="AJ166" s="505"/>
      <c r="AK166" s="505"/>
      <c r="AL166" s="505"/>
      <c r="AM166" s="506"/>
      <c r="AP166" s="507" t="str">
        <f>AP105</f>
        <v>With IUD-LNG 5-25%</v>
      </c>
      <c r="AQ166" s="505"/>
      <c r="AR166" s="505"/>
      <c r="AS166" s="505"/>
      <c r="AT166" s="505"/>
      <c r="AU166" s="506"/>
      <c r="AX166" s="507" t="str">
        <f>AX105</f>
        <v>With IUD-LNG 5-25%</v>
      </c>
      <c r="AY166" s="505"/>
      <c r="AZ166" s="505"/>
      <c r="BA166" s="505"/>
      <c r="BB166" s="505"/>
      <c r="BC166" s="506"/>
      <c r="BF166" s="507" t="str">
        <f>BF105</f>
        <v>With IUD-LNG 5-25%</v>
      </c>
      <c r="BG166" s="505"/>
      <c r="BH166" s="505"/>
      <c r="BI166" s="505"/>
      <c r="BJ166" s="505"/>
      <c r="BK166" s="506"/>
      <c r="BN166" s="507" t="str">
        <f>BN105</f>
        <v>With IUD-LNG 5-25%</v>
      </c>
      <c r="BO166" s="505"/>
      <c r="BP166" s="505"/>
      <c r="BQ166" s="505"/>
      <c r="BR166" s="505"/>
      <c r="BS166" s="506"/>
      <c r="BV166" s="507" t="str">
        <f>BV105</f>
        <v>With IUD-LNG 5-25%</v>
      </c>
      <c r="BW166" s="505"/>
      <c r="BX166" s="505"/>
      <c r="BY166" s="505"/>
      <c r="BZ166" s="505"/>
      <c r="CA166" s="506"/>
      <c r="CD166" s="507" t="str">
        <f>CD105</f>
        <v>With IUD-LNG 5-25%</v>
      </c>
      <c r="CE166" s="505"/>
      <c r="CF166" s="505"/>
      <c r="CG166" s="505"/>
      <c r="CH166" s="505"/>
      <c r="CI166" s="506"/>
      <c r="CL166" s="507" t="str">
        <f>CL105</f>
        <v>With IUD-LNG 5-25%</v>
      </c>
      <c r="CM166" s="505"/>
      <c r="CN166" s="505"/>
      <c r="CO166" s="505"/>
      <c r="CP166" s="505"/>
      <c r="CQ166" s="506"/>
      <c r="CT166" s="507" t="str">
        <f>CT105</f>
        <v>With IUD-LNG 5-25%</v>
      </c>
      <c r="CU166" s="505"/>
      <c r="CV166" s="505"/>
      <c r="CW166" s="505"/>
      <c r="CX166" s="505"/>
      <c r="CY166" s="506"/>
      <c r="DB166" s="507" t="str">
        <f>DB105</f>
        <v>With IUD-LNG 5-25%</v>
      </c>
      <c r="DC166" s="505"/>
      <c r="DD166" s="505"/>
      <c r="DE166" s="505"/>
      <c r="DF166" s="505"/>
      <c r="DG166" s="506"/>
    </row>
    <row r="167" spans="2:111">
      <c r="B167" s="84"/>
      <c r="C167" s="101">
        <f>C106</f>
        <v>2026</v>
      </c>
      <c r="D167" s="101">
        <f t="shared" ref="D167:F167" si="342">D106</f>
        <v>2027</v>
      </c>
      <c r="E167" s="101">
        <f t="shared" si="342"/>
        <v>2028</v>
      </c>
      <c r="F167" s="101">
        <f t="shared" si="342"/>
        <v>2029</v>
      </c>
      <c r="G167" s="102">
        <f>G106</f>
        <v>2030</v>
      </c>
      <c r="J167" s="84"/>
      <c r="K167" s="101">
        <f>K106</f>
        <v>2026</v>
      </c>
      <c r="L167" s="101">
        <f t="shared" ref="L167:N167" si="343">L106</f>
        <v>2027</v>
      </c>
      <c r="M167" s="101">
        <f t="shared" si="343"/>
        <v>2028</v>
      </c>
      <c r="N167" s="101">
        <f t="shared" si="343"/>
        <v>2029</v>
      </c>
      <c r="O167" s="102">
        <f>O106</f>
        <v>2030</v>
      </c>
      <c r="R167" s="84"/>
      <c r="S167" s="101">
        <f>S106</f>
        <v>2026</v>
      </c>
      <c r="T167" s="101">
        <f t="shared" ref="T167:V167" si="344">T106</f>
        <v>2027</v>
      </c>
      <c r="U167" s="101">
        <f t="shared" si="344"/>
        <v>2028</v>
      </c>
      <c r="V167" s="101">
        <f t="shared" si="344"/>
        <v>2029</v>
      </c>
      <c r="W167" s="102">
        <f>W106</f>
        <v>2030</v>
      </c>
      <c r="Z167" s="84"/>
      <c r="AA167" s="101">
        <f>AA106</f>
        <v>2026</v>
      </c>
      <c r="AB167" s="101">
        <f t="shared" ref="AB167:AD167" si="345">AB106</f>
        <v>2027</v>
      </c>
      <c r="AC167" s="101">
        <f t="shared" si="345"/>
        <v>2028</v>
      </c>
      <c r="AD167" s="101">
        <f t="shared" si="345"/>
        <v>2029</v>
      </c>
      <c r="AE167" s="102">
        <f>AE106</f>
        <v>2030</v>
      </c>
      <c r="AH167" s="84"/>
      <c r="AI167" s="101">
        <f>AI106</f>
        <v>2026</v>
      </c>
      <c r="AJ167" s="101">
        <f t="shared" ref="AJ167:AL167" si="346">AJ106</f>
        <v>2027</v>
      </c>
      <c r="AK167" s="101">
        <f t="shared" si="346"/>
        <v>2028</v>
      </c>
      <c r="AL167" s="101">
        <f t="shared" si="346"/>
        <v>2029</v>
      </c>
      <c r="AM167" s="102">
        <f>AM106</f>
        <v>2030</v>
      </c>
      <c r="AP167" s="84"/>
      <c r="AQ167" s="101">
        <f>AQ106</f>
        <v>2026</v>
      </c>
      <c r="AR167" s="101">
        <f t="shared" ref="AR167:AT167" si="347">AR106</f>
        <v>2027</v>
      </c>
      <c r="AS167" s="101">
        <f t="shared" si="347"/>
        <v>2028</v>
      </c>
      <c r="AT167" s="101">
        <f t="shared" si="347"/>
        <v>2029</v>
      </c>
      <c r="AU167" s="102">
        <f>AU106</f>
        <v>2030</v>
      </c>
      <c r="AX167" s="84"/>
      <c r="AY167" s="101">
        <f>AY106</f>
        <v>2026</v>
      </c>
      <c r="AZ167" s="101">
        <f t="shared" ref="AZ167:BB167" si="348">AZ106</f>
        <v>2027</v>
      </c>
      <c r="BA167" s="101">
        <f t="shared" si="348"/>
        <v>2028</v>
      </c>
      <c r="BB167" s="101">
        <f t="shared" si="348"/>
        <v>2029</v>
      </c>
      <c r="BC167" s="102">
        <f>BC106</f>
        <v>2030</v>
      </c>
      <c r="BF167" s="84"/>
      <c r="BG167" s="101">
        <f>BG106</f>
        <v>2026</v>
      </c>
      <c r="BH167" s="101">
        <f t="shared" ref="BH167:BJ167" si="349">BH106</f>
        <v>2027</v>
      </c>
      <c r="BI167" s="101">
        <f t="shared" si="349"/>
        <v>2028</v>
      </c>
      <c r="BJ167" s="101">
        <f t="shared" si="349"/>
        <v>2029</v>
      </c>
      <c r="BK167" s="102">
        <f>BK106</f>
        <v>2030</v>
      </c>
      <c r="BN167" s="84"/>
      <c r="BO167" s="101">
        <f>BO106</f>
        <v>2026</v>
      </c>
      <c r="BP167" s="101">
        <f t="shared" ref="BP167:BR167" si="350">BP106</f>
        <v>2027</v>
      </c>
      <c r="BQ167" s="101">
        <f t="shared" si="350"/>
        <v>2028</v>
      </c>
      <c r="BR167" s="101">
        <f t="shared" si="350"/>
        <v>2029</v>
      </c>
      <c r="BS167" s="102">
        <f>BS106</f>
        <v>2030</v>
      </c>
      <c r="BV167" s="84"/>
      <c r="BW167" s="101">
        <f>BW106</f>
        <v>2026</v>
      </c>
      <c r="BX167" s="101">
        <f t="shared" ref="BX167:BZ167" si="351">BX106</f>
        <v>2027</v>
      </c>
      <c r="BY167" s="101">
        <f t="shared" si="351"/>
        <v>2028</v>
      </c>
      <c r="BZ167" s="101">
        <f t="shared" si="351"/>
        <v>2029</v>
      </c>
      <c r="CA167" s="102">
        <f>CA106</f>
        <v>2030</v>
      </c>
      <c r="CD167" s="84"/>
      <c r="CE167" s="101">
        <f>CE106</f>
        <v>2026</v>
      </c>
      <c r="CF167" s="101">
        <f t="shared" ref="CF167:CH167" si="352">CF106</f>
        <v>2027</v>
      </c>
      <c r="CG167" s="101">
        <f t="shared" si="352"/>
        <v>2028</v>
      </c>
      <c r="CH167" s="101">
        <f t="shared" si="352"/>
        <v>2029</v>
      </c>
      <c r="CI167" s="102">
        <f>CI106</f>
        <v>2030</v>
      </c>
      <c r="CL167" s="84"/>
      <c r="CM167" s="101">
        <f>CM106</f>
        <v>2026</v>
      </c>
      <c r="CN167" s="101">
        <f t="shared" ref="CN167:CP167" si="353">CN106</f>
        <v>2027</v>
      </c>
      <c r="CO167" s="101">
        <f t="shared" si="353"/>
        <v>2028</v>
      </c>
      <c r="CP167" s="101">
        <f t="shared" si="353"/>
        <v>2029</v>
      </c>
      <c r="CQ167" s="102">
        <f>CQ106</f>
        <v>2030</v>
      </c>
      <c r="CT167" s="84"/>
      <c r="CU167" s="101">
        <f>CU106</f>
        <v>2026</v>
      </c>
      <c r="CV167" s="101">
        <f t="shared" ref="CV167:CX167" si="354">CV106</f>
        <v>2027</v>
      </c>
      <c r="CW167" s="101">
        <f t="shared" si="354"/>
        <v>2028</v>
      </c>
      <c r="CX167" s="101">
        <f t="shared" si="354"/>
        <v>2029</v>
      </c>
      <c r="CY167" s="102">
        <f>CY106</f>
        <v>2030</v>
      </c>
      <c r="DB167" s="84"/>
      <c r="DC167" s="101">
        <f>DC106</f>
        <v>2026</v>
      </c>
      <c r="DD167" s="101">
        <f t="shared" ref="DD167:DF167" si="355">DD106</f>
        <v>2027</v>
      </c>
      <c r="DE167" s="101">
        <f t="shared" si="355"/>
        <v>2028</v>
      </c>
      <c r="DF167" s="101">
        <f t="shared" si="355"/>
        <v>2029</v>
      </c>
      <c r="DG167" s="102">
        <f>DG106</f>
        <v>2030</v>
      </c>
    </row>
    <row r="168" spans="2:111">
      <c r="B168" s="87" t="s">
        <v>170</v>
      </c>
      <c r="C168" s="109">
        <f ca="1">(C43*ci_int1)+(C43*ct_int1*'Time on treatment'!$D$12)</f>
        <v>13269140.432940962</v>
      </c>
      <c r="D168" s="109">
        <f ca="1">(D43*ct_int1*'Time on treatment'!$E$12)</f>
        <v>0</v>
      </c>
      <c r="E168" s="109">
        <f ca="1">(E43*ct_int1*'Time on treatment'!$F$12)</f>
        <v>0</v>
      </c>
      <c r="F168" s="109">
        <f ca="1">(F43*ct_int1*'Time on treatment'!$G$12)</f>
        <v>0</v>
      </c>
      <c r="G168" s="110">
        <f ca="1">(G43*ct_int1*'Time on treatment'!$H$12)</f>
        <v>0</v>
      </c>
      <c r="J168" s="87" t="s">
        <v>170</v>
      </c>
      <c r="K168" s="109">
        <f ca="1">(K43*ci_int2)+(K43*ct_int2*'Time on treatment'!$D$13)</f>
        <v>0</v>
      </c>
      <c r="L168" s="109">
        <f ca="1">(L43*ct_int2*'Time on treatment'!$E$13)</f>
        <v>0</v>
      </c>
      <c r="M168" s="109">
        <f ca="1">(M43*ct_int2*'Time on treatment'!$F$13)</f>
        <v>0</v>
      </c>
      <c r="N168" s="109">
        <f ca="1">(N43*ct_int2*'Time on treatment'!$G$13)</f>
        <v>0</v>
      </c>
      <c r="O168" s="110">
        <f ca="1">(O43*ct_int2*'Time on treatment'!$H$13)</f>
        <v>0</v>
      </c>
      <c r="R168" s="87" t="s">
        <v>170</v>
      </c>
      <c r="S168" s="109">
        <f ca="1">(S43*ci_int3)+(S43*ct_int3*'Time on treatment'!$D$14)</f>
        <v>0</v>
      </c>
      <c r="T168" s="109">
        <f ca="1">(T43*ct_int3*'Time on treatment'!$E$14)</f>
        <v>0</v>
      </c>
      <c r="U168" s="109">
        <f ca="1">(U43*ct_int3*'Time on treatment'!$F$14)</f>
        <v>0</v>
      </c>
      <c r="V168" s="109">
        <f ca="1">(V43*ct_int3*'Time on treatment'!$G$14)</f>
        <v>0</v>
      </c>
      <c r="W168" s="110">
        <f ca="1">(W43*ct_int3*'Time on treatment'!$H$14)</f>
        <v>0</v>
      </c>
      <c r="Z168" s="87" t="s">
        <v>170</v>
      </c>
      <c r="AA168" s="109">
        <f ca="1">(AA43*ci_int4)+(AA43*ct_int4*'Time on treatment'!$D$15)</f>
        <v>0</v>
      </c>
      <c r="AB168" s="109">
        <f ca="1">(AB43*ct_int4*'Time on treatment'!$E$15)</f>
        <v>0</v>
      </c>
      <c r="AC168" s="109">
        <f ca="1">(AC43*ct_int4*'Time on treatment'!$F$15)</f>
        <v>0</v>
      </c>
      <c r="AD168" s="109">
        <f ca="1">(AD43*ct_int4*'Time on treatment'!$G$15)</f>
        <v>0</v>
      </c>
      <c r="AE168" s="110">
        <f ca="1">(AE43*ct_int4*'Time on treatment'!$H$15)</f>
        <v>0</v>
      </c>
      <c r="AH168" s="87" t="s">
        <v>170</v>
      </c>
      <c r="AI168" s="109">
        <f ca="1">(AI43*ci_comp1)+(AI43*ct_comp1*'Time on treatment'!$D$19)</f>
        <v>5213087.6890217941</v>
      </c>
      <c r="AJ168" s="109">
        <f ca="1">(AJ43*ct_comp1*'Time on treatment'!$E$19)</f>
        <v>5213087.6890217941</v>
      </c>
      <c r="AK168" s="109">
        <f ca="1">(AK43*ct_comp1*'Time on treatment'!$F$19)</f>
        <v>5213087.6890217941</v>
      </c>
      <c r="AL168" s="109">
        <f ca="1">(AL43*ct_comp1*'Time on treatment'!$G$19)</f>
        <v>5213087.6890217941</v>
      </c>
      <c r="AM168" s="110">
        <f ca="1">(AM43*ct_comp1*'Time on treatment'!$H$19)</f>
        <v>5213087.6890217941</v>
      </c>
      <c r="AP168" s="87" t="s">
        <v>170</v>
      </c>
      <c r="AQ168" s="109">
        <f ca="1">(AQ43*ci_comp2)+(AQ43*ct_comp2*'Time on treatment'!$D$20)</f>
        <v>0</v>
      </c>
      <c r="AR168" s="109">
        <f ca="1">(AR43*ct_comp2*'Time on treatment'!$E$20)</f>
        <v>0</v>
      </c>
      <c r="AS168" s="109">
        <f ca="1">(AS43*ct_comp2*'Time on treatment'!$F$20)</f>
        <v>0</v>
      </c>
      <c r="AT168" s="109">
        <f ca="1">(AT43*ct_comp2*'Time on treatment'!$G$20)</f>
        <v>0</v>
      </c>
      <c r="AU168" s="110">
        <f ca="1">(AU43*ct_comp2*'Time on treatment'!$H$20)</f>
        <v>0</v>
      </c>
      <c r="AX168" s="87" t="s">
        <v>170</v>
      </c>
      <c r="AY168" s="109">
        <f ca="1">(AY43*ci_comp3)+(AY43*ct_comp3*'Time on treatment'!$D$21)</f>
        <v>0</v>
      </c>
      <c r="AZ168" s="109">
        <f ca="1">(AZ43*ct_comp3*'Time on treatment'!$E$21)</f>
        <v>0</v>
      </c>
      <c r="BA168" s="109">
        <f ca="1">(BA43*ct_comp3*'Time on treatment'!$F$21)</f>
        <v>0</v>
      </c>
      <c r="BB168" s="109">
        <f ca="1">(BB43*ct_comp3*'Time on treatment'!$G$21)</f>
        <v>0</v>
      </c>
      <c r="BC168" s="110">
        <f ca="1">(BC43*ct_comp3*'Time on treatment'!$H$21)</f>
        <v>0</v>
      </c>
      <c r="BF168" s="87" t="s">
        <v>170</v>
      </c>
      <c r="BG168" s="109">
        <f ca="1">(BG43*ci_comp4)+(BG43*ct_comp4*'Time on treatment'!$D$22)</f>
        <v>0</v>
      </c>
      <c r="BH168" s="109">
        <f ca="1">(BH43*ct_comp4*'Time on treatment'!$E$22)</f>
        <v>0</v>
      </c>
      <c r="BI168" s="109">
        <f ca="1">(BI43*ct_comp4*'Time on treatment'!$F$22)</f>
        <v>0</v>
      </c>
      <c r="BJ168" s="109">
        <f ca="1">(BJ43*ct_comp4*'Time on treatment'!$G$22)</f>
        <v>0</v>
      </c>
      <c r="BK168" s="110">
        <f ca="1">(BK43*ct_comp4*'Time on treatment'!$H$22)</f>
        <v>0</v>
      </c>
      <c r="BN168" s="87" t="s">
        <v>170</v>
      </c>
      <c r="BO168" s="109">
        <f ca="1">(BO43*ci_comp5)+(BO43*ct_comp5*'Time on treatment'!$D$23)</f>
        <v>0</v>
      </c>
      <c r="BP168" s="109">
        <f ca="1">(BP43*ct_comp5*'Time on treatment'!$E$23)</f>
        <v>0</v>
      </c>
      <c r="BQ168" s="109">
        <f ca="1">(BQ43*ct_comp5*'Time on treatment'!$F$23)</f>
        <v>0</v>
      </c>
      <c r="BR168" s="109">
        <f ca="1">(BR43*ct_comp5*'Time on treatment'!$G$23)</f>
        <v>0</v>
      </c>
      <c r="BS168" s="110">
        <f ca="1">(BS43*ct_comp5*'Time on treatment'!$H$23)</f>
        <v>0</v>
      </c>
      <c r="BV168" s="87" t="s">
        <v>170</v>
      </c>
      <c r="BW168" s="109">
        <f ca="1">(BW43*ci_comp6)+(BW43*ct_comp6*'Time on treatment'!$D$24)</f>
        <v>0</v>
      </c>
      <c r="BX168" s="109">
        <f ca="1">(BX43*ct_comp6*'Time on treatment'!$E$24)</f>
        <v>0</v>
      </c>
      <c r="BY168" s="109">
        <f ca="1">(BY43*ct_comp6*'Time on treatment'!$F$24)</f>
        <v>0</v>
      </c>
      <c r="BZ168" s="109">
        <f ca="1">(BZ43*ct_comp6*'Time on treatment'!$G$24)</f>
        <v>0</v>
      </c>
      <c r="CA168" s="110">
        <f ca="1">(CA43*ct_comp6*'Time on treatment'!$H$24)</f>
        <v>0</v>
      </c>
      <c r="CD168" s="87" t="s">
        <v>170</v>
      </c>
      <c r="CE168" s="109">
        <f ca="1">(CE43*ci_comp7)+(CE43*ct_comp7*'Time on treatment'!$D$25)</f>
        <v>0</v>
      </c>
      <c r="CF168" s="109">
        <f ca="1">(CF43*ct_comp7*'Time on treatment'!$E$25)</f>
        <v>0</v>
      </c>
      <c r="CG168" s="109">
        <f ca="1">(CG43*ct_comp7*'Time on treatment'!$F$25)</f>
        <v>0</v>
      </c>
      <c r="CH168" s="109">
        <f ca="1">(CH43*ct_comp7*'Time on treatment'!$G$25)</f>
        <v>0</v>
      </c>
      <c r="CI168" s="110">
        <f ca="1">(CI43*ct_comp7*'Time on treatment'!$H$25)</f>
        <v>0</v>
      </c>
      <c r="CL168" s="87" t="s">
        <v>170</v>
      </c>
      <c r="CM168" s="109">
        <f ca="1">(CM43*ci_comp8)+(CM43*ct_comp8*'Time on treatment'!$D$26)</f>
        <v>0</v>
      </c>
      <c r="CN168" s="109">
        <f ca="1">(CN43*ct_comp8*'Time on treatment'!$E$26)</f>
        <v>0</v>
      </c>
      <c r="CO168" s="109">
        <f ca="1">(CO43*ct_comp8*'Time on treatment'!$F$26)</f>
        <v>0</v>
      </c>
      <c r="CP168" s="109">
        <f ca="1">(CP43*ct_comp8*'Time on treatment'!$G$26)</f>
        <v>0</v>
      </c>
      <c r="CQ168" s="110">
        <f ca="1">(CQ43*ct_comp8*'Time on treatment'!$H$26)</f>
        <v>0</v>
      </c>
      <c r="CT168" s="87" t="s">
        <v>170</v>
      </c>
      <c r="CU168" s="109">
        <f ca="1">(CU43*ci_comp9)+(CU43*ct_comp9*'Time on treatment'!$D$27)</f>
        <v>0</v>
      </c>
      <c r="CV168" s="109">
        <f ca="1">(CV43*ct_comp9*'Time on treatment'!$E$27)</f>
        <v>0</v>
      </c>
      <c r="CW168" s="109">
        <f ca="1">(CW43*ct_comp9*'Time on treatment'!$F$27)</f>
        <v>0</v>
      </c>
      <c r="CX168" s="109">
        <f ca="1">(CX43*ct_comp9*'Time on treatment'!$G$27)</f>
        <v>0</v>
      </c>
      <c r="CY168" s="110">
        <f ca="1">(CY43*ct_comp9*'Time on treatment'!$H$27)</f>
        <v>0</v>
      </c>
      <c r="DB168" s="87" t="s">
        <v>170</v>
      </c>
      <c r="DC168" s="109">
        <f ca="1">(DC43*ci_comp10)+(DC43*ct_comp10*'Time on treatment'!$D$28)</f>
        <v>0</v>
      </c>
      <c r="DD168" s="109">
        <f ca="1">(DD43*ct_comp10*'Time on treatment'!$E$28)</f>
        <v>0</v>
      </c>
      <c r="DE168" s="109">
        <f ca="1">(DE43*ct_comp10*'Time on treatment'!$F$28)</f>
        <v>0</v>
      </c>
      <c r="DF168" s="109">
        <f ca="1">(DF43*ct_comp10*'Time on treatment'!$G$28)</f>
        <v>0</v>
      </c>
      <c r="DG168" s="110">
        <f ca="1">(DG43*ct_comp10*'Time on treatment'!$H$28)</f>
        <v>0</v>
      </c>
    </row>
    <row r="169" spans="2:111">
      <c r="B169" s="87" t="s">
        <v>175</v>
      </c>
      <c r="C169" s="109"/>
      <c r="D169" s="109"/>
      <c r="E169" s="109"/>
      <c r="F169" s="109"/>
      <c r="G169" s="110"/>
      <c r="J169" s="87" t="s">
        <v>175</v>
      </c>
      <c r="K169" s="109"/>
      <c r="L169" s="109"/>
      <c r="M169" s="109"/>
      <c r="N169" s="109"/>
      <c r="O169" s="110"/>
      <c r="R169" s="87" t="s">
        <v>175</v>
      </c>
      <c r="S169" s="109"/>
      <c r="T169" s="109"/>
      <c r="U169" s="109"/>
      <c r="V169" s="109"/>
      <c r="W169" s="110"/>
      <c r="Z169" s="87" t="s">
        <v>175</v>
      </c>
      <c r="AA169" s="109"/>
      <c r="AB169" s="109"/>
      <c r="AC169" s="109"/>
      <c r="AD169" s="109"/>
      <c r="AE169" s="110"/>
      <c r="AH169" s="87" t="s">
        <v>175</v>
      </c>
      <c r="AI169" s="109"/>
      <c r="AJ169" s="109"/>
      <c r="AK169" s="109"/>
      <c r="AL169" s="109"/>
      <c r="AM169" s="110"/>
      <c r="AP169" s="87" t="s">
        <v>175</v>
      </c>
      <c r="AQ169" s="109"/>
      <c r="AR169" s="109"/>
      <c r="AS169" s="109"/>
      <c r="AT169" s="109"/>
      <c r="AU169" s="110"/>
      <c r="AX169" s="87" t="s">
        <v>175</v>
      </c>
      <c r="AY169" s="109"/>
      <c r="AZ169" s="109"/>
      <c r="BA169" s="109"/>
      <c r="BB169" s="109"/>
      <c r="BC169" s="110"/>
      <c r="BF169" s="87" t="s">
        <v>175</v>
      </c>
      <c r="BG169" s="109"/>
      <c r="BH169" s="109"/>
      <c r="BI169" s="109"/>
      <c r="BJ169" s="109"/>
      <c r="BK169" s="110"/>
      <c r="BN169" s="87" t="s">
        <v>175</v>
      </c>
      <c r="BO169" s="109"/>
      <c r="BP169" s="109"/>
      <c r="BQ169" s="109"/>
      <c r="BR169" s="109"/>
      <c r="BS169" s="110"/>
      <c r="BV169" s="87" t="s">
        <v>175</v>
      </c>
      <c r="BW169" s="109"/>
      <c r="BX169" s="109"/>
      <c r="BY169" s="109"/>
      <c r="BZ169" s="109"/>
      <c r="CA169" s="110"/>
      <c r="CD169" s="87" t="s">
        <v>175</v>
      </c>
      <c r="CE169" s="109"/>
      <c r="CF169" s="109"/>
      <c r="CG169" s="109"/>
      <c r="CH169" s="109"/>
      <c r="CI169" s="110"/>
      <c r="CL169" s="87" t="s">
        <v>175</v>
      </c>
      <c r="CM169" s="109"/>
      <c r="CN169" s="109"/>
      <c r="CO169" s="109"/>
      <c r="CP169" s="109"/>
      <c r="CQ169" s="110"/>
      <c r="CT169" s="87" t="s">
        <v>175</v>
      </c>
      <c r="CU169" s="109"/>
      <c r="CV169" s="109"/>
      <c r="CW169" s="109"/>
      <c r="CX169" s="109"/>
      <c r="CY169" s="110"/>
      <c r="DB169" s="87" t="s">
        <v>175</v>
      </c>
      <c r="DC169" s="109"/>
      <c r="DD169" s="109"/>
      <c r="DE169" s="109"/>
      <c r="DF169" s="109"/>
      <c r="DG169" s="110"/>
    </row>
    <row r="170" spans="2:111">
      <c r="B170" s="87" t="s">
        <v>171</v>
      </c>
      <c r="C170" s="111"/>
      <c r="D170" s="109">
        <f ca="1">(D45*ci_int1)+(D45*ct_int1*'Time on treatment'!$D$12)</f>
        <v>26442645.347635079</v>
      </c>
      <c r="E170" s="109">
        <f ca="1">(E45*ct_int1*'Time on treatment'!$E$12)</f>
        <v>0</v>
      </c>
      <c r="F170" s="109">
        <f ca="1">(F45*ct_int1*'Time on treatment'!$F$12)</f>
        <v>0</v>
      </c>
      <c r="G170" s="110">
        <f ca="1">(G45*ct_int1*'Time on treatment'!$G$12)</f>
        <v>0</v>
      </c>
      <c r="J170" s="87" t="s">
        <v>171</v>
      </c>
      <c r="K170" s="111"/>
      <c r="L170" s="109">
        <f ca="1">(L45*ci_int2)+(L45*ct_int2*'Time on treatment'!$D$13)</f>
        <v>0</v>
      </c>
      <c r="M170" s="109">
        <f ca="1">(M45*ct_int2*'Time on treatment'!$E$13)</f>
        <v>0</v>
      </c>
      <c r="N170" s="109">
        <f ca="1">(N45*ct_int2*'Time on treatment'!$F$13)</f>
        <v>0</v>
      </c>
      <c r="O170" s="110">
        <f ca="1">(O45*ct_int2*'Time on treatment'!$G$13)</f>
        <v>0</v>
      </c>
      <c r="R170" s="87" t="s">
        <v>171</v>
      </c>
      <c r="S170" s="111"/>
      <c r="T170" s="109">
        <f ca="1">(T45*ci_int3)+(T45*ct_int3*'Time on treatment'!$D$14)</f>
        <v>0</v>
      </c>
      <c r="U170" s="109">
        <f ca="1">(U45*ct_int3*'Time on treatment'!$E$14)</f>
        <v>0</v>
      </c>
      <c r="V170" s="109">
        <f ca="1">(V45*ct_int3*'Time on treatment'!$F$14)</f>
        <v>0</v>
      </c>
      <c r="W170" s="110">
        <f ca="1">(W45*ct_int3*'Time on treatment'!$G$14)</f>
        <v>0</v>
      </c>
      <c r="Z170" s="87" t="s">
        <v>171</v>
      </c>
      <c r="AA170" s="111"/>
      <c r="AB170" s="109">
        <f ca="1">(AB45*ci_int4)+(AB45*ct_int4*'Time on treatment'!$D$15)</f>
        <v>0</v>
      </c>
      <c r="AC170" s="109">
        <f ca="1">(AC45*ct_int4*'Time on treatment'!$E$15)</f>
        <v>0</v>
      </c>
      <c r="AD170" s="109">
        <f ca="1">(AD45*ct_int4*'Time on treatment'!$F$15)</f>
        <v>0</v>
      </c>
      <c r="AE170" s="110">
        <f ca="1">(AE45*ct_int4*'Time on treatment'!$G$15)</f>
        <v>0</v>
      </c>
      <c r="AH170" s="87" t="s">
        <v>171</v>
      </c>
      <c r="AI170" s="111"/>
      <c r="AJ170" s="109">
        <f ca="1">(AJ45*ci_comp1)+(AJ45*ct_comp1*'Time on treatment'!$D$19)</f>
        <v>4920917.0969294868</v>
      </c>
      <c r="AK170" s="109">
        <f ca="1">(AK45*ct_comp1*'Time on treatment'!$E$19)</f>
        <v>4920917.0969294868</v>
      </c>
      <c r="AL170" s="109">
        <f ca="1">(AL45*ct_comp1*'Time on treatment'!$F$19)</f>
        <v>4920917.0969294868</v>
      </c>
      <c r="AM170" s="110">
        <f ca="1">(AM45*ct_comp1*'Time on treatment'!$G$19)</f>
        <v>4920917.0969294868</v>
      </c>
      <c r="AP170" s="87" t="s">
        <v>171</v>
      </c>
      <c r="AQ170" s="111"/>
      <c r="AR170" s="109">
        <f ca="1">(AR45*ci_comp2)+(AR45*ct_comp2*'Time on treatment'!$D$20)</f>
        <v>0</v>
      </c>
      <c r="AS170" s="109">
        <f ca="1">(AS45*ct_comp2*'Time on treatment'!$E$20)</f>
        <v>0</v>
      </c>
      <c r="AT170" s="109">
        <f ca="1">(AT45*ct_comp2*'Time on treatment'!$F$20)</f>
        <v>0</v>
      </c>
      <c r="AU170" s="110">
        <f ca="1">(AU45*ct_comp2*'Time on treatment'!$G$20)</f>
        <v>0</v>
      </c>
      <c r="AX170" s="87" t="s">
        <v>171</v>
      </c>
      <c r="AY170" s="111"/>
      <c r="AZ170" s="109">
        <f ca="1">(AZ45*ci_comp3)+(AZ45*ct_comp3*'Time on treatment'!$D$21)</f>
        <v>0</v>
      </c>
      <c r="BA170" s="109">
        <f ca="1">(BA45*ct_comp3*'Time on treatment'!$E$21)</f>
        <v>0</v>
      </c>
      <c r="BB170" s="109">
        <f ca="1">(BB45*ct_comp3*'Time on treatment'!$F$21)</f>
        <v>0</v>
      </c>
      <c r="BC170" s="110">
        <f ca="1">(BC45*ct_comp3*'Time on treatment'!$G$21)</f>
        <v>0</v>
      </c>
      <c r="BF170" s="87" t="s">
        <v>171</v>
      </c>
      <c r="BG170" s="111"/>
      <c r="BH170" s="109">
        <f ca="1">(BH45*ci_comp4)+(BH45*ct_comp4*'Time on treatment'!$D$22)</f>
        <v>0</v>
      </c>
      <c r="BI170" s="109">
        <f ca="1">(BI45*ct_comp4*'Time on treatment'!$E$22)</f>
        <v>0</v>
      </c>
      <c r="BJ170" s="109">
        <f ca="1">(BJ45*ct_comp4*'Time on treatment'!$F$22)</f>
        <v>0</v>
      </c>
      <c r="BK170" s="110">
        <f ca="1">(BK45*ct_comp4*'Time on treatment'!$G$22)</f>
        <v>0</v>
      </c>
      <c r="BN170" s="87" t="s">
        <v>171</v>
      </c>
      <c r="BO170" s="111"/>
      <c r="BP170" s="109">
        <f ca="1">(BP45*ci_comp5)+(BP45*ct_comp5*'Time on treatment'!$D$23)</f>
        <v>0</v>
      </c>
      <c r="BQ170" s="109">
        <f ca="1">(BQ45*ct_comp5*'Time on treatment'!$E$23)</f>
        <v>0</v>
      </c>
      <c r="BR170" s="109">
        <f ca="1">(BR45*ct_comp5*'Time on treatment'!$F$23)</f>
        <v>0</v>
      </c>
      <c r="BS170" s="110">
        <f ca="1">(BS45*ct_comp5*'Time on treatment'!$G$23)</f>
        <v>0</v>
      </c>
      <c r="BV170" s="87" t="s">
        <v>171</v>
      </c>
      <c r="BW170" s="111"/>
      <c r="BX170" s="109">
        <f ca="1">(BX45*ci_comp6)+(BX45*ct_comp6*'Time on treatment'!$D$24)</f>
        <v>0</v>
      </c>
      <c r="BY170" s="109">
        <f ca="1">(BY45*ct_comp6*'Time on treatment'!$E$24)</f>
        <v>0</v>
      </c>
      <c r="BZ170" s="109">
        <f ca="1">(BZ45*ct_comp6*'Time on treatment'!$F$24)</f>
        <v>0</v>
      </c>
      <c r="CA170" s="110">
        <f ca="1">(CA45*ct_comp6*'Time on treatment'!$G$24)</f>
        <v>0</v>
      </c>
      <c r="CD170" s="87" t="s">
        <v>171</v>
      </c>
      <c r="CE170" s="111"/>
      <c r="CF170" s="109">
        <f ca="1">(CF45*ci_comp7)+(CF45*ct_comp7*'Time on treatment'!$D$25)</f>
        <v>0</v>
      </c>
      <c r="CG170" s="109">
        <f ca="1">(CG45*ct_comp7*'Time on treatment'!$E$25)</f>
        <v>0</v>
      </c>
      <c r="CH170" s="109">
        <f ca="1">(CH45*ct_comp7*'Time on treatment'!$F$25)</f>
        <v>0</v>
      </c>
      <c r="CI170" s="110">
        <f ca="1">(CI45*ct_comp7*'Time on treatment'!$G$25)</f>
        <v>0</v>
      </c>
      <c r="CL170" s="87" t="s">
        <v>171</v>
      </c>
      <c r="CM170" s="111"/>
      <c r="CN170" s="109">
        <f ca="1">(CN45*ci_comp8)+(CN45*ct_comp8*'Time on treatment'!$D$26)</f>
        <v>0</v>
      </c>
      <c r="CO170" s="109">
        <f ca="1">(CO45*ct_comp8*'Time on treatment'!$E$26)</f>
        <v>0</v>
      </c>
      <c r="CP170" s="109">
        <f ca="1">(CP45*ct_comp8*'Time on treatment'!$F$26)</f>
        <v>0</v>
      </c>
      <c r="CQ170" s="110">
        <f ca="1">(CQ45*ct_comp8*'Time on treatment'!$G$26)</f>
        <v>0</v>
      </c>
      <c r="CT170" s="87" t="s">
        <v>171</v>
      </c>
      <c r="CU170" s="111"/>
      <c r="CV170" s="109">
        <f ca="1">(CV45*ci_comp9)+(CV45*ct_comp9*'Time on treatment'!$D$27)</f>
        <v>0</v>
      </c>
      <c r="CW170" s="109">
        <f ca="1">(CW45*ct_comp9*'Time on treatment'!$E$27)</f>
        <v>0</v>
      </c>
      <c r="CX170" s="109">
        <f ca="1">(CX45*ct_comp9*'Time on treatment'!$F$27)</f>
        <v>0</v>
      </c>
      <c r="CY170" s="110">
        <f ca="1">(CY45*ct_comp9*'Time on treatment'!$G$27)</f>
        <v>0</v>
      </c>
      <c r="DB170" s="87" t="s">
        <v>171</v>
      </c>
      <c r="DC170" s="111"/>
      <c r="DD170" s="109">
        <f ca="1">(DD45*ci_comp10)+(DD45*ct_comp10*'Time on treatment'!$D$28)</f>
        <v>0</v>
      </c>
      <c r="DE170" s="109">
        <f ca="1">(DE45*ct_comp10*'Time on treatment'!$E$28)</f>
        <v>0</v>
      </c>
      <c r="DF170" s="109">
        <f ca="1">(DF45*ct_comp10*'Time on treatment'!$F$28)</f>
        <v>0</v>
      </c>
      <c r="DG170" s="110">
        <f ca="1">(DG45*ct_comp10*'Time on treatment'!$G$28)</f>
        <v>0</v>
      </c>
    </row>
    <row r="171" spans="2:111">
      <c r="B171" s="87" t="s">
        <v>176</v>
      </c>
      <c r="C171" s="111"/>
      <c r="D171" s="109"/>
      <c r="E171" s="109"/>
      <c r="F171" s="109"/>
      <c r="G171" s="110"/>
      <c r="J171" s="87" t="s">
        <v>176</v>
      </c>
      <c r="K171" s="111"/>
      <c r="L171" s="109"/>
      <c r="M171" s="109"/>
      <c r="N171" s="109"/>
      <c r="O171" s="110"/>
      <c r="R171" s="87" t="s">
        <v>176</v>
      </c>
      <c r="S171" s="111"/>
      <c r="T171" s="109"/>
      <c r="U171" s="109"/>
      <c r="V171" s="109"/>
      <c r="W171" s="110"/>
      <c r="Z171" s="87" t="s">
        <v>176</v>
      </c>
      <c r="AA171" s="111"/>
      <c r="AB171" s="109"/>
      <c r="AC171" s="109"/>
      <c r="AD171" s="109"/>
      <c r="AE171" s="110"/>
      <c r="AH171" s="87" t="s">
        <v>176</v>
      </c>
      <c r="AI171" s="111"/>
      <c r="AJ171" s="109"/>
      <c r="AK171" s="109"/>
      <c r="AL171" s="109"/>
      <c r="AM171" s="110"/>
      <c r="AP171" s="87" t="s">
        <v>176</v>
      </c>
      <c r="AQ171" s="111"/>
      <c r="AR171" s="109"/>
      <c r="AS171" s="109"/>
      <c r="AT171" s="109"/>
      <c r="AU171" s="110"/>
      <c r="AX171" s="87" t="s">
        <v>176</v>
      </c>
      <c r="AY171" s="111"/>
      <c r="AZ171" s="109"/>
      <c r="BA171" s="109"/>
      <c r="BB171" s="109"/>
      <c r="BC171" s="110"/>
      <c r="BF171" s="87" t="s">
        <v>176</v>
      </c>
      <c r="BG171" s="111"/>
      <c r="BH171" s="109"/>
      <c r="BI171" s="109"/>
      <c r="BJ171" s="109"/>
      <c r="BK171" s="110"/>
      <c r="BN171" s="87" t="s">
        <v>176</v>
      </c>
      <c r="BO171" s="111"/>
      <c r="BP171" s="109"/>
      <c r="BQ171" s="109"/>
      <c r="BR171" s="109"/>
      <c r="BS171" s="110"/>
      <c r="BV171" s="87" t="s">
        <v>176</v>
      </c>
      <c r="BW171" s="111"/>
      <c r="BX171" s="109"/>
      <c r="BY171" s="109"/>
      <c r="BZ171" s="109"/>
      <c r="CA171" s="110"/>
      <c r="CD171" s="87" t="s">
        <v>176</v>
      </c>
      <c r="CE171" s="111"/>
      <c r="CF171" s="109"/>
      <c r="CG171" s="109"/>
      <c r="CH171" s="109"/>
      <c r="CI171" s="110"/>
      <c r="CL171" s="87" t="s">
        <v>176</v>
      </c>
      <c r="CM171" s="111"/>
      <c r="CN171" s="109"/>
      <c r="CO171" s="109"/>
      <c r="CP171" s="109"/>
      <c r="CQ171" s="110"/>
      <c r="CT171" s="87" t="s">
        <v>176</v>
      </c>
      <c r="CU171" s="111"/>
      <c r="CV171" s="109"/>
      <c r="CW171" s="109"/>
      <c r="CX171" s="109"/>
      <c r="CY171" s="110"/>
      <c r="DB171" s="87" t="s">
        <v>176</v>
      </c>
      <c r="DC171" s="111"/>
      <c r="DD171" s="109"/>
      <c r="DE171" s="109"/>
      <c r="DF171" s="109"/>
      <c r="DG171" s="110"/>
    </row>
    <row r="172" spans="2:111">
      <c r="B172" s="87" t="s">
        <v>172</v>
      </c>
      <c r="C172" s="111"/>
      <c r="D172" s="111"/>
      <c r="E172" s="109">
        <f ca="1">(E47*ci_int1)+(E47*ct_int1*'Time on treatment'!$D$12)</f>
        <v>39508830.334991291</v>
      </c>
      <c r="F172" s="109">
        <f ca="1">(F47*ct_int1*'Time on treatment'!$E$12)</f>
        <v>0</v>
      </c>
      <c r="G172" s="110">
        <f ca="1">(G47*ct_int1*'Time on treatment'!$F$12)</f>
        <v>0</v>
      </c>
      <c r="J172" s="87" t="s">
        <v>172</v>
      </c>
      <c r="K172" s="111"/>
      <c r="L172" s="111"/>
      <c r="M172" s="109">
        <f ca="1">(M47*ci_int2)+(M47*ct_int2*'Time on treatment'!$D$13)</f>
        <v>0</v>
      </c>
      <c r="N172" s="109">
        <f ca="1">(N47*ct_int2*'Time on treatment'!$E$13)</f>
        <v>0</v>
      </c>
      <c r="O172" s="110">
        <f ca="1">(O47*ct_int2*'Time on treatment'!$F$13)</f>
        <v>0</v>
      </c>
      <c r="R172" s="87" t="s">
        <v>172</v>
      </c>
      <c r="S172" s="111"/>
      <c r="T172" s="111"/>
      <c r="U172" s="109">
        <f ca="1">(U47*ci_int3)+(U47*ct_int3*'Time on treatment'!$D$14)</f>
        <v>0</v>
      </c>
      <c r="V172" s="109">
        <f ca="1">(V47*ct_int3*'Time on treatment'!$E$14)</f>
        <v>0</v>
      </c>
      <c r="W172" s="110">
        <f ca="1">(W47*ct_int3*'Time on treatment'!$F$14)</f>
        <v>0</v>
      </c>
      <c r="Z172" s="87" t="s">
        <v>172</v>
      </c>
      <c r="AA172" s="111"/>
      <c r="AB172" s="111"/>
      <c r="AC172" s="109">
        <f ca="1">(AC47*ci_int4)+(AC47*ct_int4*'Time on treatment'!$D$15)</f>
        <v>0</v>
      </c>
      <c r="AD172" s="109">
        <f ca="1">(AD47*ct_int4*'Time on treatment'!$E$15)</f>
        <v>0</v>
      </c>
      <c r="AE172" s="110">
        <f ca="1">(AE47*ct_int4*'Time on treatment'!$F$15)</f>
        <v>0</v>
      </c>
      <c r="AH172" s="87" t="s">
        <v>172</v>
      </c>
      <c r="AI172" s="111"/>
      <c r="AJ172" s="111"/>
      <c r="AK172" s="109">
        <f ca="1">(AK47*ci_comp1)+(AK47*ct_comp1*'Time on treatment'!$D$19)</f>
        <v>4629354.917695147</v>
      </c>
      <c r="AL172" s="109">
        <f ca="1">(AL47*ct_comp1*'Time on treatment'!$E$19)</f>
        <v>4629354.917695147</v>
      </c>
      <c r="AM172" s="110">
        <f ca="1">(AM47*ct_comp1*'Time on treatment'!$F$19)</f>
        <v>4629354.917695147</v>
      </c>
      <c r="AP172" s="87" t="s">
        <v>172</v>
      </c>
      <c r="AQ172" s="111"/>
      <c r="AR172" s="111"/>
      <c r="AS172" s="109">
        <f ca="1">(AS47*ci_comp2)+(AS47*ct_comp2*'Time on treatment'!$D$20)</f>
        <v>0</v>
      </c>
      <c r="AT172" s="109">
        <f ca="1">(AT47*ct_comp2*'Time on treatment'!$E$20)</f>
        <v>0</v>
      </c>
      <c r="AU172" s="110">
        <f ca="1">(AU47*ct_comp2*'Time on treatment'!$F$20)</f>
        <v>0</v>
      </c>
      <c r="AX172" s="87" t="s">
        <v>172</v>
      </c>
      <c r="AY172" s="111"/>
      <c r="AZ172" s="111"/>
      <c r="BA172" s="109">
        <f ca="1">(BA47*ci_comp3)+(BA47*ct_comp3*'Time on treatment'!$D$21)</f>
        <v>0</v>
      </c>
      <c r="BB172" s="109">
        <f ca="1">(BB47*ct_comp3*'Time on treatment'!$E$21)</f>
        <v>0</v>
      </c>
      <c r="BC172" s="110">
        <f ca="1">(BC47*ct_comp3*'Time on treatment'!$F$21)</f>
        <v>0</v>
      </c>
      <c r="BF172" s="87" t="s">
        <v>172</v>
      </c>
      <c r="BG172" s="111"/>
      <c r="BH172" s="111"/>
      <c r="BI172" s="109">
        <f ca="1">(BI47*ci_comp4)+(BI47*ct_comp4*'Time on treatment'!$D$22)</f>
        <v>0</v>
      </c>
      <c r="BJ172" s="109">
        <f ca="1">(BJ47*ct_comp4*'Time on treatment'!$E$22)</f>
        <v>0</v>
      </c>
      <c r="BK172" s="110">
        <f ca="1">(BK47*ct_comp4*'Time on treatment'!$F$22)</f>
        <v>0</v>
      </c>
      <c r="BN172" s="87" t="s">
        <v>172</v>
      </c>
      <c r="BO172" s="111"/>
      <c r="BP172" s="111"/>
      <c r="BQ172" s="109">
        <f ca="1">(BQ47*ci_comp5)+(BQ47*ct_comp5*'Time on treatment'!$D$23)</f>
        <v>0</v>
      </c>
      <c r="BR172" s="109">
        <f ca="1">(BR47*ct_comp5*'Time on treatment'!$E$23)</f>
        <v>0</v>
      </c>
      <c r="BS172" s="110">
        <f ca="1">(BS47*ct_comp5*'Time on treatment'!$F$23)</f>
        <v>0</v>
      </c>
      <c r="BV172" s="87" t="s">
        <v>172</v>
      </c>
      <c r="BW172" s="111"/>
      <c r="BX172" s="111"/>
      <c r="BY172" s="109">
        <f ca="1">(BY47*ci_comp6)+(BY47*ct_comp6*'Time on treatment'!$D$24)</f>
        <v>0</v>
      </c>
      <c r="BZ172" s="109">
        <f ca="1">(BZ47*ct_comp6*'Time on treatment'!$E$24)</f>
        <v>0</v>
      </c>
      <c r="CA172" s="110">
        <f ca="1">(CA47*ct_comp6*'Time on treatment'!$F$24)</f>
        <v>0</v>
      </c>
      <c r="CD172" s="87" t="s">
        <v>172</v>
      </c>
      <c r="CE172" s="111"/>
      <c r="CF172" s="111"/>
      <c r="CG172" s="109">
        <f ca="1">(CG47*ci_comp7)+(CG47*ct_comp7*'Time on treatment'!$D$25)</f>
        <v>0</v>
      </c>
      <c r="CH172" s="109">
        <f ca="1">(CH47*ct_comp7*'Time on treatment'!$E$25)</f>
        <v>0</v>
      </c>
      <c r="CI172" s="110">
        <f ca="1">(CI47*ct_comp7*'Time on treatment'!$F$25)</f>
        <v>0</v>
      </c>
      <c r="CL172" s="87" t="s">
        <v>172</v>
      </c>
      <c r="CM172" s="111"/>
      <c r="CN172" s="111"/>
      <c r="CO172" s="109">
        <f ca="1">(CO47*ci_comp8)+(CO47*ct_comp8*'Time on treatment'!$D$26)</f>
        <v>0</v>
      </c>
      <c r="CP172" s="109">
        <f ca="1">(CP47*ct_comp8*'Time on treatment'!$E$26)</f>
        <v>0</v>
      </c>
      <c r="CQ172" s="110">
        <f ca="1">(CQ47*ct_comp8*'Time on treatment'!$F$26)</f>
        <v>0</v>
      </c>
      <c r="CT172" s="87" t="s">
        <v>172</v>
      </c>
      <c r="CU172" s="111"/>
      <c r="CV172" s="111"/>
      <c r="CW172" s="109">
        <f ca="1">(CW47*ci_comp9)+(CW47*ct_comp9*'Time on treatment'!$D$27)</f>
        <v>0</v>
      </c>
      <c r="CX172" s="109">
        <f ca="1">(CX47*ct_comp9*'Time on treatment'!$E$27)</f>
        <v>0</v>
      </c>
      <c r="CY172" s="110">
        <f ca="1">(CY47*ct_comp9*'Time on treatment'!$F$27)</f>
        <v>0</v>
      </c>
      <c r="DB172" s="87" t="s">
        <v>172</v>
      </c>
      <c r="DC172" s="111"/>
      <c r="DD172" s="111"/>
      <c r="DE172" s="109">
        <f ca="1">(DE47*ci_comp10)+(DE47*ct_comp10*'Time on treatment'!$D$28)</f>
        <v>0</v>
      </c>
      <c r="DF172" s="109">
        <f ca="1">(DF47*ct_comp10*'Time on treatment'!$E$28)</f>
        <v>0</v>
      </c>
      <c r="DG172" s="110">
        <f ca="1">(DG47*ct_comp10*'Time on treatment'!$F$28)</f>
        <v>0</v>
      </c>
    </row>
    <row r="173" spans="2:111">
      <c r="B173" s="87" t="s">
        <v>177</v>
      </c>
      <c r="C173" s="111"/>
      <c r="D173" s="111"/>
      <c r="E173" s="109"/>
      <c r="F173" s="109"/>
      <c r="G173" s="110"/>
      <c r="J173" s="87" t="s">
        <v>177</v>
      </c>
      <c r="K173" s="111"/>
      <c r="L173" s="111"/>
      <c r="M173" s="109"/>
      <c r="N173" s="109"/>
      <c r="O173" s="110"/>
      <c r="R173" s="87" t="s">
        <v>177</v>
      </c>
      <c r="S173" s="111"/>
      <c r="T173" s="111"/>
      <c r="U173" s="109"/>
      <c r="V173" s="109"/>
      <c r="W173" s="110"/>
      <c r="Z173" s="87" t="s">
        <v>177</v>
      </c>
      <c r="AA173" s="111"/>
      <c r="AB173" s="111"/>
      <c r="AC173" s="109"/>
      <c r="AD173" s="109"/>
      <c r="AE173" s="110"/>
      <c r="AH173" s="87" t="s">
        <v>177</v>
      </c>
      <c r="AI173" s="111"/>
      <c r="AJ173" s="111"/>
      <c r="AK173" s="109"/>
      <c r="AL173" s="109"/>
      <c r="AM173" s="110"/>
      <c r="AP173" s="87" t="s">
        <v>177</v>
      </c>
      <c r="AQ173" s="111"/>
      <c r="AR173" s="111"/>
      <c r="AS173" s="109"/>
      <c r="AT173" s="109"/>
      <c r="AU173" s="110"/>
      <c r="AX173" s="87" t="s">
        <v>177</v>
      </c>
      <c r="AY173" s="111"/>
      <c r="AZ173" s="111"/>
      <c r="BA173" s="109"/>
      <c r="BB173" s="109"/>
      <c r="BC173" s="110"/>
      <c r="BF173" s="87" t="s">
        <v>177</v>
      </c>
      <c r="BG173" s="111"/>
      <c r="BH173" s="111"/>
      <c r="BI173" s="109"/>
      <c r="BJ173" s="109"/>
      <c r="BK173" s="110"/>
      <c r="BN173" s="87" t="s">
        <v>177</v>
      </c>
      <c r="BO173" s="111"/>
      <c r="BP173" s="111"/>
      <c r="BQ173" s="109"/>
      <c r="BR173" s="109"/>
      <c r="BS173" s="110"/>
      <c r="BV173" s="87" t="s">
        <v>177</v>
      </c>
      <c r="BW173" s="111"/>
      <c r="BX173" s="111"/>
      <c r="BY173" s="109"/>
      <c r="BZ173" s="109"/>
      <c r="CA173" s="110"/>
      <c r="CD173" s="87" t="s">
        <v>177</v>
      </c>
      <c r="CE173" s="111"/>
      <c r="CF173" s="111"/>
      <c r="CG173" s="109"/>
      <c r="CH173" s="109"/>
      <c r="CI173" s="110"/>
      <c r="CL173" s="87" t="s">
        <v>177</v>
      </c>
      <c r="CM173" s="111"/>
      <c r="CN173" s="111"/>
      <c r="CO173" s="109"/>
      <c r="CP173" s="109"/>
      <c r="CQ173" s="110"/>
      <c r="CT173" s="87" t="s">
        <v>177</v>
      </c>
      <c r="CU173" s="111"/>
      <c r="CV173" s="111"/>
      <c r="CW173" s="109"/>
      <c r="CX173" s="109"/>
      <c r="CY173" s="110"/>
      <c r="DB173" s="87" t="s">
        <v>177</v>
      </c>
      <c r="DC173" s="111"/>
      <c r="DD173" s="111"/>
      <c r="DE173" s="109"/>
      <c r="DF173" s="109"/>
      <c r="DG173" s="110"/>
    </row>
    <row r="174" spans="2:111">
      <c r="B174" s="87" t="s">
        <v>173</v>
      </c>
      <c r="C174" s="111"/>
      <c r="D174" s="111"/>
      <c r="E174" s="111"/>
      <c r="F174" s="109">
        <f ca="1">(F49*ci_int1)+(F49*ct_int1*'Time on treatment'!$D$12)</f>
        <v>52430279.29388456</v>
      </c>
      <c r="G174" s="110">
        <f ca="1">(G49*ct_int1*'Time on treatment'!$E$12)</f>
        <v>0</v>
      </c>
      <c r="J174" s="87" t="s">
        <v>173</v>
      </c>
      <c r="K174" s="111"/>
      <c r="L174" s="111"/>
      <c r="M174" s="111"/>
      <c r="N174" s="109">
        <f ca="1">(N49*ci_int2)+(N49*ct_int2*'Time on treatment'!$D$13)</f>
        <v>0</v>
      </c>
      <c r="O174" s="110">
        <f ca="1">(O49*ct_int2*'Time on treatment'!$E$13)</f>
        <v>0</v>
      </c>
      <c r="R174" s="87" t="s">
        <v>173</v>
      </c>
      <c r="S174" s="111"/>
      <c r="T174" s="111"/>
      <c r="U174" s="111"/>
      <c r="V174" s="109">
        <f ca="1">(V49*ci_int3)+(V49*ct_int3*'Time on treatment'!$D$14)</f>
        <v>0</v>
      </c>
      <c r="W174" s="110">
        <f ca="1">(W49*ct_int3*'Time on treatment'!$E$14)</f>
        <v>0</v>
      </c>
      <c r="Z174" s="87" t="s">
        <v>173</v>
      </c>
      <c r="AA174" s="111"/>
      <c r="AB174" s="111"/>
      <c r="AC174" s="111"/>
      <c r="AD174" s="109">
        <f ca="1">(AD49*ci_int4)+(AD49*ct_int4*'Time on treatment'!$D$15)</f>
        <v>0</v>
      </c>
      <c r="AE174" s="110">
        <f ca="1">(AE49*ct_int4*'Time on treatment'!$E$15)</f>
        <v>0</v>
      </c>
      <c r="AH174" s="87" t="s">
        <v>173</v>
      </c>
      <c r="AI174" s="111"/>
      <c r="AJ174" s="111"/>
      <c r="AK174" s="111"/>
      <c r="AL174" s="109">
        <f ca="1">(AL49*ci_comp1)+(AL49*ct_comp1*'Time on treatment'!$D$19)</f>
        <v>4336514.4847925156</v>
      </c>
      <c r="AM174" s="110">
        <f ca="1">(AM49*ct_comp1*'Time on treatment'!$E$19)</f>
        <v>4336514.4847925156</v>
      </c>
      <c r="AP174" s="87" t="s">
        <v>173</v>
      </c>
      <c r="AQ174" s="111"/>
      <c r="AR174" s="111"/>
      <c r="AS174" s="111"/>
      <c r="AT174" s="109">
        <f ca="1">(AT49*ci_comp2)+(AT49*ct_comp2*'Time on treatment'!$D$20)</f>
        <v>0</v>
      </c>
      <c r="AU174" s="110">
        <f ca="1">(AU49*ct_comp2*'Time on treatment'!$E$20)</f>
        <v>0</v>
      </c>
      <c r="AX174" s="87" t="s">
        <v>173</v>
      </c>
      <c r="AY174" s="111"/>
      <c r="AZ174" s="111"/>
      <c r="BA174" s="111"/>
      <c r="BB174" s="109">
        <f ca="1">(BB49*ci_comp3)+(BB49*ct_comp3*'Time on treatment'!$D$21)</f>
        <v>0</v>
      </c>
      <c r="BC174" s="110">
        <f ca="1">(BC49*ct_comp3*'Time on treatment'!$E$21)</f>
        <v>0</v>
      </c>
      <c r="BF174" s="87" t="s">
        <v>173</v>
      </c>
      <c r="BG174" s="111"/>
      <c r="BH174" s="111"/>
      <c r="BI174" s="111"/>
      <c r="BJ174" s="109">
        <f ca="1">(BJ49*ci_comp4)+(BJ49*ct_comp4*'Time on treatment'!$D$22)</f>
        <v>0</v>
      </c>
      <c r="BK174" s="110">
        <f ca="1">(BK49*ct_comp4*'Time on treatment'!$E$22)</f>
        <v>0</v>
      </c>
      <c r="BN174" s="87" t="s">
        <v>173</v>
      </c>
      <c r="BO174" s="111"/>
      <c r="BP174" s="111"/>
      <c r="BQ174" s="111"/>
      <c r="BR174" s="109">
        <f ca="1">(BR49*ci_comp5)+(BR49*ct_comp5*'Time on treatment'!$D$23)</f>
        <v>0</v>
      </c>
      <c r="BS174" s="110">
        <f ca="1">(BS49*ct_comp5*'Time on treatment'!$E$23)</f>
        <v>0</v>
      </c>
      <c r="BV174" s="87" t="s">
        <v>173</v>
      </c>
      <c r="BW174" s="111"/>
      <c r="BX174" s="111"/>
      <c r="BY174" s="111"/>
      <c r="BZ174" s="109">
        <f ca="1">(BZ49*ci_comp6)+(BZ49*ct_comp6*'Time on treatment'!$D$24)</f>
        <v>0</v>
      </c>
      <c r="CA174" s="110">
        <f ca="1">(CA49*ct_comp6*'Time on treatment'!$E$24)</f>
        <v>0</v>
      </c>
      <c r="CD174" s="87" t="s">
        <v>173</v>
      </c>
      <c r="CE174" s="111"/>
      <c r="CF174" s="111"/>
      <c r="CG174" s="111"/>
      <c r="CH174" s="109">
        <f ca="1">(CH49*ci_comp7)+(CH49*ct_comp7*'Time on treatment'!$D$25)</f>
        <v>0</v>
      </c>
      <c r="CI174" s="110">
        <f ca="1">(CI49*ct_comp7*'Time on treatment'!$E$25)</f>
        <v>0</v>
      </c>
      <c r="CL174" s="87" t="s">
        <v>173</v>
      </c>
      <c r="CM174" s="111"/>
      <c r="CN174" s="111"/>
      <c r="CO174" s="111"/>
      <c r="CP174" s="109">
        <f ca="1">(CP49*ci_comp8)+(CP49*ct_comp8*'Time on treatment'!$D$26)</f>
        <v>0</v>
      </c>
      <c r="CQ174" s="110">
        <f ca="1">(CQ49*ct_comp8*'Time on treatment'!$E$26)</f>
        <v>0</v>
      </c>
      <c r="CT174" s="87" t="s">
        <v>173</v>
      </c>
      <c r="CU174" s="111"/>
      <c r="CV174" s="111"/>
      <c r="CW174" s="111"/>
      <c r="CX174" s="109">
        <f ca="1">(CX49*ci_comp9)+(CX49*ct_comp9*'Time on treatment'!$D$27)</f>
        <v>0</v>
      </c>
      <c r="CY174" s="110">
        <f ca="1">(CY49*ct_comp9*'Time on treatment'!$E$27)</f>
        <v>0</v>
      </c>
      <c r="DB174" s="87" t="s">
        <v>173</v>
      </c>
      <c r="DC174" s="111"/>
      <c r="DD174" s="111"/>
      <c r="DE174" s="111"/>
      <c r="DF174" s="109">
        <f ca="1">(DF49*ci_comp10)+(DF49*ct_comp10*'Time on treatment'!$D$28)</f>
        <v>0</v>
      </c>
      <c r="DG174" s="110">
        <f ca="1">(DG49*ct_comp10*'Time on treatment'!$E$28)</f>
        <v>0</v>
      </c>
    </row>
    <row r="175" spans="2:111">
      <c r="B175" s="87" t="s">
        <v>178</v>
      </c>
      <c r="C175" s="111"/>
      <c r="D175" s="111"/>
      <c r="E175" s="111"/>
      <c r="F175" s="109"/>
      <c r="G175" s="110"/>
      <c r="J175" s="87" t="s">
        <v>178</v>
      </c>
      <c r="K175" s="111"/>
      <c r="L175" s="111"/>
      <c r="M175" s="111"/>
      <c r="N175" s="109"/>
      <c r="O175" s="110"/>
      <c r="R175" s="87" t="s">
        <v>178</v>
      </c>
      <c r="S175" s="111"/>
      <c r="T175" s="111"/>
      <c r="U175" s="111"/>
      <c r="V175" s="109"/>
      <c r="W175" s="110"/>
      <c r="Z175" s="87" t="s">
        <v>178</v>
      </c>
      <c r="AA175" s="111"/>
      <c r="AB175" s="111"/>
      <c r="AC175" s="111"/>
      <c r="AD175" s="109"/>
      <c r="AE175" s="110"/>
      <c r="AH175" s="87" t="s">
        <v>178</v>
      </c>
      <c r="AI175" s="111"/>
      <c r="AJ175" s="111"/>
      <c r="AK175" s="111"/>
      <c r="AL175" s="109"/>
      <c r="AM175" s="110"/>
      <c r="AP175" s="87" t="s">
        <v>178</v>
      </c>
      <c r="AQ175" s="111"/>
      <c r="AR175" s="111"/>
      <c r="AS175" s="111"/>
      <c r="AT175" s="109"/>
      <c r="AU175" s="110"/>
      <c r="AX175" s="87" t="s">
        <v>178</v>
      </c>
      <c r="AY175" s="111"/>
      <c r="AZ175" s="111"/>
      <c r="BA175" s="111"/>
      <c r="BB175" s="109"/>
      <c r="BC175" s="110"/>
      <c r="BF175" s="87" t="s">
        <v>178</v>
      </c>
      <c r="BG175" s="111"/>
      <c r="BH175" s="111"/>
      <c r="BI175" s="111"/>
      <c r="BJ175" s="109"/>
      <c r="BK175" s="110"/>
      <c r="BN175" s="87" t="s">
        <v>178</v>
      </c>
      <c r="BO175" s="111"/>
      <c r="BP175" s="111"/>
      <c r="BQ175" s="111"/>
      <c r="BR175" s="109"/>
      <c r="BS175" s="110"/>
      <c r="BV175" s="87" t="s">
        <v>178</v>
      </c>
      <c r="BW175" s="111"/>
      <c r="BX175" s="111"/>
      <c r="BY175" s="111"/>
      <c r="BZ175" s="109"/>
      <c r="CA175" s="110"/>
      <c r="CD175" s="87" t="s">
        <v>178</v>
      </c>
      <c r="CE175" s="111"/>
      <c r="CF175" s="111"/>
      <c r="CG175" s="111"/>
      <c r="CH175" s="109"/>
      <c r="CI175" s="110"/>
      <c r="CL175" s="87" t="s">
        <v>178</v>
      </c>
      <c r="CM175" s="111"/>
      <c r="CN175" s="111"/>
      <c r="CO175" s="111"/>
      <c r="CP175" s="109"/>
      <c r="CQ175" s="110"/>
      <c r="CT175" s="87" t="s">
        <v>178</v>
      </c>
      <c r="CU175" s="111"/>
      <c r="CV175" s="111"/>
      <c r="CW175" s="111"/>
      <c r="CX175" s="109"/>
      <c r="CY175" s="110"/>
      <c r="DB175" s="87" t="s">
        <v>178</v>
      </c>
      <c r="DC175" s="111"/>
      <c r="DD175" s="111"/>
      <c r="DE175" s="111"/>
      <c r="DF175" s="109"/>
      <c r="DG175" s="110"/>
    </row>
    <row r="176" spans="2:111">
      <c r="B176" s="87" t="s">
        <v>174</v>
      </c>
      <c r="C176" s="111"/>
      <c r="D176" s="111"/>
      <c r="E176" s="111"/>
      <c r="F176" s="111"/>
      <c r="G176" s="110">
        <f ca="1">(G51*ci_int1)+(G51*ct_int1*'Time on treatment'!$D$12)</f>
        <v>65147514.700086899</v>
      </c>
      <c r="J176" s="87" t="s">
        <v>174</v>
      </c>
      <c r="K176" s="111"/>
      <c r="L176" s="111"/>
      <c r="M176" s="111"/>
      <c r="N176" s="111"/>
      <c r="O176" s="110">
        <f ca="1">(O51*ci_int2)+(O51*ct_int2*'Time on treatment'!$D$13)</f>
        <v>0</v>
      </c>
      <c r="R176" s="87" t="s">
        <v>174</v>
      </c>
      <c r="S176" s="111"/>
      <c r="T176" s="111"/>
      <c r="U176" s="111"/>
      <c r="V176" s="111"/>
      <c r="W176" s="110">
        <f ca="1">(W51*ci_int3)+(W51*ct_int3*'Time on treatment'!$D$14)</f>
        <v>0</v>
      </c>
      <c r="Z176" s="87" t="s">
        <v>174</v>
      </c>
      <c r="AA176" s="111"/>
      <c r="AB176" s="111"/>
      <c r="AC176" s="111"/>
      <c r="AD176" s="111"/>
      <c r="AE176" s="110">
        <f ca="1">(AE51*ci_int4)+(AE51*ct_int4*'Time on treatment'!$D$15)</f>
        <v>0</v>
      </c>
      <c r="AH176" s="87" t="s">
        <v>174</v>
      </c>
      <c r="AI176" s="111"/>
      <c r="AJ176" s="111"/>
      <c r="AK176" s="111"/>
      <c r="AL176" s="111"/>
      <c r="AM176" s="110">
        <f ca="1">(AM51*ci_comp1)+(AM51*ct_comp1*'Time on treatment'!$D$19)</f>
        <v>4041268.875780798</v>
      </c>
      <c r="AP176" s="87" t="s">
        <v>174</v>
      </c>
      <c r="AQ176" s="111"/>
      <c r="AR176" s="111"/>
      <c r="AS176" s="111"/>
      <c r="AT176" s="111"/>
      <c r="AU176" s="110">
        <f ca="1">(AU51*ci_comp2)+(AU51*ct_comp2*'Time on treatment'!$D$20)</f>
        <v>0</v>
      </c>
      <c r="AX176" s="87" t="s">
        <v>174</v>
      </c>
      <c r="AY176" s="111"/>
      <c r="AZ176" s="111"/>
      <c r="BA176" s="111"/>
      <c r="BB176" s="111"/>
      <c r="BC176" s="110">
        <f ca="1">(BC51*ci_comp3)+(BC51*ct_comp3*'Time on treatment'!$D$21)</f>
        <v>0</v>
      </c>
      <c r="BF176" s="87" t="s">
        <v>174</v>
      </c>
      <c r="BG176" s="111"/>
      <c r="BH176" s="111"/>
      <c r="BI176" s="111"/>
      <c r="BJ176" s="111"/>
      <c r="BK176" s="110">
        <f ca="1">(BK51*ci_comp4)+(BK51*ct_comp4*'Time on treatment'!$D$22)</f>
        <v>0</v>
      </c>
      <c r="BN176" s="87" t="s">
        <v>174</v>
      </c>
      <c r="BO176" s="111"/>
      <c r="BP176" s="111"/>
      <c r="BQ176" s="111"/>
      <c r="BR176" s="111"/>
      <c r="BS176" s="110">
        <f ca="1">(BS51*ci_comp5)+(BS51*ct_comp5*'Time on treatment'!$D$23)</f>
        <v>0</v>
      </c>
      <c r="BV176" s="87" t="s">
        <v>174</v>
      </c>
      <c r="BW176" s="111"/>
      <c r="BX176" s="111"/>
      <c r="BY176" s="111"/>
      <c r="BZ176" s="111"/>
      <c r="CA176" s="110">
        <f ca="1">(CA51*ci_comp6)+(CA51*ct_comp6*'Time on treatment'!$D$24)</f>
        <v>0</v>
      </c>
      <c r="CD176" s="87" t="s">
        <v>174</v>
      </c>
      <c r="CE176" s="111"/>
      <c r="CF176" s="111"/>
      <c r="CG176" s="111"/>
      <c r="CH176" s="111"/>
      <c r="CI176" s="110">
        <f ca="1">(CI51*ci_comp7)+(CI51*ct_comp7*'Time on treatment'!$D$25)</f>
        <v>0</v>
      </c>
      <c r="CL176" s="87" t="s">
        <v>174</v>
      </c>
      <c r="CM176" s="111"/>
      <c r="CN176" s="111"/>
      <c r="CO176" s="111"/>
      <c r="CP176" s="111"/>
      <c r="CQ176" s="110">
        <f ca="1">(CQ51*ci_comp8)+(CQ51*ct_comp8*'Time on treatment'!$D$26)</f>
        <v>0</v>
      </c>
      <c r="CT176" s="87" t="s">
        <v>174</v>
      </c>
      <c r="CU176" s="111"/>
      <c r="CV176" s="111"/>
      <c r="CW176" s="111"/>
      <c r="CX176" s="111"/>
      <c r="CY176" s="110">
        <f ca="1">(CY51*ci_comp9)+(CY51*ct_comp9*'Time on treatment'!$D$27)</f>
        <v>0</v>
      </c>
      <c r="DB176" s="87" t="s">
        <v>174</v>
      </c>
      <c r="DC176" s="111"/>
      <c r="DD176" s="111"/>
      <c r="DE176" s="111"/>
      <c r="DF176" s="111"/>
      <c r="DG176" s="110">
        <f ca="1">(DG51*ci_comp10)+(DG51*ct_comp10*'Time on treatment'!$D$28)</f>
        <v>0</v>
      </c>
    </row>
    <row r="177" spans="2:111" ht="15" thickBot="1">
      <c r="B177" s="87" t="s">
        <v>179</v>
      </c>
      <c r="C177" s="111"/>
      <c r="D177" s="111"/>
      <c r="E177" s="111"/>
      <c r="F177" s="111"/>
      <c r="G177" s="112"/>
      <c r="J177" s="87" t="s">
        <v>179</v>
      </c>
      <c r="K177" s="111"/>
      <c r="L177" s="111"/>
      <c r="M177" s="111"/>
      <c r="N177" s="111"/>
      <c r="O177" s="112"/>
      <c r="R177" s="87" t="s">
        <v>179</v>
      </c>
      <c r="S177" s="111"/>
      <c r="T177" s="111"/>
      <c r="U177" s="111"/>
      <c r="V177" s="111"/>
      <c r="W177" s="112"/>
      <c r="Z177" s="87" t="s">
        <v>179</v>
      </c>
      <c r="AA177" s="111"/>
      <c r="AB177" s="111"/>
      <c r="AC177" s="111"/>
      <c r="AD177" s="111"/>
      <c r="AE177" s="112"/>
      <c r="AH177" s="87" t="s">
        <v>179</v>
      </c>
      <c r="AI177" s="111"/>
      <c r="AJ177" s="111"/>
      <c r="AK177" s="111"/>
      <c r="AL177" s="111"/>
      <c r="AM177" s="112"/>
      <c r="AP177" s="87" t="s">
        <v>179</v>
      </c>
      <c r="AQ177" s="111"/>
      <c r="AR177" s="111"/>
      <c r="AS177" s="111"/>
      <c r="AT177" s="111"/>
      <c r="AU177" s="112"/>
      <c r="AX177" s="87" t="s">
        <v>179</v>
      </c>
      <c r="AY177" s="111"/>
      <c r="AZ177" s="111"/>
      <c r="BA177" s="111"/>
      <c r="BB177" s="111"/>
      <c r="BC177" s="112"/>
      <c r="BF177" s="87" t="s">
        <v>179</v>
      </c>
      <c r="BG177" s="111"/>
      <c r="BH177" s="111"/>
      <c r="BI177" s="111"/>
      <c r="BJ177" s="111"/>
      <c r="BK177" s="112"/>
      <c r="BN177" s="87" t="s">
        <v>179</v>
      </c>
      <c r="BO177" s="111"/>
      <c r="BP177" s="111"/>
      <c r="BQ177" s="111"/>
      <c r="BR177" s="111"/>
      <c r="BS177" s="112"/>
      <c r="BV177" s="87" t="s">
        <v>179</v>
      </c>
      <c r="BW177" s="111"/>
      <c r="BX177" s="111"/>
      <c r="BY177" s="111"/>
      <c r="BZ177" s="111"/>
      <c r="CA177" s="112"/>
      <c r="CD177" s="87" t="s">
        <v>179</v>
      </c>
      <c r="CE177" s="111"/>
      <c r="CF177" s="111"/>
      <c r="CG177" s="111"/>
      <c r="CH177" s="111"/>
      <c r="CI177" s="112"/>
      <c r="CL177" s="87" t="s">
        <v>179</v>
      </c>
      <c r="CM177" s="111"/>
      <c r="CN177" s="111"/>
      <c r="CO177" s="111"/>
      <c r="CP177" s="111"/>
      <c r="CQ177" s="112"/>
      <c r="CT177" s="87" t="s">
        <v>179</v>
      </c>
      <c r="CU177" s="111"/>
      <c r="CV177" s="111"/>
      <c r="CW177" s="111"/>
      <c r="CX177" s="111"/>
      <c r="CY177" s="112"/>
      <c r="DB177" s="87" t="s">
        <v>179</v>
      </c>
      <c r="DC177" s="111"/>
      <c r="DD177" s="111"/>
      <c r="DE177" s="111"/>
      <c r="DF177" s="111"/>
      <c r="DG177" s="112"/>
    </row>
    <row r="178" spans="2:111" ht="15" thickBot="1">
      <c r="B178" s="85" t="str">
        <f>B164</f>
        <v>Intrauterine device levonorgestrel</v>
      </c>
      <c r="C178" s="113">
        <f ca="1">SUM(C168:C176)</f>
        <v>13269140.432940962</v>
      </c>
      <c r="D178" s="113">
        <f ca="1">SUM(D168:D176)</f>
        <v>26442645.347635079</v>
      </c>
      <c r="E178" s="113">
        <f ca="1">SUM(E168:E176)</f>
        <v>39508830.334991291</v>
      </c>
      <c r="F178" s="113">
        <f ca="1">SUM(F168:F176)</f>
        <v>52430279.29388456</v>
      </c>
      <c r="G178" s="114">
        <f ca="1">SUM(G168:G176)</f>
        <v>65147514.700086899</v>
      </c>
      <c r="J178" s="85">
        <f>J164</f>
        <v>0</v>
      </c>
      <c r="K178" s="113">
        <f ca="1">SUM(K168:K176)</f>
        <v>0</v>
      </c>
      <c r="L178" s="113">
        <f ca="1">SUM(L168:L176)</f>
        <v>0</v>
      </c>
      <c r="M178" s="113">
        <f ca="1">SUM(M168:M176)</f>
        <v>0</v>
      </c>
      <c r="N178" s="113">
        <f ca="1">SUM(N168:N176)</f>
        <v>0</v>
      </c>
      <c r="O178" s="114">
        <f ca="1">SUM(O168:O176)</f>
        <v>0</v>
      </c>
      <c r="R178" s="85">
        <f>R164</f>
        <v>0</v>
      </c>
      <c r="S178" s="113">
        <f ca="1">SUM(S168:S176)</f>
        <v>0</v>
      </c>
      <c r="T178" s="113">
        <f ca="1">SUM(T168:T176)</f>
        <v>0</v>
      </c>
      <c r="U178" s="113">
        <f ca="1">SUM(U168:U176)</f>
        <v>0</v>
      </c>
      <c r="V178" s="113">
        <f ca="1">SUM(V168:V176)</f>
        <v>0</v>
      </c>
      <c r="W178" s="114">
        <f ca="1">SUM(W168:W176)</f>
        <v>0</v>
      </c>
      <c r="Z178" s="85">
        <f>Z164</f>
        <v>0</v>
      </c>
      <c r="AA178" s="113">
        <f ca="1">SUM(AA168:AA176)</f>
        <v>0</v>
      </c>
      <c r="AB178" s="113">
        <f ca="1">SUM(AB168:AB176)</f>
        <v>0</v>
      </c>
      <c r="AC178" s="113">
        <f ca="1">SUM(AC168:AC176)</f>
        <v>0</v>
      </c>
      <c r="AD178" s="113">
        <f ca="1">SUM(AD168:AD176)</f>
        <v>0</v>
      </c>
      <c r="AE178" s="114">
        <f ca="1">SUM(AE168:AE176)</f>
        <v>0</v>
      </c>
      <c r="AH178" s="85" t="str">
        <f>AH164</f>
        <v>Oral contraceptive</v>
      </c>
      <c r="AI178" s="113">
        <f ca="1">SUM(AI168:AI176)</f>
        <v>5213087.6890217941</v>
      </c>
      <c r="AJ178" s="113">
        <f ca="1">SUM(AJ168:AJ176)</f>
        <v>10134004.785951281</v>
      </c>
      <c r="AK178" s="113">
        <f ca="1">SUM(AK168:AK176)</f>
        <v>14763359.703646429</v>
      </c>
      <c r="AL178" s="113">
        <f ca="1">SUM(AL168:AL176)</f>
        <v>19099874.188438945</v>
      </c>
      <c r="AM178" s="114">
        <f ca="1">SUM(AM168:AM176)</f>
        <v>23141143.064219743</v>
      </c>
      <c r="AP178" s="85">
        <f>AP164</f>
        <v>0</v>
      </c>
      <c r="AQ178" s="113">
        <f ca="1">SUM(AQ168:AQ176)</f>
        <v>0</v>
      </c>
      <c r="AR178" s="113">
        <f ca="1">SUM(AR168:AR176)</f>
        <v>0</v>
      </c>
      <c r="AS178" s="113">
        <f ca="1">SUM(AS168:AS176)</f>
        <v>0</v>
      </c>
      <c r="AT178" s="113">
        <f ca="1">SUM(AT168:AT176)</f>
        <v>0</v>
      </c>
      <c r="AU178" s="114">
        <f ca="1">SUM(AU168:AU176)</f>
        <v>0</v>
      </c>
      <c r="AX178" s="85">
        <f>AX164</f>
        <v>0</v>
      </c>
      <c r="AY178" s="113">
        <f ca="1">SUM(AY168:AY176)</f>
        <v>0</v>
      </c>
      <c r="AZ178" s="113">
        <f ca="1">SUM(AZ168:AZ176)</f>
        <v>0</v>
      </c>
      <c r="BA178" s="113">
        <f ca="1">SUM(BA168:BA176)</f>
        <v>0</v>
      </c>
      <c r="BB178" s="113">
        <f ca="1">SUM(BB168:BB176)</f>
        <v>0</v>
      </c>
      <c r="BC178" s="114">
        <f ca="1">SUM(BC168:BC176)</f>
        <v>0</v>
      </c>
      <c r="BF178" s="85">
        <f>BF164</f>
        <v>0</v>
      </c>
      <c r="BG178" s="113">
        <f ca="1">SUM(BG168:BG176)</f>
        <v>0</v>
      </c>
      <c r="BH178" s="113">
        <f ca="1">SUM(BH168:BH176)</f>
        <v>0</v>
      </c>
      <c r="BI178" s="113">
        <f ca="1">SUM(BI168:BI176)</f>
        <v>0</v>
      </c>
      <c r="BJ178" s="113">
        <f ca="1">SUM(BJ168:BJ176)</f>
        <v>0</v>
      </c>
      <c r="BK178" s="114">
        <f ca="1">SUM(BK168:BK176)</f>
        <v>0</v>
      </c>
      <c r="BN178" s="85">
        <f>BN164</f>
        <v>0</v>
      </c>
      <c r="BO178" s="113">
        <f ca="1">SUM(BO168:BO176)</f>
        <v>0</v>
      </c>
      <c r="BP178" s="113">
        <f ca="1">SUM(BP168:BP176)</f>
        <v>0</v>
      </c>
      <c r="BQ178" s="113">
        <f ca="1">SUM(BQ168:BQ176)</f>
        <v>0</v>
      </c>
      <c r="BR178" s="113">
        <f ca="1">SUM(BR168:BR176)</f>
        <v>0</v>
      </c>
      <c r="BS178" s="114">
        <f ca="1">SUM(BS168:BS176)</f>
        <v>0</v>
      </c>
      <c r="BV178" s="85">
        <f>BV164</f>
        <v>0</v>
      </c>
      <c r="BW178" s="113">
        <f ca="1">SUM(BW168:BW176)</f>
        <v>0</v>
      </c>
      <c r="BX178" s="113">
        <f ca="1">SUM(BX168:BX176)</f>
        <v>0</v>
      </c>
      <c r="BY178" s="113">
        <f ca="1">SUM(BY168:BY176)</f>
        <v>0</v>
      </c>
      <c r="BZ178" s="113">
        <f ca="1">SUM(BZ168:BZ176)</f>
        <v>0</v>
      </c>
      <c r="CA178" s="114">
        <f ca="1">SUM(CA168:CA176)</f>
        <v>0</v>
      </c>
      <c r="CD178" s="85">
        <f>CD164</f>
        <v>0</v>
      </c>
      <c r="CE178" s="113">
        <f ca="1">SUM(CE168:CE176)</f>
        <v>0</v>
      </c>
      <c r="CF178" s="113">
        <f ca="1">SUM(CF168:CF176)</f>
        <v>0</v>
      </c>
      <c r="CG178" s="113">
        <f ca="1">SUM(CG168:CG176)</f>
        <v>0</v>
      </c>
      <c r="CH178" s="113">
        <f ca="1">SUM(CH168:CH176)</f>
        <v>0</v>
      </c>
      <c r="CI178" s="114">
        <f ca="1">SUM(CI168:CI176)</f>
        <v>0</v>
      </c>
      <c r="CL178" s="85">
        <f>CL164</f>
        <v>0</v>
      </c>
      <c r="CM178" s="113">
        <f ca="1">SUM(CM168:CM176)</f>
        <v>0</v>
      </c>
      <c r="CN178" s="113">
        <f ca="1">SUM(CN168:CN176)</f>
        <v>0</v>
      </c>
      <c r="CO178" s="113">
        <f ca="1">SUM(CO168:CO176)</f>
        <v>0</v>
      </c>
      <c r="CP178" s="113">
        <f ca="1">SUM(CP168:CP176)</f>
        <v>0</v>
      </c>
      <c r="CQ178" s="114">
        <f ca="1">SUM(CQ168:CQ176)</f>
        <v>0</v>
      </c>
      <c r="CT178" s="85">
        <f>CT164</f>
        <v>0</v>
      </c>
      <c r="CU178" s="113">
        <f ca="1">SUM(CU168:CU176)</f>
        <v>0</v>
      </c>
      <c r="CV178" s="113">
        <f ca="1">SUM(CV168:CV176)</f>
        <v>0</v>
      </c>
      <c r="CW178" s="113">
        <f ca="1">SUM(CW168:CW176)</f>
        <v>0</v>
      </c>
      <c r="CX178" s="113">
        <f ca="1">SUM(CX168:CX176)</f>
        <v>0</v>
      </c>
      <c r="CY178" s="114">
        <f ca="1">SUM(CY168:CY176)</f>
        <v>0</v>
      </c>
      <c r="DB178" s="85">
        <f>DB164</f>
        <v>0</v>
      </c>
      <c r="DC178" s="113">
        <f ca="1">SUM(DC168:DC176)</f>
        <v>0</v>
      </c>
      <c r="DD178" s="113">
        <f ca="1">SUM(DD168:DD176)</f>
        <v>0</v>
      </c>
      <c r="DE178" s="113">
        <f ca="1">SUM(DE168:DE176)</f>
        <v>0</v>
      </c>
      <c r="DF178" s="113">
        <f ca="1">SUM(DF168:DF176)</f>
        <v>0</v>
      </c>
      <c r="DG178" s="114">
        <f ca="1">SUM(DG168:DG176)</f>
        <v>0</v>
      </c>
    </row>
    <row r="179" spans="2:111" ht="15" thickBot="1">
      <c r="B179" s="83"/>
      <c r="C179" s="86"/>
      <c r="D179" s="86"/>
      <c r="E179" s="86"/>
      <c r="F179" s="86"/>
      <c r="G179" s="86"/>
      <c r="J179" s="83"/>
      <c r="K179" s="86"/>
      <c r="L179" s="86"/>
      <c r="M179" s="86"/>
      <c r="N179" s="86"/>
      <c r="O179" s="86"/>
      <c r="R179" s="83"/>
      <c r="S179" s="86"/>
      <c r="T179" s="86"/>
      <c r="U179" s="86"/>
      <c r="V179" s="86"/>
      <c r="W179" s="86"/>
      <c r="Z179" s="83"/>
      <c r="AA179" s="86"/>
      <c r="AB179" s="86"/>
      <c r="AC179" s="86"/>
      <c r="AD179" s="86"/>
      <c r="AE179" s="86"/>
      <c r="AH179" s="83"/>
      <c r="AI179" s="86"/>
      <c r="AJ179" s="86"/>
      <c r="AK179" s="86"/>
      <c r="AL179" s="86"/>
      <c r="AM179" s="86"/>
      <c r="AP179" s="83"/>
      <c r="AQ179" s="86"/>
      <c r="AR179" s="86"/>
      <c r="AS179" s="86"/>
      <c r="AT179" s="86"/>
      <c r="AU179" s="86"/>
      <c r="AX179" s="83"/>
      <c r="AY179" s="86"/>
      <c r="AZ179" s="86"/>
      <c r="BA179" s="86"/>
      <c r="BB179" s="86"/>
      <c r="BC179" s="86"/>
      <c r="BF179" s="83"/>
      <c r="BG179" s="86"/>
      <c r="BH179" s="86"/>
      <c r="BI179" s="86"/>
      <c r="BJ179" s="86"/>
      <c r="BK179" s="86"/>
      <c r="BN179" s="83"/>
      <c r="BO179" s="86"/>
      <c r="BP179" s="86"/>
      <c r="BQ179" s="86"/>
      <c r="BR179" s="86"/>
      <c r="BS179" s="86"/>
      <c r="BV179" s="83"/>
      <c r="BW179" s="86"/>
      <c r="BX179" s="86"/>
      <c r="BY179" s="86"/>
      <c r="BZ179" s="86"/>
      <c r="CA179" s="86"/>
      <c r="CD179" s="83"/>
      <c r="CE179" s="86"/>
      <c r="CF179" s="86"/>
      <c r="CG179" s="86"/>
      <c r="CH179" s="86"/>
      <c r="CI179" s="86"/>
      <c r="CL179" s="83"/>
      <c r="CM179" s="86"/>
      <c r="CN179" s="86"/>
      <c r="CO179" s="86"/>
      <c r="CP179" s="86"/>
      <c r="CQ179" s="86"/>
      <c r="CT179" s="83"/>
      <c r="CU179" s="86"/>
      <c r="CV179" s="86"/>
      <c r="CW179" s="86"/>
      <c r="CX179" s="86"/>
      <c r="CY179" s="86"/>
      <c r="DB179" s="83"/>
      <c r="DC179" s="86"/>
      <c r="DD179" s="86"/>
      <c r="DE179" s="86"/>
      <c r="DF179" s="86"/>
      <c r="DG179" s="86"/>
    </row>
    <row r="180" spans="2:111" ht="15" thickBot="1">
      <c r="B180" s="507" t="str">
        <f>B119</f>
        <v>With IUD-LNG 10-50%</v>
      </c>
      <c r="C180" s="505"/>
      <c r="D180" s="505"/>
      <c r="E180" s="505"/>
      <c r="F180" s="505"/>
      <c r="G180" s="506"/>
      <c r="J180" s="507" t="str">
        <f>J119</f>
        <v>With IUD-LNG 10-50%</v>
      </c>
      <c r="K180" s="505"/>
      <c r="L180" s="505"/>
      <c r="M180" s="505"/>
      <c r="N180" s="505"/>
      <c r="O180" s="506"/>
      <c r="R180" s="507" t="str">
        <f>R119</f>
        <v>With IUD-LNG 10-50%</v>
      </c>
      <c r="S180" s="505"/>
      <c r="T180" s="505"/>
      <c r="U180" s="505"/>
      <c r="V180" s="505"/>
      <c r="W180" s="506"/>
      <c r="Z180" s="507" t="str">
        <f>Z119</f>
        <v>With IUD-LNG 10-50%</v>
      </c>
      <c r="AA180" s="505"/>
      <c r="AB180" s="505"/>
      <c r="AC180" s="505"/>
      <c r="AD180" s="505"/>
      <c r="AE180" s="506"/>
      <c r="AH180" s="507" t="str">
        <f>AH119</f>
        <v>With IUD-LNG 10-50%</v>
      </c>
      <c r="AI180" s="505"/>
      <c r="AJ180" s="505"/>
      <c r="AK180" s="505"/>
      <c r="AL180" s="505"/>
      <c r="AM180" s="506"/>
      <c r="AP180" s="507" t="str">
        <f>AP119</f>
        <v>With IUD-LNG 10-50%</v>
      </c>
      <c r="AQ180" s="505"/>
      <c r="AR180" s="505"/>
      <c r="AS180" s="505"/>
      <c r="AT180" s="505"/>
      <c r="AU180" s="506"/>
      <c r="AX180" s="507" t="str">
        <f>AX119</f>
        <v>With IUD-LNG 10-50%</v>
      </c>
      <c r="AY180" s="505"/>
      <c r="AZ180" s="505"/>
      <c r="BA180" s="505"/>
      <c r="BB180" s="505"/>
      <c r="BC180" s="506"/>
      <c r="BF180" s="507" t="str">
        <f>BF119</f>
        <v>With IUD-LNG 10-50%</v>
      </c>
      <c r="BG180" s="505"/>
      <c r="BH180" s="505"/>
      <c r="BI180" s="505"/>
      <c r="BJ180" s="505"/>
      <c r="BK180" s="506"/>
      <c r="BN180" s="507" t="str">
        <f>BN119</f>
        <v>With IUD-LNG 10-50%</v>
      </c>
      <c r="BO180" s="505"/>
      <c r="BP180" s="505"/>
      <c r="BQ180" s="505"/>
      <c r="BR180" s="505"/>
      <c r="BS180" s="506"/>
      <c r="BV180" s="507" t="str">
        <f>BV119</f>
        <v>With IUD-LNG 10-50%</v>
      </c>
      <c r="BW180" s="505"/>
      <c r="BX180" s="505"/>
      <c r="BY180" s="505"/>
      <c r="BZ180" s="505"/>
      <c r="CA180" s="506"/>
      <c r="CD180" s="507" t="str">
        <f>CD119</f>
        <v>With IUD-LNG 10-50%</v>
      </c>
      <c r="CE180" s="505"/>
      <c r="CF180" s="505"/>
      <c r="CG180" s="505"/>
      <c r="CH180" s="505"/>
      <c r="CI180" s="506"/>
      <c r="CL180" s="507" t="str">
        <f>CL119</f>
        <v>With IUD-LNG 10-50%</v>
      </c>
      <c r="CM180" s="505"/>
      <c r="CN180" s="505"/>
      <c r="CO180" s="505"/>
      <c r="CP180" s="505"/>
      <c r="CQ180" s="506"/>
      <c r="CT180" s="507" t="str">
        <f>CT119</f>
        <v>With IUD-LNG 10-50%</v>
      </c>
      <c r="CU180" s="505"/>
      <c r="CV180" s="505"/>
      <c r="CW180" s="505"/>
      <c r="CX180" s="505"/>
      <c r="CY180" s="506"/>
      <c r="DB180" s="507" t="str">
        <f>DB119</f>
        <v>With IUD-LNG 10-50%</v>
      </c>
      <c r="DC180" s="505"/>
      <c r="DD180" s="505"/>
      <c r="DE180" s="505"/>
      <c r="DF180" s="505"/>
      <c r="DG180" s="506"/>
    </row>
    <row r="181" spans="2:111">
      <c r="B181" s="84"/>
      <c r="C181" s="101">
        <f>C120</f>
        <v>2026</v>
      </c>
      <c r="D181" s="101">
        <f t="shared" ref="D181:F181" si="356">D120</f>
        <v>2027</v>
      </c>
      <c r="E181" s="101">
        <f t="shared" si="356"/>
        <v>2028</v>
      </c>
      <c r="F181" s="101">
        <f t="shared" si="356"/>
        <v>2029</v>
      </c>
      <c r="G181" s="102">
        <f>G120</f>
        <v>2030</v>
      </c>
      <c r="J181" s="84"/>
      <c r="K181" s="101">
        <f>K120</f>
        <v>2026</v>
      </c>
      <c r="L181" s="101">
        <f t="shared" ref="L181:N181" si="357">L120</f>
        <v>2027</v>
      </c>
      <c r="M181" s="101">
        <f t="shared" si="357"/>
        <v>2028</v>
      </c>
      <c r="N181" s="101">
        <f t="shared" si="357"/>
        <v>2029</v>
      </c>
      <c r="O181" s="102">
        <f>O120</f>
        <v>2030</v>
      </c>
      <c r="R181" s="84"/>
      <c r="S181" s="101">
        <f>S120</f>
        <v>2026</v>
      </c>
      <c r="T181" s="101">
        <f t="shared" ref="T181:V181" si="358">T120</f>
        <v>2027</v>
      </c>
      <c r="U181" s="101">
        <f t="shared" si="358"/>
        <v>2028</v>
      </c>
      <c r="V181" s="101">
        <f t="shared" si="358"/>
        <v>2029</v>
      </c>
      <c r="W181" s="102">
        <f>W120</f>
        <v>2030</v>
      </c>
      <c r="Z181" s="84"/>
      <c r="AA181" s="101">
        <f>AA120</f>
        <v>2026</v>
      </c>
      <c r="AB181" s="101">
        <f t="shared" ref="AB181:AD181" si="359">AB120</f>
        <v>2027</v>
      </c>
      <c r="AC181" s="101">
        <f t="shared" si="359"/>
        <v>2028</v>
      </c>
      <c r="AD181" s="101">
        <f t="shared" si="359"/>
        <v>2029</v>
      </c>
      <c r="AE181" s="102">
        <f>AE120</f>
        <v>2030</v>
      </c>
      <c r="AH181" s="84"/>
      <c r="AI181" s="101">
        <f>AI120</f>
        <v>2026</v>
      </c>
      <c r="AJ181" s="101">
        <f t="shared" ref="AJ181:AL181" si="360">AJ120</f>
        <v>2027</v>
      </c>
      <c r="AK181" s="101">
        <f t="shared" si="360"/>
        <v>2028</v>
      </c>
      <c r="AL181" s="101">
        <f t="shared" si="360"/>
        <v>2029</v>
      </c>
      <c r="AM181" s="102">
        <f>AM120</f>
        <v>2030</v>
      </c>
      <c r="AP181" s="84"/>
      <c r="AQ181" s="101">
        <f>AQ120</f>
        <v>2026</v>
      </c>
      <c r="AR181" s="101">
        <f t="shared" ref="AR181:AT181" si="361">AR120</f>
        <v>2027</v>
      </c>
      <c r="AS181" s="101">
        <f t="shared" si="361"/>
        <v>2028</v>
      </c>
      <c r="AT181" s="101">
        <f t="shared" si="361"/>
        <v>2029</v>
      </c>
      <c r="AU181" s="102">
        <f>AU120</f>
        <v>2030</v>
      </c>
      <c r="AX181" s="84"/>
      <c r="AY181" s="101">
        <f>AY120</f>
        <v>2026</v>
      </c>
      <c r="AZ181" s="101">
        <f t="shared" ref="AZ181:BB181" si="362">AZ120</f>
        <v>2027</v>
      </c>
      <c r="BA181" s="101">
        <f t="shared" si="362"/>
        <v>2028</v>
      </c>
      <c r="BB181" s="101">
        <f t="shared" si="362"/>
        <v>2029</v>
      </c>
      <c r="BC181" s="102">
        <f>BC120</f>
        <v>2030</v>
      </c>
      <c r="BF181" s="84"/>
      <c r="BG181" s="101">
        <f>BG120</f>
        <v>2026</v>
      </c>
      <c r="BH181" s="101">
        <f t="shared" ref="BH181:BJ181" si="363">BH120</f>
        <v>2027</v>
      </c>
      <c r="BI181" s="101">
        <f t="shared" si="363"/>
        <v>2028</v>
      </c>
      <c r="BJ181" s="101">
        <f t="shared" si="363"/>
        <v>2029</v>
      </c>
      <c r="BK181" s="102">
        <f>BK120</f>
        <v>2030</v>
      </c>
      <c r="BN181" s="84"/>
      <c r="BO181" s="101">
        <f>BO120</f>
        <v>2026</v>
      </c>
      <c r="BP181" s="101">
        <f t="shared" ref="BP181:BR181" si="364">BP120</f>
        <v>2027</v>
      </c>
      <c r="BQ181" s="101">
        <f t="shared" si="364"/>
        <v>2028</v>
      </c>
      <c r="BR181" s="101">
        <f t="shared" si="364"/>
        <v>2029</v>
      </c>
      <c r="BS181" s="102">
        <f>BS120</f>
        <v>2030</v>
      </c>
      <c r="BV181" s="84"/>
      <c r="BW181" s="101">
        <f>BW120</f>
        <v>2026</v>
      </c>
      <c r="BX181" s="101">
        <f t="shared" ref="BX181:BZ181" si="365">BX120</f>
        <v>2027</v>
      </c>
      <c r="BY181" s="101">
        <f t="shared" si="365"/>
        <v>2028</v>
      </c>
      <c r="BZ181" s="101">
        <f t="shared" si="365"/>
        <v>2029</v>
      </c>
      <c r="CA181" s="102">
        <f>CA120</f>
        <v>2030</v>
      </c>
      <c r="CD181" s="84"/>
      <c r="CE181" s="101">
        <f>CE120</f>
        <v>2026</v>
      </c>
      <c r="CF181" s="101">
        <f t="shared" ref="CF181:CH181" si="366">CF120</f>
        <v>2027</v>
      </c>
      <c r="CG181" s="101">
        <f t="shared" si="366"/>
        <v>2028</v>
      </c>
      <c r="CH181" s="101">
        <f t="shared" si="366"/>
        <v>2029</v>
      </c>
      <c r="CI181" s="102">
        <f>CI120</f>
        <v>2030</v>
      </c>
      <c r="CL181" s="84"/>
      <c r="CM181" s="101">
        <f>CM120</f>
        <v>2026</v>
      </c>
      <c r="CN181" s="101">
        <f t="shared" ref="CN181:CP181" si="367">CN120</f>
        <v>2027</v>
      </c>
      <c r="CO181" s="101">
        <f t="shared" si="367"/>
        <v>2028</v>
      </c>
      <c r="CP181" s="101">
        <f t="shared" si="367"/>
        <v>2029</v>
      </c>
      <c r="CQ181" s="102">
        <f>CQ120</f>
        <v>2030</v>
      </c>
      <c r="CT181" s="84"/>
      <c r="CU181" s="101">
        <f>CU120</f>
        <v>2026</v>
      </c>
      <c r="CV181" s="101">
        <f t="shared" ref="CV181:CX181" si="368">CV120</f>
        <v>2027</v>
      </c>
      <c r="CW181" s="101">
        <f t="shared" si="368"/>
        <v>2028</v>
      </c>
      <c r="CX181" s="101">
        <f t="shared" si="368"/>
        <v>2029</v>
      </c>
      <c r="CY181" s="102">
        <f>CY120</f>
        <v>2030</v>
      </c>
      <c r="DB181" s="84"/>
      <c r="DC181" s="101">
        <f>DC120</f>
        <v>2026</v>
      </c>
      <c r="DD181" s="101">
        <f t="shared" ref="DD181:DF181" si="369">DD120</f>
        <v>2027</v>
      </c>
      <c r="DE181" s="101">
        <f t="shared" si="369"/>
        <v>2028</v>
      </c>
      <c r="DF181" s="101">
        <f t="shared" si="369"/>
        <v>2029</v>
      </c>
      <c r="DG181" s="102">
        <f>DG120</f>
        <v>2030</v>
      </c>
    </row>
    <row r="182" spans="2:111">
      <c r="B182" s="87" t="s">
        <v>170</v>
      </c>
      <c r="C182" s="109">
        <f ca="1">(C58*ci_int1)+(C58*ct_int1*'Time on treatment'!$D$12)</f>
        <v>26538280.865881924</v>
      </c>
      <c r="D182" s="109">
        <f ca="1">(D58*ct_int1*'Time on treatment'!$E$12)</f>
        <v>0</v>
      </c>
      <c r="E182" s="109">
        <f ca="1">(E58*ct_int1*'Time on treatment'!$F$12)</f>
        <v>0</v>
      </c>
      <c r="F182" s="109">
        <f ca="1">(F58*ct_int1*'Time on treatment'!$G$12)</f>
        <v>0</v>
      </c>
      <c r="G182" s="110">
        <f ca="1">(G58*ct_int1*'Time on treatment'!$H$12)</f>
        <v>0</v>
      </c>
      <c r="J182" s="87" t="s">
        <v>170</v>
      </c>
      <c r="K182" s="109">
        <f ca="1">(K58*ci_int2)+(K58*ct_int2*'Time on treatment'!$D$13)</f>
        <v>0</v>
      </c>
      <c r="L182" s="109">
        <f ca="1">(L58*ct_int2*'Time on treatment'!$E$13)</f>
        <v>0</v>
      </c>
      <c r="M182" s="109">
        <f ca="1">(M58*ct_int2*'Time on treatment'!$F$13)</f>
        <v>0</v>
      </c>
      <c r="N182" s="109">
        <f ca="1">(N58*ct_int2*'Time on treatment'!$G$13)</f>
        <v>0</v>
      </c>
      <c r="O182" s="110">
        <f ca="1">(O58*ct_int2*'Time on treatment'!$H$13)</f>
        <v>0</v>
      </c>
      <c r="R182" s="87" t="s">
        <v>170</v>
      </c>
      <c r="S182" s="109">
        <f ca="1">(S58*ci_int3)+(S58*ct_int3*'Time on treatment'!$D$14)</f>
        <v>0</v>
      </c>
      <c r="T182" s="109">
        <f ca="1">(T58*ct_int3*'Time on treatment'!$E$14)</f>
        <v>0</v>
      </c>
      <c r="U182" s="109">
        <f ca="1">(U58*ct_int3*'Time on treatment'!$F$14)</f>
        <v>0</v>
      </c>
      <c r="V182" s="109">
        <f ca="1">(V58*ct_int3*'Time on treatment'!$G$14)</f>
        <v>0</v>
      </c>
      <c r="W182" s="110">
        <f ca="1">(W58*ct_int3*'Time on treatment'!$H$14)</f>
        <v>0</v>
      </c>
      <c r="Z182" s="87" t="s">
        <v>170</v>
      </c>
      <c r="AA182" s="109">
        <f ca="1">(AA58*ci_int4)+(AA58*ct_int4*'Time on treatment'!$D$15)</f>
        <v>0</v>
      </c>
      <c r="AB182" s="109">
        <f ca="1">(AB58*ct_int4*'Time on treatment'!$E$15)</f>
        <v>0</v>
      </c>
      <c r="AC182" s="109">
        <f ca="1">(AC58*ct_int4*'Time on treatment'!$F$15)</f>
        <v>0</v>
      </c>
      <c r="AD182" s="109">
        <f ca="1">(AD58*ct_int4*'Time on treatment'!$G$15)</f>
        <v>0</v>
      </c>
      <c r="AE182" s="110">
        <f ca="1">(AE58*ct_int4*'Time on treatment'!$H$15)</f>
        <v>0</v>
      </c>
      <c r="AH182" s="87" t="s">
        <v>170</v>
      </c>
      <c r="AI182" s="109">
        <f ca="1">(AI58*ci_comp1)+(AI58*ct_comp1*'Time on treatment'!$D$19)</f>
        <v>4938714.6527574901</v>
      </c>
      <c r="AJ182" s="109">
        <f ca="1">(AJ58*ct_comp1*'Time on treatment'!$E$19)</f>
        <v>4938714.6527574901</v>
      </c>
      <c r="AK182" s="109">
        <f ca="1">(AK58*ct_comp1*'Time on treatment'!$F$19)</f>
        <v>4938714.6527574901</v>
      </c>
      <c r="AL182" s="109">
        <f ca="1">(AL58*ct_comp1*'Time on treatment'!$G$19)</f>
        <v>4938714.6527574901</v>
      </c>
      <c r="AM182" s="110">
        <f ca="1">(AM58*ct_comp1*'Time on treatment'!$H$19)</f>
        <v>4938714.6527574901</v>
      </c>
      <c r="AP182" s="87" t="s">
        <v>170</v>
      </c>
      <c r="AQ182" s="109">
        <f ca="1">(AQ58*ci_comp2)+(AQ58*ct_comp2*'Time on treatment'!$D$20)</f>
        <v>0</v>
      </c>
      <c r="AR182" s="109">
        <f ca="1">(AR58*ct_comp2*'Time on treatment'!$E$20)</f>
        <v>0</v>
      </c>
      <c r="AS182" s="109">
        <f ca="1">(AS58*ct_comp2*'Time on treatment'!$F$20)</f>
        <v>0</v>
      </c>
      <c r="AT182" s="109">
        <f ca="1">(AT58*ct_comp2*'Time on treatment'!$G$20)</f>
        <v>0</v>
      </c>
      <c r="AU182" s="110">
        <f ca="1">(AU58*ct_comp2*'Time on treatment'!$H$20)</f>
        <v>0</v>
      </c>
      <c r="AX182" s="87" t="s">
        <v>170</v>
      </c>
      <c r="AY182" s="109">
        <f ca="1">(AY58*ci_comp3)+(AY58*ct_comp3*'Time on treatment'!$D$21)</f>
        <v>0</v>
      </c>
      <c r="AZ182" s="109">
        <f ca="1">(AZ58*ct_comp3*'Time on treatment'!$E$21)</f>
        <v>0</v>
      </c>
      <c r="BA182" s="109">
        <f ca="1">(BA58*ct_comp3*'Time on treatment'!$F$21)</f>
        <v>0</v>
      </c>
      <c r="BB182" s="109">
        <f ca="1">(BB58*ct_comp3*'Time on treatment'!$G$21)</f>
        <v>0</v>
      </c>
      <c r="BC182" s="110">
        <f ca="1">(BC58*ct_comp3*'Time on treatment'!$H$21)</f>
        <v>0</v>
      </c>
      <c r="BF182" s="87" t="s">
        <v>170</v>
      </c>
      <c r="BG182" s="109">
        <f ca="1">(BG58*ci_comp4)+(BG58*ct_comp4*'Time on treatment'!$D$22)</f>
        <v>0</v>
      </c>
      <c r="BH182" s="109">
        <f ca="1">(BH58*ct_comp4*'Time on treatment'!$E$22)</f>
        <v>0</v>
      </c>
      <c r="BI182" s="109">
        <f ca="1">(BI58*ct_comp4*'Time on treatment'!$F$22)</f>
        <v>0</v>
      </c>
      <c r="BJ182" s="109">
        <f ca="1">(BJ58*ct_comp4*'Time on treatment'!$G$22)</f>
        <v>0</v>
      </c>
      <c r="BK182" s="110">
        <f ca="1">(BK58*ct_comp4*'Time on treatment'!$H$22)</f>
        <v>0</v>
      </c>
      <c r="BN182" s="87" t="s">
        <v>170</v>
      </c>
      <c r="BO182" s="109">
        <f ca="1">(BO58*ci_comp5)+(BO58*ct_comp5*'Time on treatment'!$D$23)</f>
        <v>0</v>
      </c>
      <c r="BP182" s="109">
        <f ca="1">(BP58*ct_comp5*'Time on treatment'!$E$23)</f>
        <v>0</v>
      </c>
      <c r="BQ182" s="109">
        <f ca="1">(BQ58*ct_comp5*'Time on treatment'!$F$23)</f>
        <v>0</v>
      </c>
      <c r="BR182" s="109">
        <f ca="1">(BR58*ct_comp5*'Time on treatment'!$G$23)</f>
        <v>0</v>
      </c>
      <c r="BS182" s="110">
        <f ca="1">(BS58*ct_comp5*'Time on treatment'!$H$23)</f>
        <v>0</v>
      </c>
      <c r="BV182" s="87" t="s">
        <v>170</v>
      </c>
      <c r="BW182" s="109">
        <f ca="1">(BW58*ci_comp6)+(BW58*ct_comp6*'Time on treatment'!$D$24)</f>
        <v>0</v>
      </c>
      <c r="BX182" s="109">
        <f ca="1">(BX58*ct_comp6*'Time on treatment'!$E$24)</f>
        <v>0</v>
      </c>
      <c r="BY182" s="109">
        <f ca="1">(BY58*ct_comp6*'Time on treatment'!$F$24)</f>
        <v>0</v>
      </c>
      <c r="BZ182" s="109">
        <f ca="1">(BZ58*ct_comp6*'Time on treatment'!$G$24)</f>
        <v>0</v>
      </c>
      <c r="CA182" s="110">
        <f ca="1">(CA58*ct_comp6*'Time on treatment'!$H$24)</f>
        <v>0</v>
      </c>
      <c r="CD182" s="87" t="s">
        <v>170</v>
      </c>
      <c r="CE182" s="109">
        <f ca="1">(CE58*ci_comp7)+(CE58*ct_comp7*'Time on treatment'!$D$25)</f>
        <v>0</v>
      </c>
      <c r="CF182" s="109">
        <f ca="1">(CF58*ct_comp7*'Time on treatment'!$E$25)</f>
        <v>0</v>
      </c>
      <c r="CG182" s="109">
        <f ca="1">(CG58*ct_comp7*'Time on treatment'!$F$25)</f>
        <v>0</v>
      </c>
      <c r="CH182" s="109">
        <f ca="1">(CH58*ct_comp7*'Time on treatment'!$G$25)</f>
        <v>0</v>
      </c>
      <c r="CI182" s="110">
        <f ca="1">(CI58*ct_comp7*'Time on treatment'!$H$25)</f>
        <v>0</v>
      </c>
      <c r="CL182" s="87" t="s">
        <v>170</v>
      </c>
      <c r="CM182" s="109">
        <f ca="1">(CM58*ci_comp8)+(CM58*ct_comp8*'Time on treatment'!$D$26)</f>
        <v>0</v>
      </c>
      <c r="CN182" s="109">
        <f ca="1">(CN58*ct_comp8*'Time on treatment'!$E$26)</f>
        <v>0</v>
      </c>
      <c r="CO182" s="109">
        <f ca="1">(CO58*ct_comp8*'Time on treatment'!$F$26)</f>
        <v>0</v>
      </c>
      <c r="CP182" s="109">
        <f ca="1">(CP58*ct_comp8*'Time on treatment'!$G$26)</f>
        <v>0</v>
      </c>
      <c r="CQ182" s="110">
        <f ca="1">(CQ58*ct_comp8*'Time on treatment'!$H$26)</f>
        <v>0</v>
      </c>
      <c r="CT182" s="87" t="s">
        <v>170</v>
      </c>
      <c r="CU182" s="109">
        <f ca="1">(CU58*ci_comp9)+(CU58*ct_comp9*'Time on treatment'!$D$27)</f>
        <v>0</v>
      </c>
      <c r="CV182" s="109">
        <f ca="1">(CV58*ct_comp9*'Time on treatment'!$E$27)</f>
        <v>0</v>
      </c>
      <c r="CW182" s="109">
        <f ca="1">(CW58*ct_comp9*'Time on treatment'!$F$27)</f>
        <v>0</v>
      </c>
      <c r="CX182" s="109">
        <f ca="1">(CX58*ct_comp9*'Time on treatment'!$G$27)</f>
        <v>0</v>
      </c>
      <c r="CY182" s="110">
        <f ca="1">(CY58*ct_comp9*'Time on treatment'!$H$27)</f>
        <v>0</v>
      </c>
      <c r="DB182" s="87" t="s">
        <v>170</v>
      </c>
      <c r="DC182" s="109">
        <f ca="1">(DC58*ci_comp10)+(DC58*ct_comp10*'Time on treatment'!$D$28)</f>
        <v>0</v>
      </c>
      <c r="DD182" s="109">
        <f ca="1">(DD58*ct_comp10*'Time on treatment'!$E$28)</f>
        <v>0</v>
      </c>
      <c r="DE182" s="109">
        <f ca="1">(DE58*ct_comp10*'Time on treatment'!$F$28)</f>
        <v>0</v>
      </c>
      <c r="DF182" s="109">
        <f ca="1">(DF58*ct_comp10*'Time on treatment'!$G$28)</f>
        <v>0</v>
      </c>
      <c r="DG182" s="110">
        <f ca="1">(DG58*ct_comp10*'Time on treatment'!$H$28)</f>
        <v>0</v>
      </c>
    </row>
    <row r="183" spans="2:111">
      <c r="B183" s="87" t="s">
        <v>175</v>
      </c>
      <c r="C183" s="109"/>
      <c r="D183" s="109"/>
      <c r="E183" s="109"/>
      <c r="F183" s="109"/>
      <c r="G183" s="110"/>
      <c r="J183" s="87" t="s">
        <v>175</v>
      </c>
      <c r="K183" s="109"/>
      <c r="L183" s="109"/>
      <c r="M183" s="109"/>
      <c r="N183" s="109"/>
      <c r="O183" s="110"/>
      <c r="R183" s="87" t="s">
        <v>175</v>
      </c>
      <c r="S183" s="109"/>
      <c r="T183" s="109"/>
      <c r="U183" s="109"/>
      <c r="V183" s="109"/>
      <c r="W183" s="110"/>
      <c r="Z183" s="87" t="s">
        <v>175</v>
      </c>
      <c r="AA183" s="109"/>
      <c r="AB183" s="109"/>
      <c r="AC183" s="109"/>
      <c r="AD183" s="109"/>
      <c r="AE183" s="110"/>
      <c r="AH183" s="87" t="s">
        <v>175</v>
      </c>
      <c r="AI183" s="109"/>
      <c r="AJ183" s="109"/>
      <c r="AK183" s="109"/>
      <c r="AL183" s="109"/>
      <c r="AM183" s="110"/>
      <c r="AP183" s="87" t="s">
        <v>175</v>
      </c>
      <c r="AQ183" s="109"/>
      <c r="AR183" s="109"/>
      <c r="AS183" s="109"/>
      <c r="AT183" s="109"/>
      <c r="AU183" s="110"/>
      <c r="AX183" s="87" t="s">
        <v>175</v>
      </c>
      <c r="AY183" s="109"/>
      <c r="AZ183" s="109"/>
      <c r="BA183" s="109"/>
      <c r="BB183" s="109"/>
      <c r="BC183" s="110"/>
      <c r="BF183" s="87" t="s">
        <v>175</v>
      </c>
      <c r="BG183" s="109"/>
      <c r="BH183" s="109"/>
      <c r="BI183" s="109"/>
      <c r="BJ183" s="109"/>
      <c r="BK183" s="110"/>
      <c r="BN183" s="87" t="s">
        <v>175</v>
      </c>
      <c r="BO183" s="109"/>
      <c r="BP183" s="109"/>
      <c r="BQ183" s="109"/>
      <c r="BR183" s="109"/>
      <c r="BS183" s="110"/>
      <c r="BV183" s="87" t="s">
        <v>175</v>
      </c>
      <c r="BW183" s="109"/>
      <c r="BX183" s="109"/>
      <c r="BY183" s="109"/>
      <c r="BZ183" s="109"/>
      <c r="CA183" s="110"/>
      <c r="CD183" s="87" t="s">
        <v>175</v>
      </c>
      <c r="CE183" s="109"/>
      <c r="CF183" s="109"/>
      <c r="CG183" s="109"/>
      <c r="CH183" s="109"/>
      <c r="CI183" s="110"/>
      <c r="CL183" s="87" t="s">
        <v>175</v>
      </c>
      <c r="CM183" s="109"/>
      <c r="CN183" s="109"/>
      <c r="CO183" s="109"/>
      <c r="CP183" s="109"/>
      <c r="CQ183" s="110"/>
      <c r="CT183" s="87" t="s">
        <v>175</v>
      </c>
      <c r="CU183" s="109"/>
      <c r="CV183" s="109"/>
      <c r="CW183" s="109"/>
      <c r="CX183" s="109"/>
      <c r="CY183" s="110"/>
      <c r="DB183" s="87" t="s">
        <v>175</v>
      </c>
      <c r="DC183" s="109"/>
      <c r="DD183" s="109"/>
      <c r="DE183" s="109"/>
      <c r="DF183" s="109"/>
      <c r="DG183" s="110"/>
    </row>
    <row r="184" spans="2:111">
      <c r="B184" s="87" t="s">
        <v>171</v>
      </c>
      <c r="C184" s="111"/>
      <c r="D184" s="109">
        <f ca="1">(D60*ci_int1)+(D60*ct_int1*'Time on treatment'!$D$12)</f>
        <v>52885290.695270158</v>
      </c>
      <c r="E184" s="109">
        <f ca="1">(E60*ct_int1*'Time on treatment'!$E$12)</f>
        <v>0</v>
      </c>
      <c r="F184" s="109">
        <f ca="1">(F60*ct_int1*'Time on treatment'!$F$12)</f>
        <v>0</v>
      </c>
      <c r="G184" s="110">
        <f ca="1">(G60*ct_int1*'Time on treatment'!$G$12)</f>
        <v>0</v>
      </c>
      <c r="J184" s="87" t="s">
        <v>171</v>
      </c>
      <c r="K184" s="111"/>
      <c r="L184" s="109">
        <f ca="1">(L60*ci_int2)+(L60*ct_int2*'Time on treatment'!$D$13)</f>
        <v>0</v>
      </c>
      <c r="M184" s="109">
        <f ca="1">(M60*ct_int2*'Time on treatment'!$E$13)</f>
        <v>0</v>
      </c>
      <c r="N184" s="109">
        <f ca="1">(N60*ct_int2*'Time on treatment'!$F$13)</f>
        <v>0</v>
      </c>
      <c r="O184" s="110">
        <f ca="1">(O60*ct_int2*'Time on treatment'!$G$13)</f>
        <v>0</v>
      </c>
      <c r="R184" s="87" t="s">
        <v>171</v>
      </c>
      <c r="S184" s="111"/>
      <c r="T184" s="109">
        <f ca="1">(T60*ci_int3)+(T60*ct_int3*'Time on treatment'!$D$14)</f>
        <v>0</v>
      </c>
      <c r="U184" s="109">
        <f ca="1">(U60*ct_int3*'Time on treatment'!$E$14)</f>
        <v>0</v>
      </c>
      <c r="V184" s="109">
        <f ca="1">(V60*ct_int3*'Time on treatment'!$F$14)</f>
        <v>0</v>
      </c>
      <c r="W184" s="110">
        <f ca="1">(W60*ct_int3*'Time on treatment'!$G$14)</f>
        <v>0</v>
      </c>
      <c r="Z184" s="87" t="s">
        <v>171</v>
      </c>
      <c r="AA184" s="111"/>
      <c r="AB184" s="109">
        <f ca="1">(AB60*ci_int4)+(AB60*ct_int4*'Time on treatment'!$D$15)</f>
        <v>0</v>
      </c>
      <c r="AC184" s="109">
        <f ca="1">(AC60*ct_int4*'Time on treatment'!$E$15)</f>
        <v>0</v>
      </c>
      <c r="AD184" s="109">
        <f ca="1">(AD60*ct_int4*'Time on treatment'!$F$15)</f>
        <v>0</v>
      </c>
      <c r="AE184" s="110">
        <f ca="1">(AE60*ct_int4*'Time on treatment'!$G$15)</f>
        <v>0</v>
      </c>
      <c r="AH184" s="87" t="s">
        <v>171</v>
      </c>
      <c r="AI184" s="111"/>
      <c r="AJ184" s="109">
        <f ca="1">(AJ60*ci_comp1)+(AJ60*ct_comp1*'Time on treatment'!$D$19)</f>
        <v>4374148.530603989</v>
      </c>
      <c r="AK184" s="109">
        <f ca="1">(AK60*ct_comp1*'Time on treatment'!$E$19)</f>
        <v>4374148.530603989</v>
      </c>
      <c r="AL184" s="109">
        <f ca="1">(AL60*ct_comp1*'Time on treatment'!$F$19)</f>
        <v>4374148.530603989</v>
      </c>
      <c r="AM184" s="110">
        <f ca="1">(AM60*ct_comp1*'Time on treatment'!$G$19)</f>
        <v>4374148.530603989</v>
      </c>
      <c r="AP184" s="87" t="s">
        <v>171</v>
      </c>
      <c r="AQ184" s="111"/>
      <c r="AR184" s="109">
        <f ca="1">(AR60*ci_comp2)+(AR60*ct_comp2*'Time on treatment'!$D$20)</f>
        <v>0</v>
      </c>
      <c r="AS184" s="109">
        <f ca="1">(AS60*ct_comp2*'Time on treatment'!$E$20)</f>
        <v>0</v>
      </c>
      <c r="AT184" s="109">
        <f ca="1">(AT60*ct_comp2*'Time on treatment'!$F$20)</f>
        <v>0</v>
      </c>
      <c r="AU184" s="110">
        <f ca="1">(AU60*ct_comp2*'Time on treatment'!$G$20)</f>
        <v>0</v>
      </c>
      <c r="AX184" s="87" t="s">
        <v>171</v>
      </c>
      <c r="AY184" s="111"/>
      <c r="AZ184" s="109">
        <f ca="1">(AZ60*ci_comp3)+(AZ60*ct_comp3*'Time on treatment'!$D$21)</f>
        <v>0</v>
      </c>
      <c r="BA184" s="109">
        <f ca="1">(BA60*ct_comp3*'Time on treatment'!$E$21)</f>
        <v>0</v>
      </c>
      <c r="BB184" s="109">
        <f ca="1">(BB60*ct_comp3*'Time on treatment'!$F$21)</f>
        <v>0</v>
      </c>
      <c r="BC184" s="110">
        <f ca="1">(BC60*ct_comp3*'Time on treatment'!$G$21)</f>
        <v>0</v>
      </c>
      <c r="BF184" s="87" t="s">
        <v>171</v>
      </c>
      <c r="BG184" s="111"/>
      <c r="BH184" s="109">
        <f ca="1">(BH60*ci_comp4)+(BH60*ct_comp4*'Time on treatment'!$D$22)</f>
        <v>0</v>
      </c>
      <c r="BI184" s="109">
        <f ca="1">(BI60*ct_comp4*'Time on treatment'!$E$22)</f>
        <v>0</v>
      </c>
      <c r="BJ184" s="109">
        <f ca="1">(BJ60*ct_comp4*'Time on treatment'!$F$22)</f>
        <v>0</v>
      </c>
      <c r="BK184" s="110">
        <f ca="1">(BK60*ct_comp4*'Time on treatment'!$G$22)</f>
        <v>0</v>
      </c>
      <c r="BN184" s="87" t="s">
        <v>171</v>
      </c>
      <c r="BO184" s="111"/>
      <c r="BP184" s="109">
        <f ca="1">(BP60*ci_comp5)+(BP60*ct_comp5*'Time on treatment'!$D$23)</f>
        <v>0</v>
      </c>
      <c r="BQ184" s="109">
        <f ca="1">(BQ60*ct_comp5*'Time on treatment'!$E$23)</f>
        <v>0</v>
      </c>
      <c r="BR184" s="109">
        <f ca="1">(BR60*ct_comp5*'Time on treatment'!$F$23)</f>
        <v>0</v>
      </c>
      <c r="BS184" s="110">
        <f ca="1">(BS60*ct_comp5*'Time on treatment'!$G$23)</f>
        <v>0</v>
      </c>
      <c r="BV184" s="87" t="s">
        <v>171</v>
      </c>
      <c r="BW184" s="111"/>
      <c r="BX184" s="109">
        <f ca="1">(BX60*ci_comp6)+(BX60*ct_comp6*'Time on treatment'!$D$24)</f>
        <v>0</v>
      </c>
      <c r="BY184" s="109">
        <f ca="1">(BY60*ct_comp6*'Time on treatment'!$E$24)</f>
        <v>0</v>
      </c>
      <c r="BZ184" s="109">
        <f ca="1">(BZ60*ct_comp6*'Time on treatment'!$F$24)</f>
        <v>0</v>
      </c>
      <c r="CA184" s="110">
        <f ca="1">(CA60*ct_comp6*'Time on treatment'!$G$24)</f>
        <v>0</v>
      </c>
      <c r="CD184" s="87" t="s">
        <v>171</v>
      </c>
      <c r="CE184" s="111"/>
      <c r="CF184" s="109">
        <f ca="1">(CF60*ci_comp7)+(CF60*ct_comp7*'Time on treatment'!$D$25)</f>
        <v>0</v>
      </c>
      <c r="CG184" s="109">
        <f ca="1">(CG60*ct_comp7*'Time on treatment'!$E$25)</f>
        <v>0</v>
      </c>
      <c r="CH184" s="109">
        <f ca="1">(CH60*ct_comp7*'Time on treatment'!$F$25)</f>
        <v>0</v>
      </c>
      <c r="CI184" s="110">
        <f ca="1">(CI60*ct_comp7*'Time on treatment'!$G$25)</f>
        <v>0</v>
      </c>
      <c r="CL184" s="87" t="s">
        <v>171</v>
      </c>
      <c r="CM184" s="111"/>
      <c r="CN184" s="109">
        <f ca="1">(CN60*ci_comp8)+(CN60*ct_comp8*'Time on treatment'!$D$26)</f>
        <v>0</v>
      </c>
      <c r="CO184" s="109">
        <f ca="1">(CO60*ct_comp8*'Time on treatment'!$E$26)</f>
        <v>0</v>
      </c>
      <c r="CP184" s="109">
        <f ca="1">(CP60*ct_comp8*'Time on treatment'!$F$26)</f>
        <v>0</v>
      </c>
      <c r="CQ184" s="110">
        <f ca="1">(CQ60*ct_comp8*'Time on treatment'!$G$26)</f>
        <v>0</v>
      </c>
      <c r="CT184" s="87" t="s">
        <v>171</v>
      </c>
      <c r="CU184" s="111"/>
      <c r="CV184" s="109">
        <f ca="1">(CV60*ci_comp9)+(CV60*ct_comp9*'Time on treatment'!$D$27)</f>
        <v>0</v>
      </c>
      <c r="CW184" s="109">
        <f ca="1">(CW60*ct_comp9*'Time on treatment'!$E$27)</f>
        <v>0</v>
      </c>
      <c r="CX184" s="109">
        <f ca="1">(CX60*ct_comp9*'Time on treatment'!$F$27)</f>
        <v>0</v>
      </c>
      <c r="CY184" s="110">
        <f ca="1">(CY60*ct_comp9*'Time on treatment'!$G$27)</f>
        <v>0</v>
      </c>
      <c r="DB184" s="87" t="s">
        <v>171</v>
      </c>
      <c r="DC184" s="111"/>
      <c r="DD184" s="109">
        <f ca="1">(DD60*ci_comp10)+(DD60*ct_comp10*'Time on treatment'!$D$28)</f>
        <v>0</v>
      </c>
      <c r="DE184" s="109">
        <f ca="1">(DE60*ct_comp10*'Time on treatment'!$E$28)</f>
        <v>0</v>
      </c>
      <c r="DF184" s="109">
        <f ca="1">(DF60*ct_comp10*'Time on treatment'!$F$28)</f>
        <v>0</v>
      </c>
      <c r="DG184" s="110">
        <f ca="1">(DG60*ct_comp10*'Time on treatment'!$G$28)</f>
        <v>0</v>
      </c>
    </row>
    <row r="185" spans="2:111">
      <c r="B185" s="87" t="s">
        <v>176</v>
      </c>
      <c r="C185" s="111"/>
      <c r="D185" s="109"/>
      <c r="E185" s="109"/>
      <c r="F185" s="109"/>
      <c r="G185" s="110"/>
      <c r="J185" s="87" t="s">
        <v>176</v>
      </c>
      <c r="K185" s="111"/>
      <c r="L185" s="109"/>
      <c r="M185" s="109"/>
      <c r="N185" s="109"/>
      <c r="O185" s="110"/>
      <c r="R185" s="87" t="s">
        <v>176</v>
      </c>
      <c r="S185" s="111"/>
      <c r="T185" s="109"/>
      <c r="U185" s="109"/>
      <c r="V185" s="109"/>
      <c r="W185" s="110"/>
      <c r="Z185" s="87" t="s">
        <v>176</v>
      </c>
      <c r="AA185" s="111"/>
      <c r="AB185" s="109"/>
      <c r="AC185" s="109"/>
      <c r="AD185" s="109"/>
      <c r="AE185" s="110"/>
      <c r="AH185" s="87" t="s">
        <v>176</v>
      </c>
      <c r="AI185" s="111"/>
      <c r="AJ185" s="109"/>
      <c r="AK185" s="109"/>
      <c r="AL185" s="109"/>
      <c r="AM185" s="110"/>
      <c r="AP185" s="87" t="s">
        <v>176</v>
      </c>
      <c r="AQ185" s="111"/>
      <c r="AR185" s="109"/>
      <c r="AS185" s="109"/>
      <c r="AT185" s="109"/>
      <c r="AU185" s="110"/>
      <c r="AX185" s="87" t="s">
        <v>176</v>
      </c>
      <c r="AY185" s="111"/>
      <c r="AZ185" s="109"/>
      <c r="BA185" s="109"/>
      <c r="BB185" s="109"/>
      <c r="BC185" s="110"/>
      <c r="BF185" s="87" t="s">
        <v>176</v>
      </c>
      <c r="BG185" s="111"/>
      <c r="BH185" s="109"/>
      <c r="BI185" s="109"/>
      <c r="BJ185" s="109"/>
      <c r="BK185" s="110"/>
      <c r="BN185" s="87" t="s">
        <v>176</v>
      </c>
      <c r="BO185" s="111"/>
      <c r="BP185" s="109"/>
      <c r="BQ185" s="109"/>
      <c r="BR185" s="109"/>
      <c r="BS185" s="110"/>
      <c r="BV185" s="87" t="s">
        <v>176</v>
      </c>
      <c r="BW185" s="111"/>
      <c r="BX185" s="109"/>
      <c r="BY185" s="109"/>
      <c r="BZ185" s="109"/>
      <c r="CA185" s="110"/>
      <c r="CD185" s="87" t="s">
        <v>176</v>
      </c>
      <c r="CE185" s="111"/>
      <c r="CF185" s="109"/>
      <c r="CG185" s="109"/>
      <c r="CH185" s="109"/>
      <c r="CI185" s="110"/>
      <c r="CL185" s="87" t="s">
        <v>176</v>
      </c>
      <c r="CM185" s="111"/>
      <c r="CN185" s="109"/>
      <c r="CO185" s="109"/>
      <c r="CP185" s="109"/>
      <c r="CQ185" s="110"/>
      <c r="CT185" s="87" t="s">
        <v>176</v>
      </c>
      <c r="CU185" s="111"/>
      <c r="CV185" s="109"/>
      <c r="CW185" s="109"/>
      <c r="CX185" s="109"/>
      <c r="CY185" s="110"/>
      <c r="DB185" s="87" t="s">
        <v>176</v>
      </c>
      <c r="DC185" s="111"/>
      <c r="DD185" s="109"/>
      <c r="DE185" s="109"/>
      <c r="DF185" s="109"/>
      <c r="DG185" s="110"/>
    </row>
    <row r="186" spans="2:111">
      <c r="B186" s="87" t="s">
        <v>172</v>
      </c>
      <c r="C186" s="111"/>
      <c r="D186" s="111"/>
      <c r="E186" s="109">
        <f ca="1">(E62*ci_int1)+(E62*ct_int1*'Time on treatment'!$D$12)</f>
        <v>79017660.669982582</v>
      </c>
      <c r="F186" s="109">
        <f ca="1">(F62*ct_int1*'Time on treatment'!$E$12)</f>
        <v>0</v>
      </c>
      <c r="G186" s="110">
        <f ca="1">(G62*ct_int1*'Time on treatment'!$F$12)</f>
        <v>0</v>
      </c>
      <c r="J186" s="87" t="s">
        <v>172</v>
      </c>
      <c r="K186" s="111"/>
      <c r="L186" s="111"/>
      <c r="M186" s="109">
        <f ca="1">(M62*ci_int2)+(M62*ct_int2*'Time on treatment'!$D$13)</f>
        <v>0</v>
      </c>
      <c r="N186" s="109">
        <f ca="1">(N62*ct_int2*'Time on treatment'!$E$13)</f>
        <v>0</v>
      </c>
      <c r="O186" s="110">
        <f ca="1">(O62*ct_int2*'Time on treatment'!$F$13)</f>
        <v>0</v>
      </c>
      <c r="R186" s="87" t="s">
        <v>172</v>
      </c>
      <c r="S186" s="111"/>
      <c r="T186" s="111"/>
      <c r="U186" s="109">
        <f ca="1">(U62*ci_int3)+(U62*ct_int3*'Time on treatment'!$D$14)</f>
        <v>0</v>
      </c>
      <c r="V186" s="109">
        <f ca="1">(V62*ct_int3*'Time on treatment'!$E$14)</f>
        <v>0</v>
      </c>
      <c r="W186" s="110">
        <f ca="1">(W62*ct_int3*'Time on treatment'!$F$14)</f>
        <v>0</v>
      </c>
      <c r="Z186" s="87" t="s">
        <v>172</v>
      </c>
      <c r="AA186" s="111"/>
      <c r="AB186" s="111"/>
      <c r="AC186" s="109">
        <f ca="1">(AC62*ci_int4)+(AC62*ct_int4*'Time on treatment'!$D$15)</f>
        <v>0</v>
      </c>
      <c r="AD186" s="109">
        <f ca="1">(AD62*ct_int4*'Time on treatment'!$E$15)</f>
        <v>0</v>
      </c>
      <c r="AE186" s="110">
        <f ca="1">(AE62*ct_int4*'Time on treatment'!$F$15)</f>
        <v>0</v>
      </c>
      <c r="AH186" s="87" t="s">
        <v>172</v>
      </c>
      <c r="AI186" s="111"/>
      <c r="AJ186" s="111"/>
      <c r="AK186" s="109">
        <f ca="1">(AK62*ci_comp1)+(AK62*ct_comp1*'Time on treatment'!$D$19)</f>
        <v>3812409.9322195332</v>
      </c>
      <c r="AL186" s="109">
        <f ca="1">(AL62*ct_comp1*'Time on treatment'!$E$19)</f>
        <v>3812409.9322195332</v>
      </c>
      <c r="AM186" s="110">
        <f ca="1">(AM62*ct_comp1*'Time on treatment'!$F$19)</f>
        <v>3812409.9322195332</v>
      </c>
      <c r="AP186" s="87" t="s">
        <v>172</v>
      </c>
      <c r="AQ186" s="111"/>
      <c r="AR186" s="111"/>
      <c r="AS186" s="109">
        <f ca="1">(AS62*ci_comp2)+(AS62*ct_comp2*'Time on treatment'!$D$20)</f>
        <v>0</v>
      </c>
      <c r="AT186" s="109">
        <f ca="1">(AT62*ct_comp2*'Time on treatment'!$E$20)</f>
        <v>0</v>
      </c>
      <c r="AU186" s="110">
        <f ca="1">(AU62*ct_comp2*'Time on treatment'!$F$20)</f>
        <v>0</v>
      </c>
      <c r="AX186" s="87" t="s">
        <v>172</v>
      </c>
      <c r="AY186" s="111"/>
      <c r="AZ186" s="111"/>
      <c r="BA186" s="109">
        <f ca="1">(BA62*ci_comp3)+(BA62*ct_comp3*'Time on treatment'!$D$21)</f>
        <v>0</v>
      </c>
      <c r="BB186" s="109">
        <f ca="1">(BB62*ct_comp3*'Time on treatment'!$E$21)</f>
        <v>0</v>
      </c>
      <c r="BC186" s="110">
        <f ca="1">(BC62*ct_comp3*'Time on treatment'!$F$21)</f>
        <v>0</v>
      </c>
      <c r="BF186" s="87" t="s">
        <v>172</v>
      </c>
      <c r="BG186" s="111"/>
      <c r="BH186" s="111"/>
      <c r="BI186" s="109">
        <f ca="1">(BI62*ci_comp4)+(BI62*ct_comp4*'Time on treatment'!$D$22)</f>
        <v>0</v>
      </c>
      <c r="BJ186" s="109">
        <f ca="1">(BJ62*ct_comp4*'Time on treatment'!$E$22)</f>
        <v>0</v>
      </c>
      <c r="BK186" s="110">
        <f ca="1">(BK62*ct_comp4*'Time on treatment'!$F$22)</f>
        <v>0</v>
      </c>
      <c r="BN186" s="87" t="s">
        <v>172</v>
      </c>
      <c r="BO186" s="111"/>
      <c r="BP186" s="111"/>
      <c r="BQ186" s="109">
        <f ca="1">(BQ62*ci_comp5)+(BQ62*ct_comp5*'Time on treatment'!$D$23)</f>
        <v>0</v>
      </c>
      <c r="BR186" s="109">
        <f ca="1">(BR62*ct_comp5*'Time on treatment'!$E$23)</f>
        <v>0</v>
      </c>
      <c r="BS186" s="110">
        <f ca="1">(BS62*ct_comp5*'Time on treatment'!$F$23)</f>
        <v>0</v>
      </c>
      <c r="BV186" s="87" t="s">
        <v>172</v>
      </c>
      <c r="BW186" s="111"/>
      <c r="BX186" s="111"/>
      <c r="BY186" s="109">
        <f ca="1">(BY62*ci_comp6)+(BY62*ct_comp6*'Time on treatment'!$D$24)</f>
        <v>0</v>
      </c>
      <c r="BZ186" s="109">
        <f ca="1">(BZ62*ct_comp6*'Time on treatment'!$E$24)</f>
        <v>0</v>
      </c>
      <c r="CA186" s="110">
        <f ca="1">(CA62*ct_comp6*'Time on treatment'!$F$24)</f>
        <v>0</v>
      </c>
      <c r="CD186" s="87" t="s">
        <v>172</v>
      </c>
      <c r="CE186" s="111"/>
      <c r="CF186" s="111"/>
      <c r="CG186" s="109">
        <f ca="1">(CG62*ci_comp7)+(CG62*ct_comp7*'Time on treatment'!$D$25)</f>
        <v>0</v>
      </c>
      <c r="CH186" s="109">
        <f ca="1">(CH62*ct_comp7*'Time on treatment'!$E$25)</f>
        <v>0</v>
      </c>
      <c r="CI186" s="110">
        <f ca="1">(CI62*ct_comp7*'Time on treatment'!$F$25)</f>
        <v>0</v>
      </c>
      <c r="CL186" s="87" t="s">
        <v>172</v>
      </c>
      <c r="CM186" s="111"/>
      <c r="CN186" s="111"/>
      <c r="CO186" s="109">
        <f ca="1">(CO62*ci_comp8)+(CO62*ct_comp8*'Time on treatment'!$D$26)</f>
        <v>0</v>
      </c>
      <c r="CP186" s="109">
        <f ca="1">(CP62*ct_comp8*'Time on treatment'!$E$26)</f>
        <v>0</v>
      </c>
      <c r="CQ186" s="110">
        <f ca="1">(CQ62*ct_comp8*'Time on treatment'!$F$26)</f>
        <v>0</v>
      </c>
      <c r="CT186" s="87" t="s">
        <v>172</v>
      </c>
      <c r="CU186" s="111"/>
      <c r="CV186" s="111"/>
      <c r="CW186" s="109">
        <f ca="1">(CW62*ci_comp9)+(CW62*ct_comp9*'Time on treatment'!$D$27)</f>
        <v>0</v>
      </c>
      <c r="CX186" s="109">
        <f ca="1">(CX62*ct_comp9*'Time on treatment'!$E$27)</f>
        <v>0</v>
      </c>
      <c r="CY186" s="110">
        <f ca="1">(CY62*ct_comp9*'Time on treatment'!$F$27)</f>
        <v>0</v>
      </c>
      <c r="DB186" s="87" t="s">
        <v>172</v>
      </c>
      <c r="DC186" s="111"/>
      <c r="DD186" s="111"/>
      <c r="DE186" s="109">
        <f ca="1">(DE62*ci_comp10)+(DE62*ct_comp10*'Time on treatment'!$D$28)</f>
        <v>0</v>
      </c>
      <c r="DF186" s="109">
        <f ca="1">(DF62*ct_comp10*'Time on treatment'!$E$28)</f>
        <v>0</v>
      </c>
      <c r="DG186" s="110">
        <f ca="1">(DG62*ct_comp10*'Time on treatment'!$F$28)</f>
        <v>0</v>
      </c>
    </row>
    <row r="187" spans="2:111">
      <c r="B187" s="87" t="s">
        <v>177</v>
      </c>
      <c r="C187" s="111"/>
      <c r="D187" s="111"/>
      <c r="E187" s="109"/>
      <c r="F187" s="109"/>
      <c r="G187" s="110"/>
      <c r="J187" s="87" t="s">
        <v>177</v>
      </c>
      <c r="K187" s="111"/>
      <c r="L187" s="111"/>
      <c r="M187" s="109"/>
      <c r="N187" s="109"/>
      <c r="O187" s="110"/>
      <c r="R187" s="87" t="s">
        <v>177</v>
      </c>
      <c r="S187" s="111"/>
      <c r="T187" s="111"/>
      <c r="U187" s="109"/>
      <c r="V187" s="109"/>
      <c r="W187" s="110"/>
      <c r="Z187" s="87" t="s">
        <v>177</v>
      </c>
      <c r="AA187" s="111"/>
      <c r="AB187" s="111"/>
      <c r="AC187" s="109"/>
      <c r="AD187" s="109"/>
      <c r="AE187" s="110"/>
      <c r="AH187" s="87" t="s">
        <v>177</v>
      </c>
      <c r="AI187" s="111"/>
      <c r="AJ187" s="111"/>
      <c r="AK187" s="109"/>
      <c r="AL187" s="109"/>
      <c r="AM187" s="110"/>
      <c r="AP187" s="87" t="s">
        <v>177</v>
      </c>
      <c r="AQ187" s="111"/>
      <c r="AR187" s="111"/>
      <c r="AS187" s="109"/>
      <c r="AT187" s="109"/>
      <c r="AU187" s="110"/>
      <c r="AX187" s="87" t="s">
        <v>177</v>
      </c>
      <c r="AY187" s="111"/>
      <c r="AZ187" s="111"/>
      <c r="BA187" s="109"/>
      <c r="BB187" s="109"/>
      <c r="BC187" s="110"/>
      <c r="BF187" s="87" t="s">
        <v>177</v>
      </c>
      <c r="BG187" s="111"/>
      <c r="BH187" s="111"/>
      <c r="BI187" s="109"/>
      <c r="BJ187" s="109"/>
      <c r="BK187" s="110"/>
      <c r="BN187" s="87" t="s">
        <v>177</v>
      </c>
      <c r="BO187" s="111"/>
      <c r="BP187" s="111"/>
      <c r="BQ187" s="109"/>
      <c r="BR187" s="109"/>
      <c r="BS187" s="110"/>
      <c r="BV187" s="87" t="s">
        <v>177</v>
      </c>
      <c r="BW187" s="111"/>
      <c r="BX187" s="111"/>
      <c r="BY187" s="109"/>
      <c r="BZ187" s="109"/>
      <c r="CA187" s="110"/>
      <c r="CD187" s="87" t="s">
        <v>177</v>
      </c>
      <c r="CE187" s="111"/>
      <c r="CF187" s="111"/>
      <c r="CG187" s="109"/>
      <c r="CH187" s="109"/>
      <c r="CI187" s="110"/>
      <c r="CL187" s="87" t="s">
        <v>177</v>
      </c>
      <c r="CM187" s="111"/>
      <c r="CN187" s="111"/>
      <c r="CO187" s="109"/>
      <c r="CP187" s="109"/>
      <c r="CQ187" s="110"/>
      <c r="CT187" s="87" t="s">
        <v>177</v>
      </c>
      <c r="CU187" s="111"/>
      <c r="CV187" s="111"/>
      <c r="CW187" s="109"/>
      <c r="CX187" s="109"/>
      <c r="CY187" s="110"/>
      <c r="DB187" s="87" t="s">
        <v>177</v>
      </c>
      <c r="DC187" s="111"/>
      <c r="DD187" s="111"/>
      <c r="DE187" s="109"/>
      <c r="DF187" s="109"/>
      <c r="DG187" s="110"/>
    </row>
    <row r="188" spans="2:111">
      <c r="B188" s="87" t="s">
        <v>173</v>
      </c>
      <c r="C188" s="111"/>
      <c r="D188" s="111"/>
      <c r="E188" s="111"/>
      <c r="F188" s="109">
        <f ca="1">(F64*ci_int1)+(F64*ct_int1*'Time on treatment'!$D$12)</f>
        <v>104860558.58776912</v>
      </c>
      <c r="G188" s="110">
        <f ca="1">(G64*ct_int1*'Time on treatment'!$E$12)</f>
        <v>0</v>
      </c>
      <c r="J188" s="87" t="s">
        <v>173</v>
      </c>
      <c r="K188" s="111"/>
      <c r="L188" s="111"/>
      <c r="M188" s="111"/>
      <c r="N188" s="109">
        <f ca="1">(N64*ci_int2)+(N64*ct_int2*'Time on treatment'!$D$13)</f>
        <v>0</v>
      </c>
      <c r="O188" s="110">
        <f ca="1">(O64*ct_int2*'Time on treatment'!$E$13)</f>
        <v>0</v>
      </c>
      <c r="R188" s="87" t="s">
        <v>173</v>
      </c>
      <c r="S188" s="111"/>
      <c r="T188" s="111"/>
      <c r="U188" s="111"/>
      <c r="V188" s="109">
        <f ca="1">(V64*ci_int3)+(V64*ct_int3*'Time on treatment'!$D$14)</f>
        <v>0</v>
      </c>
      <c r="W188" s="110">
        <f ca="1">(W64*ct_int3*'Time on treatment'!$E$14)</f>
        <v>0</v>
      </c>
      <c r="Z188" s="87" t="s">
        <v>173</v>
      </c>
      <c r="AA188" s="111"/>
      <c r="AB188" s="111"/>
      <c r="AC188" s="111"/>
      <c r="AD188" s="109">
        <f ca="1">(AD64*ci_int4)+(AD64*ct_int4*'Time on treatment'!$D$15)</f>
        <v>0</v>
      </c>
      <c r="AE188" s="110">
        <f ca="1">(AE64*ct_int4*'Time on treatment'!$E$15)</f>
        <v>0</v>
      </c>
      <c r="AH188" s="87" t="s">
        <v>173</v>
      </c>
      <c r="AI188" s="111"/>
      <c r="AJ188" s="111"/>
      <c r="AK188" s="111"/>
      <c r="AL188" s="109">
        <f ca="1">(AL64*ci_comp1)+(AL64*ct_comp1*'Time on treatment'!$D$19)</f>
        <v>3252385.8635943867</v>
      </c>
      <c r="AM188" s="110">
        <f ca="1">(AM64*ct_comp1*'Time on treatment'!$E$19)</f>
        <v>3252385.8635943867</v>
      </c>
      <c r="AP188" s="87" t="s">
        <v>173</v>
      </c>
      <c r="AQ188" s="111"/>
      <c r="AR188" s="111"/>
      <c r="AS188" s="111"/>
      <c r="AT188" s="109">
        <f ca="1">(AT64*ci_comp2)+(AT64*ct_comp2*'Time on treatment'!$D$20)</f>
        <v>0</v>
      </c>
      <c r="AU188" s="110">
        <f ca="1">(AU64*ct_comp2*'Time on treatment'!$E$20)</f>
        <v>0</v>
      </c>
      <c r="AX188" s="87" t="s">
        <v>173</v>
      </c>
      <c r="AY188" s="111"/>
      <c r="AZ188" s="111"/>
      <c r="BA188" s="111"/>
      <c r="BB188" s="109">
        <f ca="1">(BB64*ci_comp3)+(BB64*ct_comp3*'Time on treatment'!$D$21)</f>
        <v>0</v>
      </c>
      <c r="BC188" s="110">
        <f ca="1">(BC64*ct_comp3*'Time on treatment'!$E$21)</f>
        <v>0</v>
      </c>
      <c r="BF188" s="87" t="s">
        <v>173</v>
      </c>
      <c r="BG188" s="111"/>
      <c r="BH188" s="111"/>
      <c r="BI188" s="111"/>
      <c r="BJ188" s="109">
        <f ca="1">(BJ64*ci_comp4)+(BJ64*ct_comp4*'Time on treatment'!$D$22)</f>
        <v>0</v>
      </c>
      <c r="BK188" s="110">
        <f ca="1">(BK64*ct_comp4*'Time on treatment'!$E$22)</f>
        <v>0</v>
      </c>
      <c r="BN188" s="87" t="s">
        <v>173</v>
      </c>
      <c r="BO188" s="111"/>
      <c r="BP188" s="111"/>
      <c r="BQ188" s="111"/>
      <c r="BR188" s="109">
        <f ca="1">(BR64*ci_comp5)+(BR64*ct_comp5*'Time on treatment'!$D$23)</f>
        <v>0</v>
      </c>
      <c r="BS188" s="110">
        <f ca="1">(BS64*ct_comp5*'Time on treatment'!$E$23)</f>
        <v>0</v>
      </c>
      <c r="BV188" s="87" t="s">
        <v>173</v>
      </c>
      <c r="BW188" s="111"/>
      <c r="BX188" s="111"/>
      <c r="BY188" s="111"/>
      <c r="BZ188" s="109">
        <f ca="1">(BZ64*ci_comp6)+(BZ64*ct_comp6*'Time on treatment'!$D$24)</f>
        <v>0</v>
      </c>
      <c r="CA188" s="110">
        <f ca="1">(CA64*ct_comp6*'Time on treatment'!$E$24)</f>
        <v>0</v>
      </c>
      <c r="CD188" s="87" t="s">
        <v>173</v>
      </c>
      <c r="CE188" s="111"/>
      <c r="CF188" s="111"/>
      <c r="CG188" s="111"/>
      <c r="CH188" s="109">
        <f ca="1">(CH64*ci_comp7)+(CH64*ct_comp7*'Time on treatment'!$D$25)</f>
        <v>0</v>
      </c>
      <c r="CI188" s="110">
        <f ca="1">(CI64*ct_comp7*'Time on treatment'!$E$25)</f>
        <v>0</v>
      </c>
      <c r="CL188" s="87" t="s">
        <v>173</v>
      </c>
      <c r="CM188" s="111"/>
      <c r="CN188" s="111"/>
      <c r="CO188" s="111"/>
      <c r="CP188" s="109">
        <f ca="1">(CP64*ci_comp8)+(CP64*ct_comp8*'Time on treatment'!$D$26)</f>
        <v>0</v>
      </c>
      <c r="CQ188" s="110">
        <f ca="1">(CQ64*ct_comp8*'Time on treatment'!$E$26)</f>
        <v>0</v>
      </c>
      <c r="CT188" s="87" t="s">
        <v>173</v>
      </c>
      <c r="CU188" s="111"/>
      <c r="CV188" s="111"/>
      <c r="CW188" s="111"/>
      <c r="CX188" s="109">
        <f ca="1">(CX64*ci_comp9)+(CX64*ct_comp9*'Time on treatment'!$D$27)</f>
        <v>0</v>
      </c>
      <c r="CY188" s="110">
        <f ca="1">(CY64*ct_comp9*'Time on treatment'!$E$27)</f>
        <v>0</v>
      </c>
      <c r="DB188" s="87" t="s">
        <v>173</v>
      </c>
      <c r="DC188" s="111"/>
      <c r="DD188" s="111"/>
      <c r="DE188" s="111"/>
      <c r="DF188" s="109">
        <f ca="1">(DF64*ci_comp10)+(DF64*ct_comp10*'Time on treatment'!$D$28)</f>
        <v>0</v>
      </c>
      <c r="DG188" s="110">
        <f ca="1">(DG64*ct_comp10*'Time on treatment'!$E$28)</f>
        <v>0</v>
      </c>
    </row>
    <row r="189" spans="2:111">
      <c r="B189" s="87" t="s">
        <v>178</v>
      </c>
      <c r="C189" s="111"/>
      <c r="D189" s="111"/>
      <c r="E189" s="111"/>
      <c r="F189" s="109"/>
      <c r="G189" s="110"/>
      <c r="J189" s="87" t="s">
        <v>178</v>
      </c>
      <c r="K189" s="111"/>
      <c r="L189" s="111"/>
      <c r="M189" s="111"/>
      <c r="N189" s="109"/>
      <c r="O189" s="110"/>
      <c r="R189" s="87" t="s">
        <v>178</v>
      </c>
      <c r="S189" s="111"/>
      <c r="T189" s="111"/>
      <c r="U189" s="111"/>
      <c r="V189" s="109"/>
      <c r="W189" s="110"/>
      <c r="Z189" s="87" t="s">
        <v>178</v>
      </c>
      <c r="AA189" s="111"/>
      <c r="AB189" s="111"/>
      <c r="AC189" s="111"/>
      <c r="AD189" s="109"/>
      <c r="AE189" s="110"/>
      <c r="AH189" s="87" t="s">
        <v>178</v>
      </c>
      <c r="AI189" s="111"/>
      <c r="AJ189" s="111"/>
      <c r="AK189" s="111"/>
      <c r="AL189" s="109"/>
      <c r="AM189" s="110"/>
      <c r="AP189" s="87" t="s">
        <v>178</v>
      </c>
      <c r="AQ189" s="111"/>
      <c r="AR189" s="111"/>
      <c r="AS189" s="111"/>
      <c r="AT189" s="109"/>
      <c r="AU189" s="110"/>
      <c r="AX189" s="87" t="s">
        <v>178</v>
      </c>
      <c r="AY189" s="111"/>
      <c r="AZ189" s="111"/>
      <c r="BA189" s="111"/>
      <c r="BB189" s="109"/>
      <c r="BC189" s="110"/>
      <c r="BF189" s="87" t="s">
        <v>178</v>
      </c>
      <c r="BG189" s="111"/>
      <c r="BH189" s="111"/>
      <c r="BI189" s="111"/>
      <c r="BJ189" s="109"/>
      <c r="BK189" s="110"/>
      <c r="BN189" s="87" t="s">
        <v>178</v>
      </c>
      <c r="BO189" s="111"/>
      <c r="BP189" s="111"/>
      <c r="BQ189" s="111"/>
      <c r="BR189" s="109"/>
      <c r="BS189" s="110"/>
      <c r="BV189" s="87" t="s">
        <v>178</v>
      </c>
      <c r="BW189" s="111"/>
      <c r="BX189" s="111"/>
      <c r="BY189" s="111"/>
      <c r="BZ189" s="109"/>
      <c r="CA189" s="110"/>
      <c r="CD189" s="87" t="s">
        <v>178</v>
      </c>
      <c r="CE189" s="111"/>
      <c r="CF189" s="111"/>
      <c r="CG189" s="111"/>
      <c r="CH189" s="109"/>
      <c r="CI189" s="110"/>
      <c r="CL189" s="87" t="s">
        <v>178</v>
      </c>
      <c r="CM189" s="111"/>
      <c r="CN189" s="111"/>
      <c r="CO189" s="111"/>
      <c r="CP189" s="109"/>
      <c r="CQ189" s="110"/>
      <c r="CT189" s="87" t="s">
        <v>178</v>
      </c>
      <c r="CU189" s="111"/>
      <c r="CV189" s="111"/>
      <c r="CW189" s="111"/>
      <c r="CX189" s="109"/>
      <c r="CY189" s="110"/>
      <c r="DB189" s="87" t="s">
        <v>178</v>
      </c>
      <c r="DC189" s="111"/>
      <c r="DD189" s="111"/>
      <c r="DE189" s="111"/>
      <c r="DF189" s="109"/>
      <c r="DG189" s="110"/>
    </row>
    <row r="190" spans="2:111">
      <c r="B190" s="87" t="s">
        <v>174</v>
      </c>
      <c r="C190" s="111"/>
      <c r="D190" s="111"/>
      <c r="E190" s="111"/>
      <c r="F190" s="111"/>
      <c r="G190" s="110">
        <f ca="1">(G66*ci_int1)+(G66*ct_int1*'Time on treatment'!$D$12)</f>
        <v>130295029.4001738</v>
      </c>
      <c r="J190" s="87" t="s">
        <v>174</v>
      </c>
      <c r="K190" s="111"/>
      <c r="L190" s="111"/>
      <c r="M190" s="111"/>
      <c r="N190" s="111"/>
      <c r="O190" s="110">
        <f ca="1">(O66*ci_int2)+(O66*ct_int2*'Time on treatment'!$D$13)</f>
        <v>0</v>
      </c>
      <c r="R190" s="87" t="s">
        <v>174</v>
      </c>
      <c r="S190" s="111"/>
      <c r="T190" s="111"/>
      <c r="U190" s="111"/>
      <c r="V190" s="111"/>
      <c r="W190" s="110">
        <f ca="1">(W66*ci_int3)+(W66*ct_int3*'Time on treatment'!$D$14)</f>
        <v>0</v>
      </c>
      <c r="Z190" s="87" t="s">
        <v>174</v>
      </c>
      <c r="AA190" s="111"/>
      <c r="AB190" s="111"/>
      <c r="AC190" s="111"/>
      <c r="AD190" s="111"/>
      <c r="AE190" s="110">
        <f ca="1">(AE66*ci_int4)+(AE66*ct_int4*'Time on treatment'!$D$15)</f>
        <v>0</v>
      </c>
      <c r="AH190" s="87" t="s">
        <v>174</v>
      </c>
      <c r="AI190" s="111"/>
      <c r="AJ190" s="111"/>
      <c r="AK190" s="111"/>
      <c r="AL190" s="111"/>
      <c r="AM190" s="110">
        <f ca="1">(AM66*ci_comp1)+(AM66*ct_comp1*'Time on treatment'!$D$19)</f>
        <v>2694179.250520532</v>
      </c>
      <c r="AP190" s="87" t="s">
        <v>174</v>
      </c>
      <c r="AQ190" s="111"/>
      <c r="AR190" s="111"/>
      <c r="AS190" s="111"/>
      <c r="AT190" s="111"/>
      <c r="AU190" s="110">
        <f ca="1">(AU66*ci_comp2)+(AU66*ct_comp2*'Time on treatment'!$D$20)</f>
        <v>0</v>
      </c>
      <c r="AX190" s="87" t="s">
        <v>174</v>
      </c>
      <c r="AY190" s="111"/>
      <c r="AZ190" s="111"/>
      <c r="BA190" s="111"/>
      <c r="BB190" s="111"/>
      <c r="BC190" s="110">
        <f ca="1">(BC66*ci_comp3)+(BC66*ct_comp3*'Time on treatment'!$D$21)</f>
        <v>0</v>
      </c>
      <c r="BF190" s="87" t="s">
        <v>174</v>
      </c>
      <c r="BG190" s="111"/>
      <c r="BH190" s="111"/>
      <c r="BI190" s="111"/>
      <c r="BJ190" s="111"/>
      <c r="BK190" s="110">
        <f ca="1">(BK66*ci_comp4)+(BK66*ct_comp4*'Time on treatment'!$D$22)</f>
        <v>0</v>
      </c>
      <c r="BN190" s="87" t="s">
        <v>174</v>
      </c>
      <c r="BO190" s="111"/>
      <c r="BP190" s="111"/>
      <c r="BQ190" s="111"/>
      <c r="BR190" s="111"/>
      <c r="BS190" s="110">
        <f ca="1">(BS66*ci_comp5)+(BS66*ct_comp5*'Time on treatment'!$D$23)</f>
        <v>0</v>
      </c>
      <c r="BV190" s="87" t="s">
        <v>174</v>
      </c>
      <c r="BW190" s="111"/>
      <c r="BX190" s="111"/>
      <c r="BY190" s="111"/>
      <c r="BZ190" s="111"/>
      <c r="CA190" s="110">
        <f ca="1">(CA66*ci_comp6)+(CA66*ct_comp6*'Time on treatment'!$D$24)</f>
        <v>0</v>
      </c>
      <c r="CD190" s="87" t="s">
        <v>174</v>
      </c>
      <c r="CE190" s="111"/>
      <c r="CF190" s="111"/>
      <c r="CG190" s="111"/>
      <c r="CH190" s="111"/>
      <c r="CI190" s="110">
        <f ca="1">(CI66*ci_comp7)+(CI66*ct_comp7*'Time on treatment'!$D$25)</f>
        <v>0</v>
      </c>
      <c r="CL190" s="87" t="s">
        <v>174</v>
      </c>
      <c r="CM190" s="111"/>
      <c r="CN190" s="111"/>
      <c r="CO190" s="111"/>
      <c r="CP190" s="111"/>
      <c r="CQ190" s="110">
        <f ca="1">(CQ66*ci_comp8)+(CQ66*ct_comp8*'Time on treatment'!$D$26)</f>
        <v>0</v>
      </c>
      <c r="CT190" s="87" t="s">
        <v>174</v>
      </c>
      <c r="CU190" s="111"/>
      <c r="CV190" s="111"/>
      <c r="CW190" s="111"/>
      <c r="CX190" s="111"/>
      <c r="CY190" s="110">
        <f ca="1">(CY66*ci_comp9)+(CY66*ct_comp9*'Time on treatment'!$D$27)</f>
        <v>0</v>
      </c>
      <c r="DB190" s="87" t="s">
        <v>174</v>
      </c>
      <c r="DC190" s="111"/>
      <c r="DD190" s="111"/>
      <c r="DE190" s="111"/>
      <c r="DF190" s="111"/>
      <c r="DG190" s="110">
        <f ca="1">(DG66*ci_comp10)+(DG66*ct_comp10*'Time on treatment'!$D$28)</f>
        <v>0</v>
      </c>
    </row>
    <row r="191" spans="2:111" ht="15" thickBot="1">
      <c r="B191" s="87" t="s">
        <v>179</v>
      </c>
      <c r="C191" s="111"/>
      <c r="D191" s="111"/>
      <c r="E191" s="111"/>
      <c r="F191" s="111"/>
      <c r="G191" s="112"/>
      <c r="J191" s="87" t="s">
        <v>179</v>
      </c>
      <c r="K191" s="111"/>
      <c r="L191" s="111"/>
      <c r="M191" s="111"/>
      <c r="N191" s="111"/>
      <c r="O191" s="112"/>
      <c r="R191" s="87" t="s">
        <v>179</v>
      </c>
      <c r="S191" s="111"/>
      <c r="T191" s="111"/>
      <c r="U191" s="111"/>
      <c r="V191" s="111"/>
      <c r="W191" s="112"/>
      <c r="Z191" s="87" t="s">
        <v>179</v>
      </c>
      <c r="AA191" s="111"/>
      <c r="AB191" s="111"/>
      <c r="AC191" s="111"/>
      <c r="AD191" s="111"/>
      <c r="AE191" s="112"/>
      <c r="AH191" s="87" t="s">
        <v>179</v>
      </c>
      <c r="AI191" s="111"/>
      <c r="AJ191" s="111"/>
      <c r="AK191" s="111"/>
      <c r="AL191" s="111"/>
      <c r="AM191" s="112"/>
      <c r="AP191" s="87" t="s">
        <v>179</v>
      </c>
      <c r="AQ191" s="111"/>
      <c r="AR191" s="111"/>
      <c r="AS191" s="111"/>
      <c r="AT191" s="111"/>
      <c r="AU191" s="112"/>
      <c r="AX191" s="87" t="s">
        <v>179</v>
      </c>
      <c r="AY191" s="111"/>
      <c r="AZ191" s="111"/>
      <c r="BA191" s="111"/>
      <c r="BB191" s="111"/>
      <c r="BC191" s="112"/>
      <c r="BF191" s="87" t="s">
        <v>179</v>
      </c>
      <c r="BG191" s="111"/>
      <c r="BH191" s="111"/>
      <c r="BI191" s="111"/>
      <c r="BJ191" s="111"/>
      <c r="BK191" s="112"/>
      <c r="BN191" s="87" t="s">
        <v>179</v>
      </c>
      <c r="BO191" s="111"/>
      <c r="BP191" s="111"/>
      <c r="BQ191" s="111"/>
      <c r="BR191" s="111"/>
      <c r="BS191" s="112"/>
      <c r="BV191" s="87" t="s">
        <v>179</v>
      </c>
      <c r="BW191" s="111"/>
      <c r="BX191" s="111"/>
      <c r="BY191" s="111"/>
      <c r="BZ191" s="111"/>
      <c r="CA191" s="112"/>
      <c r="CD191" s="87" t="s">
        <v>179</v>
      </c>
      <c r="CE191" s="111"/>
      <c r="CF191" s="111"/>
      <c r="CG191" s="111"/>
      <c r="CH191" s="111"/>
      <c r="CI191" s="112"/>
      <c r="CL191" s="87" t="s">
        <v>179</v>
      </c>
      <c r="CM191" s="111"/>
      <c r="CN191" s="111"/>
      <c r="CO191" s="111"/>
      <c r="CP191" s="111"/>
      <c r="CQ191" s="112"/>
      <c r="CT191" s="87" t="s">
        <v>179</v>
      </c>
      <c r="CU191" s="111"/>
      <c r="CV191" s="111"/>
      <c r="CW191" s="111"/>
      <c r="CX191" s="111"/>
      <c r="CY191" s="112"/>
      <c r="DB191" s="87" t="s">
        <v>179</v>
      </c>
      <c r="DC191" s="111"/>
      <c r="DD191" s="111"/>
      <c r="DE191" s="111"/>
      <c r="DF191" s="111"/>
      <c r="DG191" s="112"/>
    </row>
    <row r="192" spans="2:111" ht="15" thickBot="1">
      <c r="B192" s="85" t="str">
        <f>B164</f>
        <v>Intrauterine device levonorgestrel</v>
      </c>
      <c r="C192" s="113">
        <f ca="1">SUM(C182:C190)</f>
        <v>26538280.865881924</v>
      </c>
      <c r="D192" s="113">
        <f ca="1">SUM(D182:D190)</f>
        <v>52885290.695270158</v>
      </c>
      <c r="E192" s="113">
        <f ca="1">SUM(E182:E190)</f>
        <v>79017660.669982582</v>
      </c>
      <c r="F192" s="113">
        <f ca="1">SUM(F182:F190)</f>
        <v>104860558.58776912</v>
      </c>
      <c r="G192" s="114">
        <f ca="1">SUM(G182:G190)</f>
        <v>130295029.4001738</v>
      </c>
      <c r="J192" s="85">
        <f>J164</f>
        <v>0</v>
      </c>
      <c r="K192" s="113">
        <f ca="1">SUM(K182:K190)</f>
        <v>0</v>
      </c>
      <c r="L192" s="113">
        <f ca="1">SUM(L182:L190)</f>
        <v>0</v>
      </c>
      <c r="M192" s="113">
        <f ca="1">SUM(M182:M190)</f>
        <v>0</v>
      </c>
      <c r="N192" s="113">
        <f ca="1">SUM(N182:N190)</f>
        <v>0</v>
      </c>
      <c r="O192" s="114">
        <f ca="1">SUM(O182:O190)</f>
        <v>0</v>
      </c>
      <c r="R192" s="85">
        <f>R164</f>
        <v>0</v>
      </c>
      <c r="S192" s="113">
        <f ca="1">SUM(S182:S190)</f>
        <v>0</v>
      </c>
      <c r="T192" s="113">
        <f ca="1">SUM(T182:T190)</f>
        <v>0</v>
      </c>
      <c r="U192" s="113">
        <f ca="1">SUM(U182:U190)</f>
        <v>0</v>
      </c>
      <c r="V192" s="113">
        <f ca="1">SUM(V182:V190)</f>
        <v>0</v>
      </c>
      <c r="W192" s="114">
        <f ca="1">SUM(W182:W190)</f>
        <v>0</v>
      </c>
      <c r="Z192" s="85">
        <f>Z164</f>
        <v>0</v>
      </c>
      <c r="AA192" s="113">
        <f ca="1">SUM(AA182:AA190)</f>
        <v>0</v>
      </c>
      <c r="AB192" s="113">
        <f ca="1">SUM(AB182:AB190)</f>
        <v>0</v>
      </c>
      <c r="AC192" s="113">
        <f ca="1">SUM(AC182:AC190)</f>
        <v>0</v>
      </c>
      <c r="AD192" s="113">
        <f ca="1">SUM(AD182:AD190)</f>
        <v>0</v>
      </c>
      <c r="AE192" s="114">
        <f ca="1">SUM(AE182:AE190)</f>
        <v>0</v>
      </c>
      <c r="AH192" s="85" t="str">
        <f>AH164</f>
        <v>Oral contraceptive</v>
      </c>
      <c r="AI192" s="113">
        <f ca="1">SUM(AI182:AI190)</f>
        <v>4938714.6527574901</v>
      </c>
      <c r="AJ192" s="113">
        <f ca="1">SUM(AJ182:AJ190)</f>
        <v>9312863.1833614781</v>
      </c>
      <c r="AK192" s="113">
        <f ca="1">SUM(AK182:AK190)</f>
        <v>13125273.115581011</v>
      </c>
      <c r="AL192" s="113">
        <f ca="1">SUM(AL182:AL190)</f>
        <v>16377658.979175398</v>
      </c>
      <c r="AM192" s="114">
        <f ca="1">SUM(AM182:AM190)</f>
        <v>19071838.229695931</v>
      </c>
      <c r="AP192" s="85">
        <f>AP164</f>
        <v>0</v>
      </c>
      <c r="AQ192" s="113">
        <f ca="1">SUM(AQ182:AQ190)</f>
        <v>0</v>
      </c>
      <c r="AR192" s="113">
        <f ca="1">SUM(AR182:AR190)</f>
        <v>0</v>
      </c>
      <c r="AS192" s="113">
        <f ca="1">SUM(AS182:AS190)</f>
        <v>0</v>
      </c>
      <c r="AT192" s="113">
        <f ca="1">SUM(AT182:AT190)</f>
        <v>0</v>
      </c>
      <c r="AU192" s="114">
        <f ca="1">SUM(AU182:AU190)</f>
        <v>0</v>
      </c>
      <c r="AX192" s="85">
        <f>AX164</f>
        <v>0</v>
      </c>
      <c r="AY192" s="113">
        <f ca="1">SUM(AY182:AY190)</f>
        <v>0</v>
      </c>
      <c r="AZ192" s="113">
        <f ca="1">SUM(AZ182:AZ190)</f>
        <v>0</v>
      </c>
      <c r="BA192" s="113">
        <f ca="1">SUM(BA182:BA190)</f>
        <v>0</v>
      </c>
      <c r="BB192" s="113">
        <f ca="1">SUM(BB182:BB190)</f>
        <v>0</v>
      </c>
      <c r="BC192" s="114">
        <f ca="1">SUM(BC182:BC190)</f>
        <v>0</v>
      </c>
      <c r="BF192" s="85">
        <f>BF164</f>
        <v>0</v>
      </c>
      <c r="BG192" s="113">
        <f ca="1">SUM(BG182:BG190)</f>
        <v>0</v>
      </c>
      <c r="BH192" s="113">
        <f ca="1">SUM(BH182:BH190)</f>
        <v>0</v>
      </c>
      <c r="BI192" s="113">
        <f ca="1">SUM(BI182:BI190)</f>
        <v>0</v>
      </c>
      <c r="BJ192" s="113">
        <f ca="1">SUM(BJ182:BJ190)</f>
        <v>0</v>
      </c>
      <c r="BK192" s="114">
        <f ca="1">SUM(BK182:BK190)</f>
        <v>0</v>
      </c>
      <c r="BN192" s="85">
        <f>BN164</f>
        <v>0</v>
      </c>
      <c r="BO192" s="113">
        <f ca="1">SUM(BO182:BO190)</f>
        <v>0</v>
      </c>
      <c r="BP192" s="113">
        <f ca="1">SUM(BP182:BP190)</f>
        <v>0</v>
      </c>
      <c r="BQ192" s="113">
        <f ca="1">SUM(BQ182:BQ190)</f>
        <v>0</v>
      </c>
      <c r="BR192" s="113">
        <f ca="1">SUM(BR182:BR190)</f>
        <v>0</v>
      </c>
      <c r="BS192" s="114">
        <f ca="1">SUM(BS182:BS190)</f>
        <v>0</v>
      </c>
      <c r="BV192" s="85">
        <f>BV164</f>
        <v>0</v>
      </c>
      <c r="BW192" s="113">
        <f ca="1">SUM(BW182:BW190)</f>
        <v>0</v>
      </c>
      <c r="BX192" s="113">
        <f ca="1">SUM(BX182:BX190)</f>
        <v>0</v>
      </c>
      <c r="BY192" s="113">
        <f ca="1">SUM(BY182:BY190)</f>
        <v>0</v>
      </c>
      <c r="BZ192" s="113">
        <f ca="1">SUM(BZ182:BZ190)</f>
        <v>0</v>
      </c>
      <c r="CA192" s="114">
        <f ca="1">SUM(CA182:CA190)</f>
        <v>0</v>
      </c>
      <c r="CD192" s="85">
        <f>CD164</f>
        <v>0</v>
      </c>
      <c r="CE192" s="113">
        <f ca="1">SUM(CE182:CE190)</f>
        <v>0</v>
      </c>
      <c r="CF192" s="113">
        <f ca="1">SUM(CF182:CF190)</f>
        <v>0</v>
      </c>
      <c r="CG192" s="113">
        <f ca="1">SUM(CG182:CG190)</f>
        <v>0</v>
      </c>
      <c r="CH192" s="113">
        <f ca="1">SUM(CH182:CH190)</f>
        <v>0</v>
      </c>
      <c r="CI192" s="114">
        <f ca="1">SUM(CI182:CI190)</f>
        <v>0</v>
      </c>
      <c r="CL192" s="85">
        <f>CL164</f>
        <v>0</v>
      </c>
      <c r="CM192" s="113">
        <f ca="1">SUM(CM182:CM190)</f>
        <v>0</v>
      </c>
      <c r="CN192" s="113">
        <f ca="1">SUM(CN182:CN190)</f>
        <v>0</v>
      </c>
      <c r="CO192" s="113">
        <f ca="1">SUM(CO182:CO190)</f>
        <v>0</v>
      </c>
      <c r="CP192" s="113">
        <f ca="1">SUM(CP182:CP190)</f>
        <v>0</v>
      </c>
      <c r="CQ192" s="114">
        <f ca="1">SUM(CQ182:CQ190)</f>
        <v>0</v>
      </c>
      <c r="CT192" s="85">
        <f>CT164</f>
        <v>0</v>
      </c>
      <c r="CU192" s="113">
        <f ca="1">SUM(CU182:CU190)</f>
        <v>0</v>
      </c>
      <c r="CV192" s="113">
        <f ca="1">SUM(CV182:CV190)</f>
        <v>0</v>
      </c>
      <c r="CW192" s="113">
        <f ca="1">SUM(CW182:CW190)</f>
        <v>0</v>
      </c>
      <c r="CX192" s="113">
        <f ca="1">SUM(CX182:CX190)</f>
        <v>0</v>
      </c>
      <c r="CY192" s="114">
        <f ca="1">SUM(CY182:CY190)</f>
        <v>0</v>
      </c>
      <c r="DB192" s="85">
        <f>DB164</f>
        <v>0</v>
      </c>
      <c r="DC192" s="113">
        <f ca="1">SUM(DC182:DC190)</f>
        <v>0</v>
      </c>
      <c r="DD192" s="113">
        <f ca="1">SUM(DD182:DD190)</f>
        <v>0</v>
      </c>
      <c r="DE192" s="113">
        <f ca="1">SUM(DE182:DE190)</f>
        <v>0</v>
      </c>
      <c r="DF192" s="113">
        <f ca="1">SUM(DF182:DF190)</f>
        <v>0</v>
      </c>
      <c r="DG192" s="114">
        <f ca="1">SUM(DG182:DG190)</f>
        <v>0</v>
      </c>
    </row>
    <row r="193" spans="2:111" ht="15" thickBot="1">
      <c r="B193" s="83"/>
      <c r="C193" s="83"/>
      <c r="D193" s="83"/>
      <c r="E193" s="83"/>
      <c r="F193" s="83"/>
      <c r="G193" s="83"/>
      <c r="J193" s="83"/>
      <c r="K193" s="83"/>
      <c r="L193" s="83"/>
      <c r="M193" s="83"/>
      <c r="N193" s="83"/>
      <c r="O193" s="83"/>
      <c r="R193" s="83"/>
      <c r="S193" s="83"/>
      <c r="T193" s="83"/>
      <c r="U193" s="83"/>
      <c r="V193" s="83"/>
      <c r="W193" s="83"/>
      <c r="Z193" s="83"/>
      <c r="AA193" s="83"/>
      <c r="AB193" s="83"/>
      <c r="AC193" s="83"/>
      <c r="AD193" s="83"/>
      <c r="AE193" s="83"/>
      <c r="AH193" s="83"/>
      <c r="AI193" s="83"/>
      <c r="AJ193" s="83"/>
      <c r="AK193" s="83"/>
      <c r="AL193" s="83"/>
      <c r="AM193" s="83"/>
      <c r="AP193" s="83"/>
      <c r="AQ193" s="83"/>
      <c r="AR193" s="83"/>
      <c r="AS193" s="83"/>
      <c r="AT193" s="83"/>
      <c r="AU193" s="83"/>
      <c r="AX193" s="83"/>
      <c r="AY193" s="83"/>
      <c r="AZ193" s="83"/>
      <c r="BA193" s="83"/>
      <c r="BB193" s="83"/>
      <c r="BC193" s="83"/>
      <c r="BF193" s="83"/>
      <c r="BG193" s="83"/>
      <c r="BH193" s="83"/>
      <c r="BI193" s="83"/>
      <c r="BJ193" s="83"/>
      <c r="BK193" s="83"/>
      <c r="BN193" s="83"/>
      <c r="BO193" s="83"/>
      <c r="BP193" s="83"/>
      <c r="BQ193" s="83"/>
      <c r="BR193" s="83"/>
      <c r="BS193" s="83"/>
      <c r="BV193" s="83"/>
      <c r="BW193" s="83"/>
      <c r="BX193" s="83"/>
      <c r="BY193" s="83"/>
      <c r="BZ193" s="83"/>
      <c r="CA193" s="83"/>
      <c r="CD193" s="83"/>
      <c r="CE193" s="83"/>
      <c r="CF193" s="83"/>
      <c r="CG193" s="83"/>
      <c r="CH193" s="83"/>
      <c r="CI193" s="83"/>
      <c r="CL193" s="83"/>
      <c r="CM193" s="83"/>
      <c r="CN193" s="83"/>
      <c r="CO193" s="83"/>
      <c r="CP193" s="83"/>
      <c r="CQ193" s="83"/>
      <c r="CT193" s="83"/>
      <c r="CU193" s="83"/>
      <c r="CV193" s="83"/>
      <c r="CW193" s="83"/>
      <c r="CX193" s="83"/>
      <c r="CY193" s="83"/>
      <c r="DB193" s="83"/>
      <c r="DC193" s="83"/>
      <c r="DD193" s="83"/>
      <c r="DE193" s="83"/>
      <c r="DF193" s="83"/>
      <c r="DG193" s="83"/>
    </row>
    <row r="194" spans="2:111" ht="15" thickBot="1">
      <c r="B194" s="507">
        <f>B133</f>
        <v>0</v>
      </c>
      <c r="C194" s="505"/>
      <c r="D194" s="505"/>
      <c r="E194" s="505"/>
      <c r="F194" s="505"/>
      <c r="G194" s="506"/>
      <c r="J194" s="507">
        <f>J133</f>
        <v>0</v>
      </c>
      <c r="K194" s="505"/>
      <c r="L194" s="505"/>
      <c r="M194" s="505"/>
      <c r="N194" s="505"/>
      <c r="O194" s="506"/>
      <c r="R194" s="507">
        <f>R133</f>
        <v>0</v>
      </c>
      <c r="S194" s="505"/>
      <c r="T194" s="505"/>
      <c r="U194" s="505"/>
      <c r="V194" s="505"/>
      <c r="W194" s="506"/>
      <c r="Z194" s="507">
        <f>Z133</f>
        <v>0</v>
      </c>
      <c r="AA194" s="505"/>
      <c r="AB194" s="505"/>
      <c r="AC194" s="505"/>
      <c r="AD194" s="505"/>
      <c r="AE194" s="506"/>
      <c r="AH194" s="507">
        <f>AH133</f>
        <v>0</v>
      </c>
      <c r="AI194" s="505"/>
      <c r="AJ194" s="505"/>
      <c r="AK194" s="505"/>
      <c r="AL194" s="505"/>
      <c r="AM194" s="506"/>
      <c r="AP194" s="507">
        <f>AP133</f>
        <v>0</v>
      </c>
      <c r="AQ194" s="505"/>
      <c r="AR194" s="505"/>
      <c r="AS194" s="505"/>
      <c r="AT194" s="505"/>
      <c r="AU194" s="506"/>
      <c r="AX194" s="507">
        <f>AX133</f>
        <v>0</v>
      </c>
      <c r="AY194" s="505"/>
      <c r="AZ194" s="505"/>
      <c r="BA194" s="505"/>
      <c r="BB194" s="505"/>
      <c r="BC194" s="506"/>
      <c r="BF194" s="507">
        <f>BF133</f>
        <v>0</v>
      </c>
      <c r="BG194" s="505"/>
      <c r="BH194" s="505"/>
      <c r="BI194" s="505"/>
      <c r="BJ194" s="505"/>
      <c r="BK194" s="506"/>
      <c r="BN194" s="507">
        <f>BN133</f>
        <v>0</v>
      </c>
      <c r="BO194" s="505"/>
      <c r="BP194" s="505"/>
      <c r="BQ194" s="505"/>
      <c r="BR194" s="505"/>
      <c r="BS194" s="506"/>
      <c r="BV194" s="507">
        <f>BV133</f>
        <v>0</v>
      </c>
      <c r="BW194" s="505"/>
      <c r="BX194" s="505"/>
      <c r="BY194" s="505"/>
      <c r="BZ194" s="505"/>
      <c r="CA194" s="506"/>
      <c r="CD194" s="507">
        <f>CD133</f>
        <v>0</v>
      </c>
      <c r="CE194" s="505"/>
      <c r="CF194" s="505"/>
      <c r="CG194" s="505"/>
      <c r="CH194" s="505"/>
      <c r="CI194" s="506"/>
      <c r="CL194" s="507">
        <f>CL133</f>
        <v>0</v>
      </c>
      <c r="CM194" s="505"/>
      <c r="CN194" s="505"/>
      <c r="CO194" s="505"/>
      <c r="CP194" s="505"/>
      <c r="CQ194" s="506"/>
      <c r="CT194" s="507">
        <f>CT133</f>
        <v>0</v>
      </c>
      <c r="CU194" s="505"/>
      <c r="CV194" s="505"/>
      <c r="CW194" s="505"/>
      <c r="CX194" s="505"/>
      <c r="CY194" s="506"/>
      <c r="DB194" s="507">
        <f>DB133</f>
        <v>0</v>
      </c>
      <c r="DC194" s="505"/>
      <c r="DD194" s="505"/>
      <c r="DE194" s="505"/>
      <c r="DF194" s="505"/>
      <c r="DG194" s="506"/>
    </row>
    <row r="195" spans="2:111">
      <c r="B195" s="84"/>
      <c r="C195" s="101">
        <f>C134</f>
        <v>2026</v>
      </c>
      <c r="D195" s="101">
        <f t="shared" ref="D195:F195" si="370">D134</f>
        <v>2027</v>
      </c>
      <c r="E195" s="101">
        <f t="shared" si="370"/>
        <v>2028</v>
      </c>
      <c r="F195" s="101">
        <f t="shared" si="370"/>
        <v>2029</v>
      </c>
      <c r="G195" s="102">
        <f>G134</f>
        <v>2030</v>
      </c>
      <c r="J195" s="84"/>
      <c r="K195" s="101">
        <f>K134</f>
        <v>2026</v>
      </c>
      <c r="L195" s="101">
        <f t="shared" ref="L195:N195" si="371">L134</f>
        <v>2027</v>
      </c>
      <c r="M195" s="101">
        <f t="shared" si="371"/>
        <v>2028</v>
      </c>
      <c r="N195" s="101">
        <f t="shared" si="371"/>
        <v>2029</v>
      </c>
      <c r="O195" s="102">
        <f>O134</f>
        <v>2030</v>
      </c>
      <c r="R195" s="84"/>
      <c r="S195" s="101">
        <f>S134</f>
        <v>2026</v>
      </c>
      <c r="T195" s="101">
        <f t="shared" ref="T195:V195" si="372">T134</f>
        <v>2027</v>
      </c>
      <c r="U195" s="101">
        <f t="shared" si="372"/>
        <v>2028</v>
      </c>
      <c r="V195" s="101">
        <f t="shared" si="372"/>
        <v>2029</v>
      </c>
      <c r="W195" s="102">
        <f>W134</f>
        <v>2030</v>
      </c>
      <c r="Z195" s="84"/>
      <c r="AA195" s="101">
        <f>AA134</f>
        <v>2026</v>
      </c>
      <c r="AB195" s="101">
        <f t="shared" ref="AB195:AD195" si="373">AB134</f>
        <v>2027</v>
      </c>
      <c r="AC195" s="101">
        <f t="shared" si="373"/>
        <v>2028</v>
      </c>
      <c r="AD195" s="101">
        <f t="shared" si="373"/>
        <v>2029</v>
      </c>
      <c r="AE195" s="102">
        <f>AE134</f>
        <v>2030</v>
      </c>
      <c r="AH195" s="84"/>
      <c r="AI195" s="101">
        <f>AI134</f>
        <v>2026</v>
      </c>
      <c r="AJ195" s="101">
        <f t="shared" ref="AJ195:AL195" si="374">AJ134</f>
        <v>2027</v>
      </c>
      <c r="AK195" s="101">
        <f t="shared" si="374"/>
        <v>2028</v>
      </c>
      <c r="AL195" s="101">
        <f t="shared" si="374"/>
        <v>2029</v>
      </c>
      <c r="AM195" s="102">
        <f>AM134</f>
        <v>2030</v>
      </c>
      <c r="AP195" s="84"/>
      <c r="AQ195" s="101">
        <f>AQ134</f>
        <v>2026</v>
      </c>
      <c r="AR195" s="101">
        <f t="shared" ref="AR195:AT195" si="375">AR134</f>
        <v>2027</v>
      </c>
      <c r="AS195" s="101">
        <f t="shared" si="375"/>
        <v>2028</v>
      </c>
      <c r="AT195" s="101">
        <f t="shared" si="375"/>
        <v>2029</v>
      </c>
      <c r="AU195" s="102">
        <f>AU134</f>
        <v>2030</v>
      </c>
      <c r="AX195" s="84"/>
      <c r="AY195" s="101">
        <f>AY134</f>
        <v>2026</v>
      </c>
      <c r="AZ195" s="101">
        <f t="shared" ref="AZ195:BB195" si="376">AZ134</f>
        <v>2027</v>
      </c>
      <c r="BA195" s="101">
        <f t="shared" si="376"/>
        <v>2028</v>
      </c>
      <c r="BB195" s="101">
        <f t="shared" si="376"/>
        <v>2029</v>
      </c>
      <c r="BC195" s="102">
        <f>BC134</f>
        <v>2030</v>
      </c>
      <c r="BF195" s="84"/>
      <c r="BG195" s="101">
        <f>BG134</f>
        <v>2026</v>
      </c>
      <c r="BH195" s="101">
        <f t="shared" ref="BH195:BJ195" si="377">BH134</f>
        <v>2027</v>
      </c>
      <c r="BI195" s="101">
        <f t="shared" si="377"/>
        <v>2028</v>
      </c>
      <c r="BJ195" s="101">
        <f t="shared" si="377"/>
        <v>2029</v>
      </c>
      <c r="BK195" s="102">
        <f>BK134</f>
        <v>2030</v>
      </c>
      <c r="BN195" s="84"/>
      <c r="BO195" s="101">
        <f>BO134</f>
        <v>2026</v>
      </c>
      <c r="BP195" s="101">
        <f t="shared" ref="BP195:BR195" si="378">BP134</f>
        <v>2027</v>
      </c>
      <c r="BQ195" s="101">
        <f t="shared" si="378"/>
        <v>2028</v>
      </c>
      <c r="BR195" s="101">
        <f t="shared" si="378"/>
        <v>2029</v>
      </c>
      <c r="BS195" s="102">
        <f>BS134</f>
        <v>2030</v>
      </c>
      <c r="BV195" s="84"/>
      <c r="BW195" s="101">
        <f>BW134</f>
        <v>2026</v>
      </c>
      <c r="BX195" s="101">
        <f t="shared" ref="BX195:BZ195" si="379">BX134</f>
        <v>2027</v>
      </c>
      <c r="BY195" s="101">
        <f t="shared" si="379"/>
        <v>2028</v>
      </c>
      <c r="BZ195" s="101">
        <f t="shared" si="379"/>
        <v>2029</v>
      </c>
      <c r="CA195" s="102">
        <f>CA134</f>
        <v>2030</v>
      </c>
      <c r="CD195" s="84"/>
      <c r="CE195" s="101">
        <f>CE134</f>
        <v>2026</v>
      </c>
      <c r="CF195" s="101">
        <f t="shared" ref="CF195:CH195" si="380">CF134</f>
        <v>2027</v>
      </c>
      <c r="CG195" s="101">
        <f t="shared" si="380"/>
        <v>2028</v>
      </c>
      <c r="CH195" s="101">
        <f t="shared" si="380"/>
        <v>2029</v>
      </c>
      <c r="CI195" s="102">
        <f>CI134</f>
        <v>2030</v>
      </c>
      <c r="CL195" s="84"/>
      <c r="CM195" s="101">
        <f>CM134</f>
        <v>2026</v>
      </c>
      <c r="CN195" s="101">
        <f t="shared" ref="CN195:CP195" si="381">CN134</f>
        <v>2027</v>
      </c>
      <c r="CO195" s="101">
        <f t="shared" si="381"/>
        <v>2028</v>
      </c>
      <c r="CP195" s="101">
        <f t="shared" si="381"/>
        <v>2029</v>
      </c>
      <c r="CQ195" s="102">
        <f>CQ134</f>
        <v>2030</v>
      </c>
      <c r="CT195" s="84"/>
      <c r="CU195" s="101">
        <f>CU134</f>
        <v>2026</v>
      </c>
      <c r="CV195" s="101">
        <f t="shared" ref="CV195:CX195" si="382">CV134</f>
        <v>2027</v>
      </c>
      <c r="CW195" s="101">
        <f t="shared" si="382"/>
        <v>2028</v>
      </c>
      <c r="CX195" s="101">
        <f t="shared" si="382"/>
        <v>2029</v>
      </c>
      <c r="CY195" s="102">
        <f>CY134</f>
        <v>2030</v>
      </c>
      <c r="DB195" s="84"/>
      <c r="DC195" s="101">
        <f>DC134</f>
        <v>2026</v>
      </c>
      <c r="DD195" s="101">
        <f t="shared" ref="DD195:DF195" si="383">DD134</f>
        <v>2027</v>
      </c>
      <c r="DE195" s="101">
        <f t="shared" si="383"/>
        <v>2028</v>
      </c>
      <c r="DF195" s="101">
        <f t="shared" si="383"/>
        <v>2029</v>
      </c>
      <c r="DG195" s="102">
        <f>DG134</f>
        <v>2030</v>
      </c>
    </row>
    <row r="196" spans="2:111">
      <c r="B196" s="87" t="s">
        <v>170</v>
      </c>
      <c r="C196" s="109">
        <f ca="1">(C73*ci_int1)+(C73*ct_int1*'Time on treatment'!$D$12)</f>
        <v>0</v>
      </c>
      <c r="D196" s="109">
        <f ca="1">(D73*ct_int1*'Time on treatment'!$E$12)</f>
        <v>0</v>
      </c>
      <c r="E196" s="109">
        <f ca="1">(E73*ct_int1*'Time on treatment'!$F$12)</f>
        <v>0</v>
      </c>
      <c r="F196" s="109">
        <f ca="1">(F73*ct_int1*'Time on treatment'!$G$12)</f>
        <v>0</v>
      </c>
      <c r="G196" s="110">
        <f ca="1">(G73*ct_int1*'Time on treatment'!$H$12)</f>
        <v>0</v>
      </c>
      <c r="J196" s="87" t="s">
        <v>170</v>
      </c>
      <c r="K196" s="109">
        <f ca="1">(K73*ci_int2)+(K73*ct_int2*'Time on treatment'!$D$13)</f>
        <v>0</v>
      </c>
      <c r="L196" s="109">
        <f ca="1">(L73*ct_int2*'Time on treatment'!$E$13)</f>
        <v>0</v>
      </c>
      <c r="M196" s="109">
        <f ca="1">(M73*ct_int2*'Time on treatment'!$F$13)</f>
        <v>0</v>
      </c>
      <c r="N196" s="109">
        <f ca="1">(N73*ct_int2*'Time on treatment'!$G$13)</f>
        <v>0</v>
      </c>
      <c r="O196" s="110">
        <f ca="1">(O73*ct_int2*'Time on treatment'!$H$13)</f>
        <v>0</v>
      </c>
      <c r="R196" s="87" t="s">
        <v>170</v>
      </c>
      <c r="S196" s="109">
        <f ca="1">(S73*ci_int3)+(S73*ct_int3*'Time on treatment'!$D$14)</f>
        <v>0</v>
      </c>
      <c r="T196" s="109">
        <f ca="1">(T73*ct_int3*'Time on treatment'!$E$14)</f>
        <v>0</v>
      </c>
      <c r="U196" s="109">
        <f ca="1">(U73*ct_int3*'Time on treatment'!$F$14)</f>
        <v>0</v>
      </c>
      <c r="V196" s="109">
        <f ca="1">(V73*ct_int3*'Time on treatment'!$G$14)</f>
        <v>0</v>
      </c>
      <c r="W196" s="110">
        <f ca="1">(W73*ct_int3*'Time on treatment'!$H$14)</f>
        <v>0</v>
      </c>
      <c r="Z196" s="87" t="s">
        <v>170</v>
      </c>
      <c r="AA196" s="109">
        <f ca="1">(AA73*ci_int4)+(AA73*ct_int4*'Time on treatment'!$D$15)</f>
        <v>0</v>
      </c>
      <c r="AB196" s="109">
        <f ca="1">(AB73*ct_int4*'Time on treatment'!$E$15)</f>
        <v>0</v>
      </c>
      <c r="AC196" s="109">
        <f ca="1">(AC73*ct_int4*'Time on treatment'!$F$15)</f>
        <v>0</v>
      </c>
      <c r="AD196" s="109">
        <f ca="1">(AD73*ct_int4*'Time on treatment'!$G$15)</f>
        <v>0</v>
      </c>
      <c r="AE196" s="110">
        <f ca="1">(AE73*ct_int4*'Time on treatment'!$H$15)</f>
        <v>0</v>
      </c>
      <c r="AH196" s="87" t="s">
        <v>170</v>
      </c>
      <c r="AI196" s="109">
        <f ca="1">(AI73*ci_comp1)+(AI73*ct_comp1*'Time on treatment'!$D$19)</f>
        <v>0</v>
      </c>
      <c r="AJ196" s="109">
        <f ca="1">(AJ73*ct_comp1*'Time on treatment'!$E$19)</f>
        <v>0</v>
      </c>
      <c r="AK196" s="109">
        <f ca="1">(AK73*ct_comp1*'Time on treatment'!$F$19)</f>
        <v>0</v>
      </c>
      <c r="AL196" s="109">
        <f ca="1">(AL73*ct_comp1*'Time on treatment'!$G$19)</f>
        <v>0</v>
      </c>
      <c r="AM196" s="110">
        <f ca="1">(AM73*ct_comp1*'Time on treatment'!$H$19)</f>
        <v>0</v>
      </c>
      <c r="AP196" s="87" t="s">
        <v>170</v>
      </c>
      <c r="AQ196" s="109">
        <f ca="1">(AQ73*ci_comp2)+(AQ73*ct_comp2*'Time on treatment'!$D$20)</f>
        <v>0</v>
      </c>
      <c r="AR196" s="109">
        <f ca="1">(AR73*ct_comp2*'Time on treatment'!$E$20)</f>
        <v>0</v>
      </c>
      <c r="AS196" s="109">
        <f ca="1">(AS73*ct_comp2*'Time on treatment'!$F$20)</f>
        <v>0</v>
      </c>
      <c r="AT196" s="109">
        <f ca="1">(AT73*ct_comp2*'Time on treatment'!$G$20)</f>
        <v>0</v>
      </c>
      <c r="AU196" s="110">
        <f ca="1">(AU73*ct_comp2*'Time on treatment'!$H$20)</f>
        <v>0</v>
      </c>
      <c r="AX196" s="87" t="s">
        <v>170</v>
      </c>
      <c r="AY196" s="109">
        <f ca="1">(AY73*ci_comp3)+(AY73*ct_comp3*'Time on treatment'!$D$21)</f>
        <v>0</v>
      </c>
      <c r="AZ196" s="109">
        <f ca="1">(AZ73*ct_comp3*'Time on treatment'!$E$21)</f>
        <v>0</v>
      </c>
      <c r="BA196" s="109">
        <f ca="1">(BA73*ct_comp3*'Time on treatment'!$F$21)</f>
        <v>0</v>
      </c>
      <c r="BB196" s="109">
        <f ca="1">(BB73*ct_comp3*'Time on treatment'!$G$21)</f>
        <v>0</v>
      </c>
      <c r="BC196" s="110">
        <f ca="1">(BC73*ct_comp3*'Time on treatment'!$H$21)</f>
        <v>0</v>
      </c>
      <c r="BF196" s="87" t="s">
        <v>170</v>
      </c>
      <c r="BG196" s="109">
        <f ca="1">(BG73*ci_comp4)+(BG73*ct_comp4*'Time on treatment'!$D$22)</f>
        <v>0</v>
      </c>
      <c r="BH196" s="109">
        <f ca="1">(BH73*ct_comp4*'Time on treatment'!$E$22)</f>
        <v>0</v>
      </c>
      <c r="BI196" s="109">
        <f ca="1">(BI73*ct_comp4*'Time on treatment'!$F$22)</f>
        <v>0</v>
      </c>
      <c r="BJ196" s="109">
        <f ca="1">(BJ73*ct_comp4*'Time on treatment'!$G$22)</f>
        <v>0</v>
      </c>
      <c r="BK196" s="110">
        <f ca="1">(BK73*ct_comp4*'Time on treatment'!$H$22)</f>
        <v>0</v>
      </c>
      <c r="BN196" s="87" t="s">
        <v>170</v>
      </c>
      <c r="BO196" s="109">
        <f ca="1">(BO73*ci_comp5)+(BO73*ct_comp5*'Time on treatment'!$D$23)</f>
        <v>0</v>
      </c>
      <c r="BP196" s="109">
        <f ca="1">(BP73*ct_comp5*'Time on treatment'!$E$23)</f>
        <v>0</v>
      </c>
      <c r="BQ196" s="109">
        <f ca="1">(BQ73*ct_comp5*'Time on treatment'!$F$23)</f>
        <v>0</v>
      </c>
      <c r="BR196" s="109">
        <f ca="1">(BR73*ct_comp5*'Time on treatment'!$G$23)</f>
        <v>0</v>
      </c>
      <c r="BS196" s="110">
        <f ca="1">(BS73*ct_comp5*'Time on treatment'!$H$23)</f>
        <v>0</v>
      </c>
      <c r="BV196" s="87" t="s">
        <v>170</v>
      </c>
      <c r="BW196" s="109">
        <f ca="1">(BW73*ci_comp6)+(BW73*ct_comp6*'Time on treatment'!$D$24)</f>
        <v>0</v>
      </c>
      <c r="BX196" s="109">
        <f ca="1">(BX73*ct_comp6*'Time on treatment'!$E$24)</f>
        <v>0</v>
      </c>
      <c r="BY196" s="109">
        <f ca="1">(BY73*ct_comp6*'Time on treatment'!$F$24)</f>
        <v>0</v>
      </c>
      <c r="BZ196" s="109">
        <f ca="1">(BZ73*ct_comp6*'Time on treatment'!$G$24)</f>
        <v>0</v>
      </c>
      <c r="CA196" s="110">
        <f ca="1">(CA73*ct_comp6*'Time on treatment'!$H$24)</f>
        <v>0</v>
      </c>
      <c r="CD196" s="87" t="s">
        <v>170</v>
      </c>
      <c r="CE196" s="109">
        <f ca="1">(CE73*ci_comp7)+(CE73*ct_comp7*'Time on treatment'!$D$25)</f>
        <v>0</v>
      </c>
      <c r="CF196" s="109">
        <f ca="1">(CF73*ct_comp7*'Time on treatment'!$E$25)</f>
        <v>0</v>
      </c>
      <c r="CG196" s="109">
        <f ca="1">(CG73*ct_comp7*'Time on treatment'!$F$25)</f>
        <v>0</v>
      </c>
      <c r="CH196" s="109">
        <f ca="1">(CH73*ct_comp7*'Time on treatment'!$G$25)</f>
        <v>0</v>
      </c>
      <c r="CI196" s="110">
        <f ca="1">(CI73*ct_comp7*'Time on treatment'!$H$25)</f>
        <v>0</v>
      </c>
      <c r="CL196" s="87" t="s">
        <v>170</v>
      </c>
      <c r="CM196" s="109">
        <f ca="1">(CM73*ci_comp8)+(CM73*ct_comp8*'Time on treatment'!$D$26)</f>
        <v>0</v>
      </c>
      <c r="CN196" s="109">
        <f ca="1">(CN73*ct_comp8*'Time on treatment'!$E$26)</f>
        <v>0</v>
      </c>
      <c r="CO196" s="109">
        <f ca="1">(CO73*ct_comp8*'Time on treatment'!$F$26)</f>
        <v>0</v>
      </c>
      <c r="CP196" s="109">
        <f ca="1">(CP73*ct_comp8*'Time on treatment'!$G$26)</f>
        <v>0</v>
      </c>
      <c r="CQ196" s="110">
        <f ca="1">(CQ73*ct_comp8*'Time on treatment'!$H$26)</f>
        <v>0</v>
      </c>
      <c r="CT196" s="87" t="s">
        <v>170</v>
      </c>
      <c r="CU196" s="109">
        <f ca="1">(CU73*ci_comp9)+(CU73*ct_comp9*'Time on treatment'!$D$27)</f>
        <v>0</v>
      </c>
      <c r="CV196" s="109">
        <f ca="1">(CV73*ct_comp9*'Time on treatment'!$E$27)</f>
        <v>0</v>
      </c>
      <c r="CW196" s="109">
        <f ca="1">(CW73*ct_comp9*'Time on treatment'!$F$27)</f>
        <v>0</v>
      </c>
      <c r="CX196" s="109">
        <f ca="1">(CX73*ct_comp9*'Time on treatment'!$G$27)</f>
        <v>0</v>
      </c>
      <c r="CY196" s="110">
        <f ca="1">(CY73*ct_comp9*'Time on treatment'!$H$27)</f>
        <v>0</v>
      </c>
      <c r="DB196" s="87" t="s">
        <v>170</v>
      </c>
      <c r="DC196" s="109">
        <f ca="1">(DC73*ci_comp10)+(DC73*ct_comp10*'Time on treatment'!$D$28)</f>
        <v>0</v>
      </c>
      <c r="DD196" s="109">
        <f ca="1">(DD73*ct_comp10*'Time on treatment'!$E$28)</f>
        <v>0</v>
      </c>
      <c r="DE196" s="109">
        <f ca="1">(DE73*ct_comp10*'Time on treatment'!$F$28)</f>
        <v>0</v>
      </c>
      <c r="DF196" s="109">
        <f ca="1">(DF73*ct_comp10*'Time on treatment'!$G$28)</f>
        <v>0</v>
      </c>
      <c r="DG196" s="110">
        <f ca="1">(DG73*ct_comp10*'Time on treatment'!$H$28)</f>
        <v>0</v>
      </c>
    </row>
    <row r="197" spans="2:111">
      <c r="B197" s="87" t="s">
        <v>175</v>
      </c>
      <c r="C197" s="109"/>
      <c r="D197" s="109"/>
      <c r="E197" s="109"/>
      <c r="F197" s="109"/>
      <c r="G197" s="110"/>
      <c r="J197" s="87" t="s">
        <v>175</v>
      </c>
      <c r="K197" s="109"/>
      <c r="L197" s="109"/>
      <c r="M197" s="109"/>
      <c r="N197" s="109"/>
      <c r="O197" s="110"/>
      <c r="R197" s="87" t="s">
        <v>175</v>
      </c>
      <c r="S197" s="109"/>
      <c r="T197" s="109"/>
      <c r="U197" s="109"/>
      <c r="V197" s="109"/>
      <c r="W197" s="110"/>
      <c r="Z197" s="87" t="s">
        <v>175</v>
      </c>
      <c r="AA197" s="109"/>
      <c r="AB197" s="109"/>
      <c r="AC197" s="109"/>
      <c r="AD197" s="109"/>
      <c r="AE197" s="110"/>
      <c r="AH197" s="87" t="s">
        <v>175</v>
      </c>
      <c r="AI197" s="109"/>
      <c r="AJ197" s="109"/>
      <c r="AK197" s="109"/>
      <c r="AL197" s="109"/>
      <c r="AM197" s="110"/>
      <c r="AP197" s="87" t="s">
        <v>175</v>
      </c>
      <c r="AQ197" s="109"/>
      <c r="AR197" s="109"/>
      <c r="AS197" s="109"/>
      <c r="AT197" s="109"/>
      <c r="AU197" s="110"/>
      <c r="AX197" s="87" t="s">
        <v>175</v>
      </c>
      <c r="AY197" s="109"/>
      <c r="AZ197" s="109"/>
      <c r="BA197" s="109"/>
      <c r="BB197" s="109"/>
      <c r="BC197" s="110"/>
      <c r="BF197" s="87" t="s">
        <v>175</v>
      </c>
      <c r="BG197" s="109"/>
      <c r="BH197" s="109"/>
      <c r="BI197" s="109"/>
      <c r="BJ197" s="109"/>
      <c r="BK197" s="110"/>
      <c r="BN197" s="87" t="s">
        <v>175</v>
      </c>
      <c r="BO197" s="109"/>
      <c r="BP197" s="109"/>
      <c r="BQ197" s="109"/>
      <c r="BR197" s="109"/>
      <c r="BS197" s="110"/>
      <c r="BV197" s="87" t="s">
        <v>175</v>
      </c>
      <c r="BW197" s="109"/>
      <c r="BX197" s="109"/>
      <c r="BY197" s="109"/>
      <c r="BZ197" s="109"/>
      <c r="CA197" s="110"/>
      <c r="CD197" s="87" t="s">
        <v>175</v>
      </c>
      <c r="CE197" s="109"/>
      <c r="CF197" s="109"/>
      <c r="CG197" s="109"/>
      <c r="CH197" s="109"/>
      <c r="CI197" s="110"/>
      <c r="CL197" s="87" t="s">
        <v>175</v>
      </c>
      <c r="CM197" s="109"/>
      <c r="CN197" s="109"/>
      <c r="CO197" s="109"/>
      <c r="CP197" s="109"/>
      <c r="CQ197" s="110"/>
      <c r="CT197" s="87" t="s">
        <v>175</v>
      </c>
      <c r="CU197" s="109"/>
      <c r="CV197" s="109"/>
      <c r="CW197" s="109"/>
      <c r="CX197" s="109"/>
      <c r="CY197" s="110"/>
      <c r="DB197" s="87" t="s">
        <v>175</v>
      </c>
      <c r="DC197" s="109"/>
      <c r="DD197" s="109"/>
      <c r="DE197" s="109"/>
      <c r="DF197" s="109"/>
      <c r="DG197" s="110"/>
    </row>
    <row r="198" spans="2:111">
      <c r="B198" s="87" t="s">
        <v>171</v>
      </c>
      <c r="C198" s="111"/>
      <c r="D198" s="109">
        <f ca="1">(D75*ci_int1)+(D75*ct_int1*'Time on treatment'!$D$12)</f>
        <v>0</v>
      </c>
      <c r="E198" s="109">
        <f ca="1">(E75*ct_int1*'Time on treatment'!$E$12)</f>
        <v>0</v>
      </c>
      <c r="F198" s="109">
        <f ca="1">(F75*ct_int1*'Time on treatment'!$F$12)</f>
        <v>0</v>
      </c>
      <c r="G198" s="110">
        <f ca="1">(G75*ct_int1*'Time on treatment'!$G$12)</f>
        <v>0</v>
      </c>
      <c r="J198" s="87" t="s">
        <v>171</v>
      </c>
      <c r="K198" s="111"/>
      <c r="L198" s="109">
        <f ca="1">(L75*ci_int2)+(L75*ct_int2*'Time on treatment'!$D$13)</f>
        <v>0</v>
      </c>
      <c r="M198" s="109">
        <f ca="1">(M75*ct_int2*'Time on treatment'!$E$13)</f>
        <v>0</v>
      </c>
      <c r="N198" s="109">
        <f ca="1">(N75*ct_int2*'Time on treatment'!$F$13)</f>
        <v>0</v>
      </c>
      <c r="O198" s="110">
        <f ca="1">(O75*ct_int2*'Time on treatment'!$G$13)</f>
        <v>0</v>
      </c>
      <c r="R198" s="87" t="s">
        <v>171</v>
      </c>
      <c r="S198" s="111"/>
      <c r="T198" s="109">
        <f ca="1">(T75*ci_int3)+(T75*ct_int3*'Time on treatment'!$D$14)</f>
        <v>0</v>
      </c>
      <c r="U198" s="109">
        <f ca="1">(U75*ct_int3*'Time on treatment'!$E$14)</f>
        <v>0</v>
      </c>
      <c r="V198" s="109">
        <f ca="1">(V75*ct_int3*'Time on treatment'!$F$14)</f>
        <v>0</v>
      </c>
      <c r="W198" s="110">
        <f ca="1">(W75*ct_int3*'Time on treatment'!$G$14)</f>
        <v>0</v>
      </c>
      <c r="Z198" s="87" t="s">
        <v>171</v>
      </c>
      <c r="AA198" s="111"/>
      <c r="AB198" s="109">
        <f ca="1">(AB75*ci_int4)+(AB75*ct_int4*'Time on treatment'!$D$15)</f>
        <v>0</v>
      </c>
      <c r="AC198" s="109">
        <f ca="1">(AC75*ct_int4*'Time on treatment'!$E$15)</f>
        <v>0</v>
      </c>
      <c r="AD198" s="109">
        <f ca="1">(AD75*ct_int4*'Time on treatment'!$F$15)</f>
        <v>0</v>
      </c>
      <c r="AE198" s="110">
        <f ca="1">(AE75*ct_int4*'Time on treatment'!$G$15)</f>
        <v>0</v>
      </c>
      <c r="AH198" s="87" t="s">
        <v>171</v>
      </c>
      <c r="AI198" s="111"/>
      <c r="AJ198" s="109">
        <f ca="1">(AJ75*ci_comp1)+(AJ75*ct_comp1*'Time on treatment'!$D$19)</f>
        <v>0</v>
      </c>
      <c r="AK198" s="109">
        <f ca="1">(AK75*ct_comp1*'Time on treatment'!$E$19)</f>
        <v>0</v>
      </c>
      <c r="AL198" s="109">
        <f ca="1">(AL75*ct_comp1*'Time on treatment'!$F$19)</f>
        <v>0</v>
      </c>
      <c r="AM198" s="110">
        <f ca="1">(AM75*ct_comp1*'Time on treatment'!$G$19)</f>
        <v>0</v>
      </c>
      <c r="AP198" s="87" t="s">
        <v>171</v>
      </c>
      <c r="AQ198" s="111"/>
      <c r="AR198" s="109">
        <f ca="1">(AR75*ci_comp2)+(AR75*ct_comp2*'Time on treatment'!$D$20)</f>
        <v>0</v>
      </c>
      <c r="AS198" s="109">
        <f ca="1">(AS75*ct_comp2*'Time on treatment'!$E$20)</f>
        <v>0</v>
      </c>
      <c r="AT198" s="109">
        <f ca="1">(AT75*ct_comp2*'Time on treatment'!$F$20)</f>
        <v>0</v>
      </c>
      <c r="AU198" s="110">
        <f ca="1">(AU75*ct_comp2*'Time on treatment'!$G$20)</f>
        <v>0</v>
      </c>
      <c r="AX198" s="87" t="s">
        <v>171</v>
      </c>
      <c r="AY198" s="111"/>
      <c r="AZ198" s="109">
        <f ca="1">(AZ75*ci_comp3)+(AZ75*ct_comp3*'Time on treatment'!$D$21)</f>
        <v>0</v>
      </c>
      <c r="BA198" s="109">
        <f ca="1">(BA75*ct_comp3*'Time on treatment'!$E$21)</f>
        <v>0</v>
      </c>
      <c r="BB198" s="109">
        <f ca="1">(BB75*ct_comp3*'Time on treatment'!$F$21)</f>
        <v>0</v>
      </c>
      <c r="BC198" s="110">
        <f ca="1">(BC75*ct_comp3*'Time on treatment'!$G$21)</f>
        <v>0</v>
      </c>
      <c r="BF198" s="87" t="s">
        <v>171</v>
      </c>
      <c r="BG198" s="111"/>
      <c r="BH198" s="109">
        <f ca="1">(BH75*ci_comp4)+(BH75*ct_comp4*'Time on treatment'!$D$22)</f>
        <v>0</v>
      </c>
      <c r="BI198" s="109">
        <f ca="1">(BI75*ct_comp4*'Time on treatment'!$E$22)</f>
        <v>0</v>
      </c>
      <c r="BJ198" s="109">
        <f ca="1">(BJ75*ct_comp4*'Time on treatment'!$F$22)</f>
        <v>0</v>
      </c>
      <c r="BK198" s="110">
        <f ca="1">(BK75*ct_comp4*'Time on treatment'!$G$22)</f>
        <v>0</v>
      </c>
      <c r="BN198" s="87" t="s">
        <v>171</v>
      </c>
      <c r="BO198" s="111"/>
      <c r="BP198" s="109">
        <f ca="1">(BP75*ci_comp5)+(BP75*ct_comp5*'Time on treatment'!$D$23)</f>
        <v>0</v>
      </c>
      <c r="BQ198" s="109">
        <f ca="1">(BQ75*ct_comp5*'Time on treatment'!$E$23)</f>
        <v>0</v>
      </c>
      <c r="BR198" s="109">
        <f ca="1">(BR75*ct_comp5*'Time on treatment'!$F$23)</f>
        <v>0</v>
      </c>
      <c r="BS198" s="110">
        <f ca="1">(BS75*ct_comp5*'Time on treatment'!$G$23)</f>
        <v>0</v>
      </c>
      <c r="BV198" s="87" t="s">
        <v>171</v>
      </c>
      <c r="BW198" s="111"/>
      <c r="BX198" s="109">
        <f ca="1">(BX75*ci_comp6)+(BX75*ct_comp6*'Time on treatment'!$D$24)</f>
        <v>0</v>
      </c>
      <c r="BY198" s="109">
        <f ca="1">(BY75*ct_comp6*'Time on treatment'!$E$24)</f>
        <v>0</v>
      </c>
      <c r="BZ198" s="109">
        <f ca="1">(BZ75*ct_comp6*'Time on treatment'!$F$24)</f>
        <v>0</v>
      </c>
      <c r="CA198" s="110">
        <f ca="1">(CA75*ct_comp6*'Time on treatment'!$G$24)</f>
        <v>0</v>
      </c>
      <c r="CD198" s="87" t="s">
        <v>171</v>
      </c>
      <c r="CE198" s="111"/>
      <c r="CF198" s="109">
        <f ca="1">(CF75*ci_comp7)+(CF75*ct_comp7*'Time on treatment'!$D$25)</f>
        <v>0</v>
      </c>
      <c r="CG198" s="109">
        <f ca="1">(CG75*ct_comp7*'Time on treatment'!$E$25)</f>
        <v>0</v>
      </c>
      <c r="CH198" s="109">
        <f ca="1">(CH75*ct_comp7*'Time on treatment'!$F$25)</f>
        <v>0</v>
      </c>
      <c r="CI198" s="110">
        <f ca="1">(CI75*ct_comp7*'Time on treatment'!$G$25)</f>
        <v>0</v>
      </c>
      <c r="CL198" s="87" t="s">
        <v>171</v>
      </c>
      <c r="CM198" s="111"/>
      <c r="CN198" s="109">
        <f ca="1">(CN75*ci_comp8)+(CN75*ct_comp8*'Time on treatment'!$D$26)</f>
        <v>0</v>
      </c>
      <c r="CO198" s="109">
        <f ca="1">(CO75*ct_comp8*'Time on treatment'!$E$26)</f>
        <v>0</v>
      </c>
      <c r="CP198" s="109">
        <f ca="1">(CP75*ct_comp8*'Time on treatment'!$F$26)</f>
        <v>0</v>
      </c>
      <c r="CQ198" s="110">
        <f ca="1">(CQ75*ct_comp8*'Time on treatment'!$G$26)</f>
        <v>0</v>
      </c>
      <c r="CT198" s="87" t="s">
        <v>171</v>
      </c>
      <c r="CU198" s="111"/>
      <c r="CV198" s="109">
        <f ca="1">(CV75*ci_comp9)+(CV75*ct_comp9*'Time on treatment'!$D$27)</f>
        <v>0</v>
      </c>
      <c r="CW198" s="109">
        <f ca="1">(CW75*ct_comp9*'Time on treatment'!$E$27)</f>
        <v>0</v>
      </c>
      <c r="CX198" s="109">
        <f ca="1">(CX75*ct_comp9*'Time on treatment'!$F$27)</f>
        <v>0</v>
      </c>
      <c r="CY198" s="110">
        <f ca="1">(CY75*ct_comp9*'Time on treatment'!$G$27)</f>
        <v>0</v>
      </c>
      <c r="DB198" s="87" t="s">
        <v>171</v>
      </c>
      <c r="DC198" s="111"/>
      <c r="DD198" s="109">
        <f ca="1">(DD75*ci_comp10)+(DD75*ct_comp10*'Time on treatment'!$D$28)</f>
        <v>0</v>
      </c>
      <c r="DE198" s="109">
        <f ca="1">(DE75*ct_comp10*'Time on treatment'!$E$28)</f>
        <v>0</v>
      </c>
      <c r="DF198" s="109">
        <f ca="1">(DF75*ct_comp10*'Time on treatment'!$F$28)</f>
        <v>0</v>
      </c>
      <c r="DG198" s="110">
        <f ca="1">(DG75*ct_comp10*'Time on treatment'!$G$28)</f>
        <v>0</v>
      </c>
    </row>
    <row r="199" spans="2:111">
      <c r="B199" s="87" t="s">
        <v>176</v>
      </c>
      <c r="C199" s="111"/>
      <c r="D199" s="109"/>
      <c r="E199" s="109"/>
      <c r="F199" s="109"/>
      <c r="G199" s="110"/>
      <c r="J199" s="87" t="s">
        <v>176</v>
      </c>
      <c r="K199" s="111"/>
      <c r="L199" s="109"/>
      <c r="M199" s="109"/>
      <c r="N199" s="109"/>
      <c r="O199" s="110"/>
      <c r="R199" s="87" t="s">
        <v>176</v>
      </c>
      <c r="S199" s="111"/>
      <c r="T199" s="109"/>
      <c r="U199" s="109"/>
      <c r="V199" s="109"/>
      <c r="W199" s="110"/>
      <c r="Z199" s="87" t="s">
        <v>176</v>
      </c>
      <c r="AA199" s="111"/>
      <c r="AB199" s="109"/>
      <c r="AC199" s="109"/>
      <c r="AD199" s="109"/>
      <c r="AE199" s="110"/>
      <c r="AH199" s="87" t="s">
        <v>176</v>
      </c>
      <c r="AI199" s="111"/>
      <c r="AJ199" s="109"/>
      <c r="AK199" s="109"/>
      <c r="AL199" s="109"/>
      <c r="AM199" s="110"/>
      <c r="AP199" s="87" t="s">
        <v>176</v>
      </c>
      <c r="AQ199" s="111"/>
      <c r="AR199" s="109"/>
      <c r="AS199" s="109"/>
      <c r="AT199" s="109"/>
      <c r="AU199" s="110"/>
      <c r="AX199" s="87" t="s">
        <v>176</v>
      </c>
      <c r="AY199" s="111"/>
      <c r="AZ199" s="109"/>
      <c r="BA199" s="109"/>
      <c r="BB199" s="109"/>
      <c r="BC199" s="110"/>
      <c r="BF199" s="87" t="s">
        <v>176</v>
      </c>
      <c r="BG199" s="111"/>
      <c r="BH199" s="109"/>
      <c r="BI199" s="109"/>
      <c r="BJ199" s="109"/>
      <c r="BK199" s="110"/>
      <c r="BN199" s="87" t="s">
        <v>176</v>
      </c>
      <c r="BO199" s="111"/>
      <c r="BP199" s="109"/>
      <c r="BQ199" s="109"/>
      <c r="BR199" s="109"/>
      <c r="BS199" s="110"/>
      <c r="BV199" s="87" t="s">
        <v>176</v>
      </c>
      <c r="BW199" s="111"/>
      <c r="BX199" s="109"/>
      <c r="BY199" s="109"/>
      <c r="BZ199" s="109"/>
      <c r="CA199" s="110"/>
      <c r="CD199" s="87" t="s">
        <v>176</v>
      </c>
      <c r="CE199" s="111"/>
      <c r="CF199" s="109"/>
      <c r="CG199" s="109"/>
      <c r="CH199" s="109"/>
      <c r="CI199" s="110"/>
      <c r="CL199" s="87" t="s">
        <v>176</v>
      </c>
      <c r="CM199" s="111"/>
      <c r="CN199" s="109"/>
      <c r="CO199" s="109"/>
      <c r="CP199" s="109"/>
      <c r="CQ199" s="110"/>
      <c r="CT199" s="87" t="s">
        <v>176</v>
      </c>
      <c r="CU199" s="111"/>
      <c r="CV199" s="109"/>
      <c r="CW199" s="109"/>
      <c r="CX199" s="109"/>
      <c r="CY199" s="110"/>
      <c r="DB199" s="87" t="s">
        <v>176</v>
      </c>
      <c r="DC199" s="111"/>
      <c r="DD199" s="109"/>
      <c r="DE199" s="109"/>
      <c r="DF199" s="109"/>
      <c r="DG199" s="110"/>
    </row>
    <row r="200" spans="2:111">
      <c r="B200" s="87" t="s">
        <v>172</v>
      </c>
      <c r="C200" s="111"/>
      <c r="D200" s="111"/>
      <c r="E200" s="109">
        <f ca="1">(E77*ci_int1)+(E77*ct_int1*'Time on treatment'!$D$12)</f>
        <v>0</v>
      </c>
      <c r="F200" s="109">
        <f ca="1">(F77*ct_int1*'Time on treatment'!$E$12)</f>
        <v>0</v>
      </c>
      <c r="G200" s="110">
        <f ca="1">(G77*ct_int1*'Time on treatment'!$F$12)</f>
        <v>0</v>
      </c>
      <c r="J200" s="87" t="s">
        <v>172</v>
      </c>
      <c r="K200" s="111"/>
      <c r="L200" s="111"/>
      <c r="M200" s="109">
        <f ca="1">(M77*ci_int2)+(M77*ct_int2*'Time on treatment'!$D$13)</f>
        <v>0</v>
      </c>
      <c r="N200" s="109">
        <f ca="1">(N77*ct_int2*'Time on treatment'!$E$13)</f>
        <v>0</v>
      </c>
      <c r="O200" s="110">
        <f ca="1">(O77*ct_int2*'Time on treatment'!$F$13)</f>
        <v>0</v>
      </c>
      <c r="R200" s="87" t="s">
        <v>172</v>
      </c>
      <c r="S200" s="111"/>
      <c r="T200" s="111"/>
      <c r="U200" s="109">
        <f ca="1">(U77*ci_int3)+(U77*ct_int3*'Time on treatment'!$D$14)</f>
        <v>0</v>
      </c>
      <c r="V200" s="109">
        <f ca="1">(V77*ct_int3*'Time on treatment'!$E$14)</f>
        <v>0</v>
      </c>
      <c r="W200" s="110">
        <f ca="1">(W77*ct_int3*'Time on treatment'!$F$14)</f>
        <v>0</v>
      </c>
      <c r="Z200" s="87" t="s">
        <v>172</v>
      </c>
      <c r="AA200" s="111"/>
      <c r="AB200" s="111"/>
      <c r="AC200" s="109">
        <f ca="1">(AC77*ci_int4)+(AC77*ct_int4*'Time on treatment'!$D$15)</f>
        <v>0</v>
      </c>
      <c r="AD200" s="109">
        <f ca="1">(AD77*ct_int4*'Time on treatment'!$E$15)</f>
        <v>0</v>
      </c>
      <c r="AE200" s="110">
        <f ca="1">(AE77*ct_int4*'Time on treatment'!$F$15)</f>
        <v>0</v>
      </c>
      <c r="AH200" s="87" t="s">
        <v>172</v>
      </c>
      <c r="AI200" s="111"/>
      <c r="AJ200" s="111"/>
      <c r="AK200" s="109">
        <f ca="1">(AK77*ci_comp1)+(AK77*ct_comp1*'Time on treatment'!$D$19)</f>
        <v>0</v>
      </c>
      <c r="AL200" s="109">
        <f ca="1">(AL77*ct_comp1*'Time on treatment'!$E$19)</f>
        <v>0</v>
      </c>
      <c r="AM200" s="110">
        <f ca="1">(AM77*ct_comp1*'Time on treatment'!$F$19)</f>
        <v>0</v>
      </c>
      <c r="AP200" s="87" t="s">
        <v>172</v>
      </c>
      <c r="AQ200" s="111"/>
      <c r="AR200" s="111"/>
      <c r="AS200" s="109">
        <f ca="1">(AS77*ci_comp2)+(AS77*ct_comp2*'Time on treatment'!$D$20)</f>
        <v>0</v>
      </c>
      <c r="AT200" s="109">
        <f ca="1">(AT77*ct_comp2*'Time on treatment'!$E$20)</f>
        <v>0</v>
      </c>
      <c r="AU200" s="110">
        <f ca="1">(AU77*ct_comp2*'Time on treatment'!$F$20)</f>
        <v>0</v>
      </c>
      <c r="AX200" s="87" t="s">
        <v>172</v>
      </c>
      <c r="AY200" s="111"/>
      <c r="AZ200" s="111"/>
      <c r="BA200" s="109">
        <f ca="1">(BA77*ci_comp3)+(BA77*ct_comp3*'Time on treatment'!$D$21)</f>
        <v>0</v>
      </c>
      <c r="BB200" s="109">
        <f ca="1">(BB77*ct_comp3*'Time on treatment'!$E$21)</f>
        <v>0</v>
      </c>
      <c r="BC200" s="110">
        <f ca="1">(BC77*ct_comp3*'Time on treatment'!$F$21)</f>
        <v>0</v>
      </c>
      <c r="BF200" s="87" t="s">
        <v>172</v>
      </c>
      <c r="BG200" s="111"/>
      <c r="BH200" s="111"/>
      <c r="BI200" s="109">
        <f ca="1">(BI77*ci_comp4)+(BI77*ct_comp4*'Time on treatment'!$D$22)</f>
        <v>0</v>
      </c>
      <c r="BJ200" s="109">
        <f ca="1">(BJ77*ct_comp4*'Time on treatment'!$E$22)</f>
        <v>0</v>
      </c>
      <c r="BK200" s="110">
        <f ca="1">(BK77*ct_comp4*'Time on treatment'!$F$22)</f>
        <v>0</v>
      </c>
      <c r="BN200" s="87" t="s">
        <v>172</v>
      </c>
      <c r="BO200" s="111"/>
      <c r="BP200" s="111"/>
      <c r="BQ200" s="109">
        <f ca="1">(BQ77*ci_comp5)+(BQ77*ct_comp5*'Time on treatment'!$D$23)</f>
        <v>0</v>
      </c>
      <c r="BR200" s="109">
        <f ca="1">(BR77*ct_comp5*'Time on treatment'!$E$23)</f>
        <v>0</v>
      </c>
      <c r="BS200" s="110">
        <f ca="1">(BS77*ct_comp5*'Time on treatment'!$F$23)</f>
        <v>0</v>
      </c>
      <c r="BV200" s="87" t="s">
        <v>172</v>
      </c>
      <c r="BW200" s="111"/>
      <c r="BX200" s="111"/>
      <c r="BY200" s="109">
        <f ca="1">(BY77*ci_comp6)+(BY77*ct_comp6*'Time on treatment'!$D$24)</f>
        <v>0</v>
      </c>
      <c r="BZ200" s="109">
        <f ca="1">(BZ77*ct_comp6*'Time on treatment'!$E$24)</f>
        <v>0</v>
      </c>
      <c r="CA200" s="110">
        <f ca="1">(CA77*ct_comp6*'Time on treatment'!$F$24)</f>
        <v>0</v>
      </c>
      <c r="CD200" s="87" t="s">
        <v>172</v>
      </c>
      <c r="CE200" s="111"/>
      <c r="CF200" s="111"/>
      <c r="CG200" s="109">
        <f ca="1">(CG77*ci_comp7)+(CG77*ct_comp7*'Time on treatment'!$D$25)</f>
        <v>0</v>
      </c>
      <c r="CH200" s="109">
        <f ca="1">(CH77*ct_comp7*'Time on treatment'!$E$25)</f>
        <v>0</v>
      </c>
      <c r="CI200" s="110">
        <f ca="1">(CI77*ct_comp7*'Time on treatment'!$F$25)</f>
        <v>0</v>
      </c>
      <c r="CL200" s="87" t="s">
        <v>172</v>
      </c>
      <c r="CM200" s="111"/>
      <c r="CN200" s="111"/>
      <c r="CO200" s="109">
        <f ca="1">(CO77*ci_comp8)+(CO77*ct_comp8*'Time on treatment'!$D$26)</f>
        <v>0</v>
      </c>
      <c r="CP200" s="109">
        <f ca="1">(CP77*ct_comp8*'Time on treatment'!$E$26)</f>
        <v>0</v>
      </c>
      <c r="CQ200" s="110">
        <f ca="1">(CQ77*ct_comp8*'Time on treatment'!$F$26)</f>
        <v>0</v>
      </c>
      <c r="CT200" s="87" t="s">
        <v>172</v>
      </c>
      <c r="CU200" s="111"/>
      <c r="CV200" s="111"/>
      <c r="CW200" s="109">
        <f ca="1">(CW77*ci_comp9)+(CW77*ct_comp9*'Time on treatment'!$D$27)</f>
        <v>0</v>
      </c>
      <c r="CX200" s="109">
        <f ca="1">(CX77*ct_comp9*'Time on treatment'!$E$27)</f>
        <v>0</v>
      </c>
      <c r="CY200" s="110">
        <f ca="1">(CY77*ct_comp9*'Time on treatment'!$F$27)</f>
        <v>0</v>
      </c>
      <c r="DB200" s="87" t="s">
        <v>172</v>
      </c>
      <c r="DC200" s="111"/>
      <c r="DD200" s="111"/>
      <c r="DE200" s="109">
        <f ca="1">(DE77*ci_comp10)+(DE77*ct_comp10*'Time on treatment'!$D$28)</f>
        <v>0</v>
      </c>
      <c r="DF200" s="109">
        <f ca="1">(DF77*ct_comp10*'Time on treatment'!$E$28)</f>
        <v>0</v>
      </c>
      <c r="DG200" s="110">
        <f ca="1">(DG77*ct_comp10*'Time on treatment'!$F$28)</f>
        <v>0</v>
      </c>
    </row>
    <row r="201" spans="2:111">
      <c r="B201" s="87" t="s">
        <v>177</v>
      </c>
      <c r="C201" s="111"/>
      <c r="D201" s="111"/>
      <c r="E201" s="109"/>
      <c r="F201" s="109"/>
      <c r="G201" s="110"/>
      <c r="J201" s="87" t="s">
        <v>177</v>
      </c>
      <c r="K201" s="111"/>
      <c r="L201" s="111"/>
      <c r="M201" s="109"/>
      <c r="N201" s="109"/>
      <c r="O201" s="110"/>
      <c r="R201" s="87" t="s">
        <v>177</v>
      </c>
      <c r="S201" s="111"/>
      <c r="T201" s="111"/>
      <c r="U201" s="109"/>
      <c r="V201" s="109"/>
      <c r="W201" s="110"/>
      <c r="Z201" s="87" t="s">
        <v>177</v>
      </c>
      <c r="AA201" s="111"/>
      <c r="AB201" s="111"/>
      <c r="AC201" s="109"/>
      <c r="AD201" s="109"/>
      <c r="AE201" s="110"/>
      <c r="AH201" s="87" t="s">
        <v>177</v>
      </c>
      <c r="AI201" s="111"/>
      <c r="AJ201" s="111"/>
      <c r="AK201" s="109"/>
      <c r="AL201" s="109"/>
      <c r="AM201" s="110"/>
      <c r="AP201" s="87" t="s">
        <v>177</v>
      </c>
      <c r="AQ201" s="111"/>
      <c r="AR201" s="111"/>
      <c r="AS201" s="109"/>
      <c r="AT201" s="109"/>
      <c r="AU201" s="110"/>
      <c r="AX201" s="87" t="s">
        <v>177</v>
      </c>
      <c r="AY201" s="111"/>
      <c r="AZ201" s="111"/>
      <c r="BA201" s="109"/>
      <c r="BB201" s="109"/>
      <c r="BC201" s="110"/>
      <c r="BF201" s="87" t="s">
        <v>177</v>
      </c>
      <c r="BG201" s="111"/>
      <c r="BH201" s="111"/>
      <c r="BI201" s="109"/>
      <c r="BJ201" s="109"/>
      <c r="BK201" s="110"/>
      <c r="BN201" s="87" t="s">
        <v>177</v>
      </c>
      <c r="BO201" s="111"/>
      <c r="BP201" s="111"/>
      <c r="BQ201" s="109"/>
      <c r="BR201" s="109"/>
      <c r="BS201" s="110"/>
      <c r="BV201" s="87" t="s">
        <v>177</v>
      </c>
      <c r="BW201" s="111"/>
      <c r="BX201" s="111"/>
      <c r="BY201" s="109"/>
      <c r="BZ201" s="109"/>
      <c r="CA201" s="110"/>
      <c r="CD201" s="87" t="s">
        <v>177</v>
      </c>
      <c r="CE201" s="111"/>
      <c r="CF201" s="111"/>
      <c r="CG201" s="109"/>
      <c r="CH201" s="109"/>
      <c r="CI201" s="110"/>
      <c r="CL201" s="87" t="s">
        <v>177</v>
      </c>
      <c r="CM201" s="111"/>
      <c r="CN201" s="111"/>
      <c r="CO201" s="109"/>
      <c r="CP201" s="109"/>
      <c r="CQ201" s="110"/>
      <c r="CT201" s="87" t="s">
        <v>177</v>
      </c>
      <c r="CU201" s="111"/>
      <c r="CV201" s="111"/>
      <c r="CW201" s="109"/>
      <c r="CX201" s="109"/>
      <c r="CY201" s="110"/>
      <c r="DB201" s="87" t="s">
        <v>177</v>
      </c>
      <c r="DC201" s="111"/>
      <c r="DD201" s="111"/>
      <c r="DE201" s="109"/>
      <c r="DF201" s="109"/>
      <c r="DG201" s="110"/>
    </row>
    <row r="202" spans="2:111">
      <c r="B202" s="87" t="s">
        <v>173</v>
      </c>
      <c r="C202" s="111"/>
      <c r="D202" s="111"/>
      <c r="E202" s="111"/>
      <c r="F202" s="109">
        <f ca="1">(F79*ci_int1)+(F79*ct_int1*'Time on treatment'!$D$12)</f>
        <v>0</v>
      </c>
      <c r="G202" s="110">
        <f ca="1">(G79*ct_int1*'Time on treatment'!$E$12)</f>
        <v>0</v>
      </c>
      <c r="J202" s="87" t="s">
        <v>173</v>
      </c>
      <c r="K202" s="111"/>
      <c r="L202" s="111"/>
      <c r="M202" s="111"/>
      <c r="N202" s="109">
        <f ca="1">(N79*ci_int2)+(N79*ct_int2*'Time on treatment'!$D$13)</f>
        <v>0</v>
      </c>
      <c r="O202" s="110">
        <f ca="1">(O79*ct_int2*'Time on treatment'!$E$13)</f>
        <v>0</v>
      </c>
      <c r="R202" s="87" t="s">
        <v>173</v>
      </c>
      <c r="S202" s="111"/>
      <c r="T202" s="111"/>
      <c r="U202" s="111"/>
      <c r="V202" s="109">
        <f ca="1">(V79*ci_int3)+(V79*ct_int3*'Time on treatment'!$D$14)</f>
        <v>0</v>
      </c>
      <c r="W202" s="110">
        <f ca="1">(W79*ct_int3*'Time on treatment'!$E$14)</f>
        <v>0</v>
      </c>
      <c r="Z202" s="87" t="s">
        <v>173</v>
      </c>
      <c r="AA202" s="111"/>
      <c r="AB202" s="111"/>
      <c r="AC202" s="111"/>
      <c r="AD202" s="109">
        <f ca="1">(AD79*ci_int4)+(AD79*ct_int4*'Time on treatment'!$D$15)</f>
        <v>0</v>
      </c>
      <c r="AE202" s="110">
        <f ca="1">(AE79*ct_int4*'Time on treatment'!$E$15)</f>
        <v>0</v>
      </c>
      <c r="AH202" s="87" t="s">
        <v>173</v>
      </c>
      <c r="AI202" s="111"/>
      <c r="AJ202" s="111"/>
      <c r="AK202" s="111"/>
      <c r="AL202" s="109">
        <f ca="1">(AL79*ci_comp1)+(AL79*ct_comp1*'Time on treatment'!$D$19)</f>
        <v>0</v>
      </c>
      <c r="AM202" s="110">
        <f ca="1">(AM79*ct_comp1*'Time on treatment'!$E$19)</f>
        <v>0</v>
      </c>
      <c r="AP202" s="87" t="s">
        <v>173</v>
      </c>
      <c r="AQ202" s="111"/>
      <c r="AR202" s="111"/>
      <c r="AS202" s="111"/>
      <c r="AT202" s="109">
        <f ca="1">(AT79*ci_comp2)+(AT79*ct_comp2*'Time on treatment'!$D$20)</f>
        <v>0</v>
      </c>
      <c r="AU202" s="110">
        <f ca="1">(AU79*ct_comp2*'Time on treatment'!$E$20)</f>
        <v>0</v>
      </c>
      <c r="AX202" s="87" t="s">
        <v>173</v>
      </c>
      <c r="AY202" s="111"/>
      <c r="AZ202" s="111"/>
      <c r="BA202" s="111"/>
      <c r="BB202" s="109">
        <f ca="1">(BB79*ci_comp3)+(BB79*ct_comp3*'Time on treatment'!$D$21)</f>
        <v>0</v>
      </c>
      <c r="BC202" s="110">
        <f ca="1">(BC79*ct_comp3*'Time on treatment'!$E$21)</f>
        <v>0</v>
      </c>
      <c r="BF202" s="87" t="s">
        <v>173</v>
      </c>
      <c r="BG202" s="111"/>
      <c r="BH202" s="111"/>
      <c r="BI202" s="111"/>
      <c r="BJ202" s="109">
        <f ca="1">(BJ79*ci_comp4)+(BJ79*ct_comp4*'Time on treatment'!$D$22)</f>
        <v>0</v>
      </c>
      <c r="BK202" s="110">
        <f ca="1">(BK79*ct_comp4*'Time on treatment'!$E$22)</f>
        <v>0</v>
      </c>
      <c r="BN202" s="87" t="s">
        <v>173</v>
      </c>
      <c r="BO202" s="111"/>
      <c r="BP202" s="111"/>
      <c r="BQ202" s="111"/>
      <c r="BR202" s="109">
        <f ca="1">(BR79*ci_comp5)+(BR79*ct_comp5*'Time on treatment'!$D$23)</f>
        <v>0</v>
      </c>
      <c r="BS202" s="110">
        <f ca="1">(BS79*ct_comp5*'Time on treatment'!$E$23)</f>
        <v>0</v>
      </c>
      <c r="BV202" s="87" t="s">
        <v>173</v>
      </c>
      <c r="BW202" s="111"/>
      <c r="BX202" s="111"/>
      <c r="BY202" s="111"/>
      <c r="BZ202" s="109">
        <f ca="1">(BZ79*ci_comp6)+(BZ79*ct_comp6*'Time on treatment'!$D$24)</f>
        <v>0</v>
      </c>
      <c r="CA202" s="110">
        <f ca="1">(CA79*ct_comp6*'Time on treatment'!$E$24)</f>
        <v>0</v>
      </c>
      <c r="CD202" s="87" t="s">
        <v>173</v>
      </c>
      <c r="CE202" s="111"/>
      <c r="CF202" s="111"/>
      <c r="CG202" s="111"/>
      <c r="CH202" s="109">
        <f ca="1">(CH79*ci_comp7)+(CH79*ct_comp7*'Time on treatment'!$D$25)</f>
        <v>0</v>
      </c>
      <c r="CI202" s="110">
        <f ca="1">(CI79*ct_comp7*'Time on treatment'!$E$25)</f>
        <v>0</v>
      </c>
      <c r="CL202" s="87" t="s">
        <v>173</v>
      </c>
      <c r="CM202" s="111"/>
      <c r="CN202" s="111"/>
      <c r="CO202" s="111"/>
      <c r="CP202" s="109">
        <f ca="1">(CP79*ci_comp8)+(CP79*ct_comp8*'Time on treatment'!$D$26)</f>
        <v>0</v>
      </c>
      <c r="CQ202" s="110">
        <f ca="1">(CQ79*ct_comp8*'Time on treatment'!$E$26)</f>
        <v>0</v>
      </c>
      <c r="CT202" s="87" t="s">
        <v>173</v>
      </c>
      <c r="CU202" s="111"/>
      <c r="CV202" s="111"/>
      <c r="CW202" s="111"/>
      <c r="CX202" s="109">
        <f ca="1">(CX79*ci_comp9)+(CX79*ct_comp9*'Time on treatment'!$D$27)</f>
        <v>0</v>
      </c>
      <c r="CY202" s="110">
        <f ca="1">(CY79*ct_comp9*'Time on treatment'!$E$27)</f>
        <v>0</v>
      </c>
      <c r="DB202" s="87" t="s">
        <v>173</v>
      </c>
      <c r="DC202" s="111"/>
      <c r="DD202" s="111"/>
      <c r="DE202" s="111"/>
      <c r="DF202" s="109">
        <f ca="1">(DF79*ci_comp10)+(DF79*ct_comp10*'Time on treatment'!$D$28)</f>
        <v>0</v>
      </c>
      <c r="DG202" s="110">
        <f ca="1">(DG79*ct_comp10*'Time on treatment'!$E$28)</f>
        <v>0</v>
      </c>
    </row>
    <row r="203" spans="2:111">
      <c r="B203" s="87" t="s">
        <v>178</v>
      </c>
      <c r="C203" s="111"/>
      <c r="D203" s="111"/>
      <c r="E203" s="111"/>
      <c r="F203" s="109"/>
      <c r="G203" s="110"/>
      <c r="J203" s="87" t="s">
        <v>178</v>
      </c>
      <c r="K203" s="111"/>
      <c r="L203" s="111"/>
      <c r="M203" s="111"/>
      <c r="N203" s="109"/>
      <c r="O203" s="110"/>
      <c r="R203" s="87" t="s">
        <v>178</v>
      </c>
      <c r="S203" s="111"/>
      <c r="T203" s="111"/>
      <c r="U203" s="111"/>
      <c r="V203" s="109"/>
      <c r="W203" s="110"/>
      <c r="Z203" s="87" t="s">
        <v>178</v>
      </c>
      <c r="AA203" s="111"/>
      <c r="AB203" s="111"/>
      <c r="AC203" s="111"/>
      <c r="AD203" s="109"/>
      <c r="AE203" s="110"/>
      <c r="AH203" s="87" t="s">
        <v>178</v>
      </c>
      <c r="AI203" s="111"/>
      <c r="AJ203" s="111"/>
      <c r="AK203" s="111"/>
      <c r="AL203" s="109"/>
      <c r="AM203" s="110"/>
      <c r="AP203" s="87" t="s">
        <v>178</v>
      </c>
      <c r="AQ203" s="111"/>
      <c r="AR203" s="111"/>
      <c r="AS203" s="111"/>
      <c r="AT203" s="109"/>
      <c r="AU203" s="110"/>
      <c r="AX203" s="87" t="s">
        <v>178</v>
      </c>
      <c r="AY203" s="111"/>
      <c r="AZ203" s="111"/>
      <c r="BA203" s="111"/>
      <c r="BB203" s="109"/>
      <c r="BC203" s="110"/>
      <c r="BF203" s="87" t="s">
        <v>178</v>
      </c>
      <c r="BG203" s="111"/>
      <c r="BH203" s="111"/>
      <c r="BI203" s="111"/>
      <c r="BJ203" s="109"/>
      <c r="BK203" s="110"/>
      <c r="BN203" s="87" t="s">
        <v>178</v>
      </c>
      <c r="BO203" s="111"/>
      <c r="BP203" s="111"/>
      <c r="BQ203" s="111"/>
      <c r="BR203" s="109"/>
      <c r="BS203" s="110"/>
      <c r="BV203" s="87" t="s">
        <v>178</v>
      </c>
      <c r="BW203" s="111"/>
      <c r="BX203" s="111"/>
      <c r="BY203" s="111"/>
      <c r="BZ203" s="109"/>
      <c r="CA203" s="110"/>
      <c r="CD203" s="87" t="s">
        <v>178</v>
      </c>
      <c r="CE203" s="111"/>
      <c r="CF203" s="111"/>
      <c r="CG203" s="111"/>
      <c r="CH203" s="109"/>
      <c r="CI203" s="110"/>
      <c r="CL203" s="87" t="s">
        <v>178</v>
      </c>
      <c r="CM203" s="111"/>
      <c r="CN203" s="111"/>
      <c r="CO203" s="111"/>
      <c r="CP203" s="109"/>
      <c r="CQ203" s="110"/>
      <c r="CT203" s="87" t="s">
        <v>178</v>
      </c>
      <c r="CU203" s="111"/>
      <c r="CV203" s="111"/>
      <c r="CW203" s="111"/>
      <c r="CX203" s="109"/>
      <c r="CY203" s="110"/>
      <c r="DB203" s="87" t="s">
        <v>178</v>
      </c>
      <c r="DC203" s="111"/>
      <c r="DD203" s="111"/>
      <c r="DE203" s="111"/>
      <c r="DF203" s="109"/>
      <c r="DG203" s="110"/>
    </row>
    <row r="204" spans="2:111">
      <c r="B204" s="87" t="s">
        <v>174</v>
      </c>
      <c r="C204" s="111"/>
      <c r="D204" s="111"/>
      <c r="E204" s="111"/>
      <c r="F204" s="111"/>
      <c r="G204" s="110">
        <f ca="1">(G81*ci_int1)+(G81*ct_int1*'Time on treatment'!$D$12)</f>
        <v>0</v>
      </c>
      <c r="J204" s="87" t="s">
        <v>174</v>
      </c>
      <c r="K204" s="111"/>
      <c r="L204" s="111"/>
      <c r="M204" s="111"/>
      <c r="N204" s="111"/>
      <c r="O204" s="110">
        <f ca="1">(O81*ci_int2)+(O81*ct_int2*'Time on treatment'!$D$13)</f>
        <v>0</v>
      </c>
      <c r="R204" s="87" t="s">
        <v>174</v>
      </c>
      <c r="S204" s="111"/>
      <c r="T204" s="111"/>
      <c r="U204" s="111"/>
      <c r="V204" s="111"/>
      <c r="W204" s="110">
        <f ca="1">(W81*ci_int3)+(W81*ct_int3*'Time on treatment'!$D$14)</f>
        <v>0</v>
      </c>
      <c r="Z204" s="87" t="s">
        <v>174</v>
      </c>
      <c r="AA204" s="111"/>
      <c r="AB204" s="111"/>
      <c r="AC204" s="111"/>
      <c r="AD204" s="111"/>
      <c r="AE204" s="110">
        <f ca="1">(AE81*ci_int4)+(AE81*ct_int4*'Time on treatment'!$D$15)</f>
        <v>0</v>
      </c>
      <c r="AH204" s="87" t="s">
        <v>174</v>
      </c>
      <c r="AI204" s="111"/>
      <c r="AJ204" s="111"/>
      <c r="AK204" s="111"/>
      <c r="AL204" s="111"/>
      <c r="AM204" s="110">
        <f ca="1">(AM81*ci_comp1)+(AM81*ct_comp1*'Time on treatment'!$D$19)</f>
        <v>0</v>
      </c>
      <c r="AP204" s="87" t="s">
        <v>174</v>
      </c>
      <c r="AQ204" s="111"/>
      <c r="AR204" s="111"/>
      <c r="AS204" s="111"/>
      <c r="AT204" s="111"/>
      <c r="AU204" s="110">
        <f ca="1">(AU81*ci_comp2)+(AU81*ct_comp2*'Time on treatment'!$D$20)</f>
        <v>0</v>
      </c>
      <c r="AX204" s="87" t="s">
        <v>174</v>
      </c>
      <c r="AY204" s="111"/>
      <c r="AZ204" s="111"/>
      <c r="BA204" s="111"/>
      <c r="BB204" s="111"/>
      <c r="BC204" s="110">
        <f ca="1">(BC81*ci_comp3)+(BC81*ct_comp3*'Time on treatment'!$D$21)</f>
        <v>0</v>
      </c>
      <c r="BF204" s="87" t="s">
        <v>174</v>
      </c>
      <c r="BG204" s="111"/>
      <c r="BH204" s="111"/>
      <c r="BI204" s="111"/>
      <c r="BJ204" s="111"/>
      <c r="BK204" s="110">
        <f ca="1">(BK81*ci_comp4)+(BK81*ct_comp4*'Time on treatment'!$D$22)</f>
        <v>0</v>
      </c>
      <c r="BN204" s="87" t="s">
        <v>174</v>
      </c>
      <c r="BO204" s="111"/>
      <c r="BP204" s="111"/>
      <c r="BQ204" s="111"/>
      <c r="BR204" s="111"/>
      <c r="BS204" s="110">
        <f ca="1">(BS81*ci_comp5)+(BS81*ct_comp5*'Time on treatment'!$D$23)</f>
        <v>0</v>
      </c>
      <c r="BV204" s="87" t="s">
        <v>174</v>
      </c>
      <c r="BW204" s="111"/>
      <c r="BX204" s="111"/>
      <c r="BY204" s="111"/>
      <c r="BZ204" s="111"/>
      <c r="CA204" s="110">
        <f ca="1">(CA81*ci_comp6)+(CA81*ct_comp6*'Time on treatment'!$D$24)</f>
        <v>0</v>
      </c>
      <c r="CD204" s="87" t="s">
        <v>174</v>
      </c>
      <c r="CE204" s="111"/>
      <c r="CF204" s="111"/>
      <c r="CG204" s="111"/>
      <c r="CH204" s="111"/>
      <c r="CI204" s="110">
        <f ca="1">(CI81*ci_comp7)+(CI81*ct_comp7*'Time on treatment'!$D$25)</f>
        <v>0</v>
      </c>
      <c r="CL204" s="87" t="s">
        <v>174</v>
      </c>
      <c r="CM204" s="111"/>
      <c r="CN204" s="111"/>
      <c r="CO204" s="111"/>
      <c r="CP204" s="111"/>
      <c r="CQ204" s="110">
        <f ca="1">(CQ81*ci_comp8)+(CQ81*ct_comp8*'Time on treatment'!$D$26)</f>
        <v>0</v>
      </c>
      <c r="CT204" s="87" t="s">
        <v>174</v>
      </c>
      <c r="CU204" s="111"/>
      <c r="CV204" s="111"/>
      <c r="CW204" s="111"/>
      <c r="CX204" s="111"/>
      <c r="CY204" s="110">
        <f ca="1">(CY81*ci_comp9)+(CY81*ct_comp9*'Time on treatment'!$D$27)</f>
        <v>0</v>
      </c>
      <c r="DB204" s="87" t="s">
        <v>174</v>
      </c>
      <c r="DC204" s="111"/>
      <c r="DD204" s="111"/>
      <c r="DE204" s="111"/>
      <c r="DF204" s="111"/>
      <c r="DG204" s="110">
        <f ca="1">(DG81*ci_comp10)+(DG81*ct_comp10*'Time on treatment'!$D$28)</f>
        <v>0</v>
      </c>
    </row>
    <row r="205" spans="2:111" ht="15" thickBot="1">
      <c r="B205" s="87" t="s">
        <v>179</v>
      </c>
      <c r="C205" s="111"/>
      <c r="D205" s="111"/>
      <c r="E205" s="111"/>
      <c r="F205" s="111"/>
      <c r="G205" s="112"/>
      <c r="J205" s="87" t="s">
        <v>179</v>
      </c>
      <c r="K205" s="111"/>
      <c r="L205" s="111"/>
      <c r="M205" s="111"/>
      <c r="N205" s="111"/>
      <c r="O205" s="112"/>
      <c r="R205" s="87" t="s">
        <v>179</v>
      </c>
      <c r="S205" s="111"/>
      <c r="T205" s="111"/>
      <c r="U205" s="111"/>
      <c r="V205" s="111"/>
      <c r="W205" s="112"/>
      <c r="Z205" s="87" t="s">
        <v>179</v>
      </c>
      <c r="AA205" s="111"/>
      <c r="AB205" s="111"/>
      <c r="AC205" s="111"/>
      <c r="AD205" s="111"/>
      <c r="AE205" s="112"/>
      <c r="AH205" s="87" t="s">
        <v>179</v>
      </c>
      <c r="AI205" s="111"/>
      <c r="AJ205" s="111"/>
      <c r="AK205" s="111"/>
      <c r="AL205" s="111"/>
      <c r="AM205" s="112"/>
      <c r="AP205" s="87" t="s">
        <v>179</v>
      </c>
      <c r="AQ205" s="111"/>
      <c r="AR205" s="111"/>
      <c r="AS205" s="111"/>
      <c r="AT205" s="111"/>
      <c r="AU205" s="112"/>
      <c r="AX205" s="87" t="s">
        <v>179</v>
      </c>
      <c r="AY205" s="111"/>
      <c r="AZ205" s="111"/>
      <c r="BA205" s="111"/>
      <c r="BB205" s="111"/>
      <c r="BC205" s="112"/>
      <c r="BF205" s="87" t="s">
        <v>179</v>
      </c>
      <c r="BG205" s="111"/>
      <c r="BH205" s="111"/>
      <c r="BI205" s="111"/>
      <c r="BJ205" s="111"/>
      <c r="BK205" s="112"/>
      <c r="BN205" s="87" t="s">
        <v>179</v>
      </c>
      <c r="BO205" s="111"/>
      <c r="BP205" s="111"/>
      <c r="BQ205" s="111"/>
      <c r="BR205" s="111"/>
      <c r="BS205" s="112"/>
      <c r="BV205" s="87" t="s">
        <v>179</v>
      </c>
      <c r="BW205" s="111"/>
      <c r="BX205" s="111"/>
      <c r="BY205" s="111"/>
      <c r="BZ205" s="111"/>
      <c r="CA205" s="112"/>
      <c r="CD205" s="87" t="s">
        <v>179</v>
      </c>
      <c r="CE205" s="111"/>
      <c r="CF205" s="111"/>
      <c r="CG205" s="111"/>
      <c r="CH205" s="111"/>
      <c r="CI205" s="112"/>
      <c r="CL205" s="87" t="s">
        <v>179</v>
      </c>
      <c r="CM205" s="111"/>
      <c r="CN205" s="111"/>
      <c r="CO205" s="111"/>
      <c r="CP205" s="111"/>
      <c r="CQ205" s="112"/>
      <c r="CT205" s="87" t="s">
        <v>179</v>
      </c>
      <c r="CU205" s="111"/>
      <c r="CV205" s="111"/>
      <c r="CW205" s="111"/>
      <c r="CX205" s="111"/>
      <c r="CY205" s="112"/>
      <c r="DB205" s="87" t="s">
        <v>179</v>
      </c>
      <c r="DC205" s="111"/>
      <c r="DD205" s="111"/>
      <c r="DE205" s="111"/>
      <c r="DF205" s="111"/>
      <c r="DG205" s="112"/>
    </row>
    <row r="206" spans="2:111" ht="15" thickBot="1">
      <c r="B206" s="85" t="str">
        <f>B164</f>
        <v>Intrauterine device levonorgestrel</v>
      </c>
      <c r="C206" s="113">
        <f ca="1">SUM(C196:C204)</f>
        <v>0</v>
      </c>
      <c r="D206" s="113">
        <f ca="1">SUM(D196:D204)</f>
        <v>0</v>
      </c>
      <c r="E206" s="113">
        <f ca="1">SUM(E196:E204)</f>
        <v>0</v>
      </c>
      <c r="F206" s="113">
        <f ca="1">SUM(F196:F204)</f>
        <v>0</v>
      </c>
      <c r="G206" s="114">
        <f ca="1">SUM(G196:G204)</f>
        <v>0</v>
      </c>
      <c r="J206" s="85">
        <f>J164</f>
        <v>0</v>
      </c>
      <c r="K206" s="113">
        <f ca="1">SUM(K196:K204)</f>
        <v>0</v>
      </c>
      <c r="L206" s="113">
        <f ca="1">SUM(L196:L204)</f>
        <v>0</v>
      </c>
      <c r="M206" s="113">
        <f ca="1">SUM(M196:M204)</f>
        <v>0</v>
      </c>
      <c r="N206" s="113">
        <f ca="1">SUM(N196:N204)</f>
        <v>0</v>
      </c>
      <c r="O206" s="114">
        <f ca="1">SUM(O196:O204)</f>
        <v>0</v>
      </c>
      <c r="R206" s="85">
        <f>R164</f>
        <v>0</v>
      </c>
      <c r="S206" s="113">
        <f ca="1">SUM(S196:S204)</f>
        <v>0</v>
      </c>
      <c r="T206" s="113">
        <f ca="1">SUM(T196:T204)</f>
        <v>0</v>
      </c>
      <c r="U206" s="113">
        <f ca="1">SUM(U196:U204)</f>
        <v>0</v>
      </c>
      <c r="V206" s="113">
        <f ca="1">SUM(V196:V204)</f>
        <v>0</v>
      </c>
      <c r="W206" s="114">
        <f ca="1">SUM(W196:W204)</f>
        <v>0</v>
      </c>
      <c r="Z206" s="85">
        <f>Z164</f>
        <v>0</v>
      </c>
      <c r="AA206" s="113">
        <f ca="1">SUM(AA196:AA204)</f>
        <v>0</v>
      </c>
      <c r="AB206" s="113">
        <f ca="1">SUM(AB196:AB204)</f>
        <v>0</v>
      </c>
      <c r="AC206" s="113">
        <f ca="1">SUM(AC196:AC204)</f>
        <v>0</v>
      </c>
      <c r="AD206" s="113">
        <f ca="1">SUM(AD196:AD204)</f>
        <v>0</v>
      </c>
      <c r="AE206" s="114">
        <f ca="1">SUM(AE196:AE204)</f>
        <v>0</v>
      </c>
      <c r="AH206" s="85" t="str">
        <f>AH164</f>
        <v>Oral contraceptive</v>
      </c>
      <c r="AI206" s="113">
        <f ca="1">SUM(AI196:AI204)</f>
        <v>0</v>
      </c>
      <c r="AJ206" s="113">
        <f ca="1">SUM(AJ196:AJ204)</f>
        <v>0</v>
      </c>
      <c r="AK206" s="113">
        <f ca="1">SUM(AK196:AK204)</f>
        <v>0</v>
      </c>
      <c r="AL206" s="113">
        <f ca="1">SUM(AL196:AL204)</f>
        <v>0</v>
      </c>
      <c r="AM206" s="114">
        <f ca="1">SUM(AM196:AM204)</f>
        <v>0</v>
      </c>
      <c r="AP206" s="85">
        <f>AP164</f>
        <v>0</v>
      </c>
      <c r="AQ206" s="113">
        <f ca="1">SUM(AQ196:AQ204)</f>
        <v>0</v>
      </c>
      <c r="AR206" s="113">
        <f ca="1">SUM(AR196:AR204)</f>
        <v>0</v>
      </c>
      <c r="AS206" s="113">
        <f ca="1">SUM(AS196:AS204)</f>
        <v>0</v>
      </c>
      <c r="AT206" s="113">
        <f ca="1">SUM(AT196:AT204)</f>
        <v>0</v>
      </c>
      <c r="AU206" s="114">
        <f ca="1">SUM(AU196:AU204)</f>
        <v>0</v>
      </c>
      <c r="AX206" s="85">
        <f>AX164</f>
        <v>0</v>
      </c>
      <c r="AY206" s="113">
        <f ca="1">SUM(AY196:AY204)</f>
        <v>0</v>
      </c>
      <c r="AZ206" s="113">
        <f ca="1">SUM(AZ196:AZ204)</f>
        <v>0</v>
      </c>
      <c r="BA206" s="113">
        <f ca="1">SUM(BA196:BA204)</f>
        <v>0</v>
      </c>
      <c r="BB206" s="113">
        <f ca="1">SUM(BB196:BB204)</f>
        <v>0</v>
      </c>
      <c r="BC206" s="114">
        <f ca="1">SUM(BC196:BC204)</f>
        <v>0</v>
      </c>
      <c r="BF206" s="85">
        <f>BF164</f>
        <v>0</v>
      </c>
      <c r="BG206" s="113">
        <f ca="1">SUM(BG196:BG204)</f>
        <v>0</v>
      </c>
      <c r="BH206" s="113">
        <f ca="1">SUM(BH196:BH204)</f>
        <v>0</v>
      </c>
      <c r="BI206" s="113">
        <f ca="1">SUM(BI196:BI204)</f>
        <v>0</v>
      </c>
      <c r="BJ206" s="113">
        <f ca="1">SUM(BJ196:BJ204)</f>
        <v>0</v>
      </c>
      <c r="BK206" s="114">
        <f ca="1">SUM(BK196:BK204)</f>
        <v>0</v>
      </c>
      <c r="BN206" s="85">
        <f>BN164</f>
        <v>0</v>
      </c>
      <c r="BO206" s="113">
        <f ca="1">SUM(BO196:BO204)</f>
        <v>0</v>
      </c>
      <c r="BP206" s="113">
        <f ca="1">SUM(BP196:BP204)</f>
        <v>0</v>
      </c>
      <c r="BQ206" s="113">
        <f ca="1">SUM(BQ196:BQ204)</f>
        <v>0</v>
      </c>
      <c r="BR206" s="113">
        <f ca="1">SUM(BR196:BR204)</f>
        <v>0</v>
      </c>
      <c r="BS206" s="114">
        <f ca="1">SUM(BS196:BS204)</f>
        <v>0</v>
      </c>
      <c r="BV206" s="85">
        <f>BV164</f>
        <v>0</v>
      </c>
      <c r="BW206" s="113">
        <f ca="1">SUM(BW196:BW204)</f>
        <v>0</v>
      </c>
      <c r="BX206" s="113">
        <f ca="1">SUM(BX196:BX204)</f>
        <v>0</v>
      </c>
      <c r="BY206" s="113">
        <f ca="1">SUM(BY196:BY204)</f>
        <v>0</v>
      </c>
      <c r="BZ206" s="113">
        <f ca="1">SUM(BZ196:BZ204)</f>
        <v>0</v>
      </c>
      <c r="CA206" s="114">
        <f ca="1">SUM(CA196:CA204)</f>
        <v>0</v>
      </c>
      <c r="CD206" s="85">
        <f>CD164</f>
        <v>0</v>
      </c>
      <c r="CE206" s="113">
        <f ca="1">SUM(CE196:CE204)</f>
        <v>0</v>
      </c>
      <c r="CF206" s="113">
        <f ca="1">SUM(CF196:CF204)</f>
        <v>0</v>
      </c>
      <c r="CG206" s="113">
        <f ca="1">SUM(CG196:CG204)</f>
        <v>0</v>
      </c>
      <c r="CH206" s="113">
        <f ca="1">SUM(CH196:CH204)</f>
        <v>0</v>
      </c>
      <c r="CI206" s="114">
        <f ca="1">SUM(CI196:CI204)</f>
        <v>0</v>
      </c>
      <c r="CL206" s="85">
        <f>CL164</f>
        <v>0</v>
      </c>
      <c r="CM206" s="113">
        <f ca="1">SUM(CM196:CM204)</f>
        <v>0</v>
      </c>
      <c r="CN206" s="113">
        <f ca="1">SUM(CN196:CN204)</f>
        <v>0</v>
      </c>
      <c r="CO206" s="113">
        <f ca="1">SUM(CO196:CO204)</f>
        <v>0</v>
      </c>
      <c r="CP206" s="113">
        <f ca="1">SUM(CP196:CP204)</f>
        <v>0</v>
      </c>
      <c r="CQ206" s="114">
        <f ca="1">SUM(CQ196:CQ204)</f>
        <v>0</v>
      </c>
      <c r="CT206" s="85">
        <f>CT164</f>
        <v>0</v>
      </c>
      <c r="CU206" s="113">
        <f ca="1">SUM(CU196:CU204)</f>
        <v>0</v>
      </c>
      <c r="CV206" s="113">
        <f ca="1">SUM(CV196:CV204)</f>
        <v>0</v>
      </c>
      <c r="CW206" s="113">
        <f ca="1">SUM(CW196:CW204)</f>
        <v>0</v>
      </c>
      <c r="CX206" s="113">
        <f ca="1">SUM(CX196:CX204)</f>
        <v>0</v>
      </c>
      <c r="CY206" s="114">
        <f ca="1">SUM(CY196:CY204)</f>
        <v>0</v>
      </c>
      <c r="DB206" s="85">
        <f>DB164</f>
        <v>0</v>
      </c>
      <c r="DC206" s="113">
        <f ca="1">SUM(DC196:DC204)</f>
        <v>0</v>
      </c>
      <c r="DD206" s="113">
        <f ca="1">SUM(DD196:DD204)</f>
        <v>0</v>
      </c>
      <c r="DE206" s="113">
        <f ca="1">SUM(DE196:DE204)</f>
        <v>0</v>
      </c>
      <c r="DF206" s="113">
        <f ca="1">SUM(DF196:DF204)</f>
        <v>0</v>
      </c>
      <c r="DG206" s="114">
        <f ca="1">SUM(DG196:DG204)</f>
        <v>0</v>
      </c>
    </row>
    <row r="209" spans="2:24" s="3" customFormat="1" ht="13.95" customHeight="1">
      <c r="B209" s="7"/>
      <c r="C209" s="7"/>
      <c r="D209" s="7"/>
      <c r="E209" s="7"/>
      <c r="F209" s="7"/>
      <c r="G209" s="7"/>
      <c r="H209" s="7"/>
      <c r="I209" s="7"/>
      <c r="J209" s="7"/>
      <c r="K209" s="7"/>
      <c r="L209" s="142"/>
      <c r="M209" s="142"/>
      <c r="N209" s="9"/>
      <c r="O209" s="9"/>
      <c r="P209" s="9"/>
      <c r="Q209" s="9"/>
      <c r="R209" s="9"/>
      <c r="S209" s="9"/>
      <c r="T209" s="9"/>
      <c r="U209" s="9"/>
      <c r="V209" s="9"/>
      <c r="W209" s="9"/>
      <c r="X209" s="9"/>
    </row>
    <row r="210" spans="2:24" s="3" customFormat="1">
      <c r="B210" s="65"/>
      <c r="C210" s="65"/>
      <c r="D210" s="65"/>
      <c r="E210" s="65"/>
      <c r="F210" s="65"/>
      <c r="G210" s="65"/>
      <c r="H210" s="65"/>
      <c r="I210" s="65"/>
      <c r="J210" s="65"/>
      <c r="K210" s="65"/>
      <c r="L210" s="65"/>
      <c r="M210" s="65"/>
    </row>
    <row r="211" spans="2:24" s="3" customFormat="1">
      <c r="B211" s="406" t="s">
        <v>77</v>
      </c>
      <c r="C211" s="406"/>
      <c r="D211" s="406"/>
      <c r="E211" s="406"/>
      <c r="F211" s="406"/>
      <c r="G211" s="406"/>
      <c r="H211" s="406"/>
      <c r="I211" s="406"/>
      <c r="J211" s="406"/>
      <c r="K211" s="406"/>
      <c r="L211" s="406"/>
      <c r="M211" s="406"/>
    </row>
    <row r="212" spans="2:24" s="3" customFormat="1">
      <c r="B212" s="406"/>
      <c r="C212" s="406"/>
      <c r="D212" s="406"/>
      <c r="E212" s="406"/>
      <c r="F212" s="406"/>
      <c r="G212" s="406"/>
      <c r="H212" s="406"/>
      <c r="I212" s="406"/>
      <c r="J212" s="406"/>
      <c r="K212" s="406"/>
      <c r="L212" s="406"/>
      <c r="M212" s="406"/>
    </row>
    <row r="213" spans="2:24" s="1" customFormat="1" ht="85.95" customHeight="1">
      <c r="B213" s="405" t="e" vm="1">
        <v>#VALUE!</v>
      </c>
      <c r="C213" s="405"/>
      <c r="D213" s="405"/>
      <c r="E213" s="405"/>
      <c r="F213" s="405"/>
      <c r="G213" s="405"/>
      <c r="H213" s="405"/>
      <c r="I213" s="405"/>
      <c r="J213" s="405"/>
      <c r="K213" s="405"/>
      <c r="L213" s="405"/>
      <c r="M213" s="405"/>
    </row>
  </sheetData>
  <sheetProtection formatColumns="0"/>
  <mergeCells count="332">
    <mergeCell ref="BV4:CB4"/>
    <mergeCell ref="CD4:CJ4"/>
    <mergeCell ref="CL4:CR4"/>
    <mergeCell ref="CT4:CZ4"/>
    <mergeCell ref="DB4:DH4"/>
    <mergeCell ref="AX4:BD4"/>
    <mergeCell ref="BF4:BL4"/>
    <mergeCell ref="BN4:BT4"/>
    <mergeCell ref="R5:X5"/>
    <mergeCell ref="AP5:AV5"/>
    <mergeCell ref="AX5:BD5"/>
    <mergeCell ref="BN5:BT5"/>
    <mergeCell ref="CD5:CJ5"/>
    <mergeCell ref="CT5:CZ5"/>
    <mergeCell ref="DB5:DH5"/>
    <mergeCell ref="X8:X10"/>
    <mergeCell ref="X11:X13"/>
    <mergeCell ref="X14:X16"/>
    <mergeCell ref="B91:G91"/>
    <mergeCell ref="B105:G105"/>
    <mergeCell ref="B5:H5"/>
    <mergeCell ref="H8:H10"/>
    <mergeCell ref="H11:H13"/>
    <mergeCell ref="H14:H16"/>
    <mergeCell ref="J5:P5"/>
    <mergeCell ref="P8:P10"/>
    <mergeCell ref="P11:P13"/>
    <mergeCell ref="P14:P16"/>
    <mergeCell ref="H17:H19"/>
    <mergeCell ref="P17:P19"/>
    <mergeCell ref="J105:O105"/>
    <mergeCell ref="J91:O91"/>
    <mergeCell ref="X17:X19"/>
    <mergeCell ref="R91:W91"/>
    <mergeCell ref="R105:W105"/>
    <mergeCell ref="B26:G26"/>
    <mergeCell ref="J26:O26"/>
    <mergeCell ref="R26:W26"/>
    <mergeCell ref="B41:G41"/>
    <mergeCell ref="Z180:AE180"/>
    <mergeCell ref="B133:G133"/>
    <mergeCell ref="B194:G194"/>
    <mergeCell ref="B119:G119"/>
    <mergeCell ref="J119:O119"/>
    <mergeCell ref="J133:O133"/>
    <mergeCell ref="B180:G180"/>
    <mergeCell ref="B152:G152"/>
    <mergeCell ref="B166:G166"/>
    <mergeCell ref="J152:O152"/>
    <mergeCell ref="J166:O166"/>
    <mergeCell ref="J180:O180"/>
    <mergeCell ref="J194:O194"/>
    <mergeCell ref="R119:W119"/>
    <mergeCell ref="R194:W194"/>
    <mergeCell ref="R133:W133"/>
    <mergeCell ref="R152:W152"/>
    <mergeCell ref="R166:W166"/>
    <mergeCell ref="R180:W180"/>
    <mergeCell ref="Z194:AE194"/>
    <mergeCell ref="B149:H149"/>
    <mergeCell ref="J149:P149"/>
    <mergeCell ref="R149:X149"/>
    <mergeCell ref="Z149:AF149"/>
    <mergeCell ref="AH152:AM152"/>
    <mergeCell ref="AH166:AM166"/>
    <mergeCell ref="AH180:AM180"/>
    <mergeCell ref="Z119:AE119"/>
    <mergeCell ref="Z133:AE133"/>
    <mergeCell ref="Z152:AE152"/>
    <mergeCell ref="Z166:AE166"/>
    <mergeCell ref="AH194:AM194"/>
    <mergeCell ref="Z5:AF5"/>
    <mergeCell ref="AF8:AF10"/>
    <mergeCell ref="AF11:AF13"/>
    <mergeCell ref="AF14:AF16"/>
    <mergeCell ref="AF17:AF19"/>
    <mergeCell ref="Z91:AE91"/>
    <mergeCell ref="AH5:AN5"/>
    <mergeCell ref="AN8:AN10"/>
    <mergeCell ref="AN11:AN13"/>
    <mergeCell ref="AN14:AN16"/>
    <mergeCell ref="AN17:AN19"/>
    <mergeCell ref="AH91:AM91"/>
    <mergeCell ref="AH105:AM105"/>
    <mergeCell ref="AH119:AM119"/>
    <mergeCell ref="AH133:AM133"/>
    <mergeCell ref="Z105:AE105"/>
    <mergeCell ref="AV8:AV10"/>
    <mergeCell ref="AV11:AV13"/>
    <mergeCell ref="AV14:AV16"/>
    <mergeCell ref="AV17:AV19"/>
    <mergeCell ref="AP91:AU91"/>
    <mergeCell ref="AP105:AU105"/>
    <mergeCell ref="AP119:AU119"/>
    <mergeCell ref="AP133:AU133"/>
    <mergeCell ref="AP56:AU56"/>
    <mergeCell ref="AP88:AV88"/>
    <mergeCell ref="AP71:AU71"/>
    <mergeCell ref="AP152:AU152"/>
    <mergeCell ref="AP166:AU166"/>
    <mergeCell ref="AP180:AU180"/>
    <mergeCell ref="AP194:AU194"/>
    <mergeCell ref="AX194:BC194"/>
    <mergeCell ref="AX91:BC91"/>
    <mergeCell ref="AX105:BC105"/>
    <mergeCell ref="AX119:BC119"/>
    <mergeCell ref="AX133:BC133"/>
    <mergeCell ref="AX152:BC152"/>
    <mergeCell ref="AX166:BC166"/>
    <mergeCell ref="AX180:BC180"/>
    <mergeCell ref="BD8:BD10"/>
    <mergeCell ref="BD11:BD13"/>
    <mergeCell ref="BD14:BD16"/>
    <mergeCell ref="BD17:BD19"/>
    <mergeCell ref="BF5:BL5"/>
    <mergeCell ref="BL8:BL10"/>
    <mergeCell ref="BL11:BL13"/>
    <mergeCell ref="BL14:BL16"/>
    <mergeCell ref="BL17:BL19"/>
    <mergeCell ref="BF180:BK180"/>
    <mergeCell ref="BF194:BK194"/>
    <mergeCell ref="BF91:BK91"/>
    <mergeCell ref="BF105:BK105"/>
    <mergeCell ref="BF119:BK119"/>
    <mergeCell ref="BF133:BK133"/>
    <mergeCell ref="BN194:BS194"/>
    <mergeCell ref="BN91:BS91"/>
    <mergeCell ref="BN105:BS105"/>
    <mergeCell ref="BN119:BS119"/>
    <mergeCell ref="BN133:BS133"/>
    <mergeCell ref="BN152:BS152"/>
    <mergeCell ref="BN166:BS166"/>
    <mergeCell ref="BN180:BS180"/>
    <mergeCell ref="BT8:BT10"/>
    <mergeCell ref="BT11:BT13"/>
    <mergeCell ref="BT14:BT16"/>
    <mergeCell ref="BT17:BT19"/>
    <mergeCell ref="BV5:CB5"/>
    <mergeCell ref="CB8:CB10"/>
    <mergeCell ref="CB11:CB13"/>
    <mergeCell ref="CB14:CB16"/>
    <mergeCell ref="CB17:CB19"/>
    <mergeCell ref="BV91:CA91"/>
    <mergeCell ref="BV105:CA105"/>
    <mergeCell ref="BV119:CA119"/>
    <mergeCell ref="BV133:CA133"/>
    <mergeCell ref="CD194:CI194"/>
    <mergeCell ref="CD91:CI91"/>
    <mergeCell ref="CD105:CI105"/>
    <mergeCell ref="CD119:CI119"/>
    <mergeCell ref="CD133:CI133"/>
    <mergeCell ref="CD152:CI152"/>
    <mergeCell ref="CD166:CI166"/>
    <mergeCell ref="CD180:CI180"/>
    <mergeCell ref="BV150:CA150"/>
    <mergeCell ref="CD150:CI150"/>
    <mergeCell ref="CJ8:CJ10"/>
    <mergeCell ref="CJ11:CJ13"/>
    <mergeCell ref="CJ14:CJ16"/>
    <mergeCell ref="CJ17:CJ19"/>
    <mergeCell ref="CL5:CR5"/>
    <mergeCell ref="CR8:CR10"/>
    <mergeCell ref="CR11:CR13"/>
    <mergeCell ref="CR14:CR16"/>
    <mergeCell ref="CR17:CR19"/>
    <mergeCell ref="CL119:CQ119"/>
    <mergeCell ref="CL133:CQ133"/>
    <mergeCell ref="CT91:CY91"/>
    <mergeCell ref="CT105:CY105"/>
    <mergeCell ref="CT119:CY119"/>
    <mergeCell ref="CT133:CY133"/>
    <mergeCell ref="CT194:CY194"/>
    <mergeCell ref="CL150:CQ150"/>
    <mergeCell ref="CL149:CR149"/>
    <mergeCell ref="DH8:DH10"/>
    <mergeCell ref="DH11:DH13"/>
    <mergeCell ref="DH14:DH16"/>
    <mergeCell ref="DH17:DH19"/>
    <mergeCell ref="DB149:DH149"/>
    <mergeCell ref="DB150:DG150"/>
    <mergeCell ref="DB26:DG26"/>
    <mergeCell ref="CZ8:CZ10"/>
    <mergeCell ref="CZ11:CZ13"/>
    <mergeCell ref="CZ14:CZ16"/>
    <mergeCell ref="CZ17:CZ19"/>
    <mergeCell ref="CT149:CZ149"/>
    <mergeCell ref="Z26:AE26"/>
    <mergeCell ref="AH26:AM26"/>
    <mergeCell ref="AP26:AU26"/>
    <mergeCell ref="AX26:BC26"/>
    <mergeCell ref="BF26:BK26"/>
    <mergeCell ref="BN26:BS26"/>
    <mergeCell ref="DB194:DG194"/>
    <mergeCell ref="DB91:DG91"/>
    <mergeCell ref="DB105:DG105"/>
    <mergeCell ref="DB119:DG119"/>
    <mergeCell ref="DB133:DG133"/>
    <mergeCell ref="CT152:CY152"/>
    <mergeCell ref="CT166:CY166"/>
    <mergeCell ref="CT180:CY180"/>
    <mergeCell ref="DB152:DG152"/>
    <mergeCell ref="DB166:DG166"/>
    <mergeCell ref="DB180:DG180"/>
    <mergeCell ref="CT150:CY150"/>
    <mergeCell ref="CL152:CQ152"/>
    <mergeCell ref="CL166:CQ166"/>
    <mergeCell ref="CL180:CQ180"/>
    <mergeCell ref="CL194:CQ194"/>
    <mergeCell ref="CL91:CQ91"/>
    <mergeCell ref="CL105:CQ105"/>
    <mergeCell ref="AX71:BC71"/>
    <mergeCell ref="BF71:BK71"/>
    <mergeCell ref="BN71:BS71"/>
    <mergeCell ref="AX56:BC56"/>
    <mergeCell ref="BF56:BK56"/>
    <mergeCell ref="BN56:BS56"/>
    <mergeCell ref="BV56:CA56"/>
    <mergeCell ref="CD56:CI56"/>
    <mergeCell ref="J41:O41"/>
    <mergeCell ref="R41:W41"/>
    <mergeCell ref="Z41:AE41"/>
    <mergeCell ref="AH41:AM41"/>
    <mergeCell ref="AP41:AU41"/>
    <mergeCell ref="AX41:BC41"/>
    <mergeCell ref="BF41:BK41"/>
    <mergeCell ref="BN41:BS41"/>
    <mergeCell ref="B56:G56"/>
    <mergeCell ref="J56:O56"/>
    <mergeCell ref="R56:W56"/>
    <mergeCell ref="Z56:AE56"/>
    <mergeCell ref="AH56:AM56"/>
    <mergeCell ref="B71:G71"/>
    <mergeCell ref="J71:O71"/>
    <mergeCell ref="R71:W71"/>
    <mergeCell ref="Z71:AE71"/>
    <mergeCell ref="AH71:AM71"/>
    <mergeCell ref="B24:G24"/>
    <mergeCell ref="J24:O24"/>
    <mergeCell ref="R24:W24"/>
    <mergeCell ref="Z24:AE24"/>
    <mergeCell ref="AH24:AM24"/>
    <mergeCell ref="AP24:AU24"/>
    <mergeCell ref="AX24:BC24"/>
    <mergeCell ref="BF24:BK24"/>
    <mergeCell ref="BN24:BS24"/>
    <mergeCell ref="B89:G89"/>
    <mergeCell ref="J89:O89"/>
    <mergeCell ref="R89:W89"/>
    <mergeCell ref="Z89:AE89"/>
    <mergeCell ref="AH89:AM89"/>
    <mergeCell ref="AP89:AU89"/>
    <mergeCell ref="AX89:BC89"/>
    <mergeCell ref="BF89:BK89"/>
    <mergeCell ref="BN89:BS89"/>
    <mergeCell ref="CL24:CQ24"/>
    <mergeCell ref="CT24:CY24"/>
    <mergeCell ref="DB24:DG24"/>
    <mergeCell ref="BV71:CA71"/>
    <mergeCell ref="CD71:CI71"/>
    <mergeCell ref="CL71:CQ71"/>
    <mergeCell ref="CT71:CY71"/>
    <mergeCell ref="DB71:DG71"/>
    <mergeCell ref="CL56:CQ56"/>
    <mergeCell ref="CT56:CY56"/>
    <mergeCell ref="DB56:DG56"/>
    <mergeCell ref="CT26:CY26"/>
    <mergeCell ref="BV41:CA41"/>
    <mergeCell ref="CD41:CI41"/>
    <mergeCell ref="CL41:CQ41"/>
    <mergeCell ref="CT41:CY41"/>
    <mergeCell ref="DB41:DG41"/>
    <mergeCell ref="BV26:CA26"/>
    <mergeCell ref="CD26:CI26"/>
    <mergeCell ref="CL26:CQ26"/>
    <mergeCell ref="BV89:CA89"/>
    <mergeCell ref="CD89:CI89"/>
    <mergeCell ref="CL89:CQ89"/>
    <mergeCell ref="CT89:CY89"/>
    <mergeCell ref="DB89:DG89"/>
    <mergeCell ref="BV88:CB88"/>
    <mergeCell ref="CD88:CJ88"/>
    <mergeCell ref="CL88:CR88"/>
    <mergeCell ref="CT88:CZ88"/>
    <mergeCell ref="DB88:DH88"/>
    <mergeCell ref="BV23:CB23"/>
    <mergeCell ref="CD23:CJ23"/>
    <mergeCell ref="CL23:CR23"/>
    <mergeCell ref="CT23:CZ23"/>
    <mergeCell ref="DB23:DH23"/>
    <mergeCell ref="B88:H88"/>
    <mergeCell ref="J88:P88"/>
    <mergeCell ref="R88:X88"/>
    <mergeCell ref="Z88:AF88"/>
    <mergeCell ref="AH88:AN88"/>
    <mergeCell ref="B23:H23"/>
    <mergeCell ref="J23:P23"/>
    <mergeCell ref="R23:X23"/>
    <mergeCell ref="Z23:AF23"/>
    <mergeCell ref="AH23:AN23"/>
    <mergeCell ref="AP23:AV23"/>
    <mergeCell ref="AX23:BD23"/>
    <mergeCell ref="BF23:BL23"/>
    <mergeCell ref="BN23:BT23"/>
    <mergeCell ref="AX88:BD88"/>
    <mergeCell ref="BF88:BL88"/>
    <mergeCell ref="BN88:BT88"/>
    <mergeCell ref="BV24:CA24"/>
    <mergeCell ref="CD24:CI24"/>
    <mergeCell ref="B211:M212"/>
    <mergeCell ref="B213:M213"/>
    <mergeCell ref="AH149:AN149"/>
    <mergeCell ref="AP149:AV149"/>
    <mergeCell ref="AX149:BD149"/>
    <mergeCell ref="BF149:BL149"/>
    <mergeCell ref="BN149:BT149"/>
    <mergeCell ref="BV149:CB149"/>
    <mergeCell ref="CD149:CJ149"/>
    <mergeCell ref="B150:G150"/>
    <mergeCell ref="J150:O150"/>
    <mergeCell ref="R150:W150"/>
    <mergeCell ref="Z150:AE150"/>
    <mergeCell ref="AH150:AM150"/>
    <mergeCell ref="AP150:AU150"/>
    <mergeCell ref="AX150:BC150"/>
    <mergeCell ref="BF150:BK150"/>
    <mergeCell ref="BN150:BS150"/>
    <mergeCell ref="BV152:CA152"/>
    <mergeCell ref="BV166:CA166"/>
    <mergeCell ref="BV180:CA180"/>
    <mergeCell ref="BV194:CA194"/>
    <mergeCell ref="BF152:BK152"/>
    <mergeCell ref="BF166:BK166"/>
  </mergeCells>
  <phoneticPr fontId="2" type="noConversion"/>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2AD9D-CA46-41C8-9140-F7E9A78AB8F6}">
  <sheetPr codeName="Planilha4">
    <tabColor rgb="FF0EB1BA"/>
  </sheetPr>
  <dimension ref="B1:DI77"/>
  <sheetViews>
    <sheetView showGridLines="0" showRowColHeaders="0" tabSelected="1" workbookViewId="0">
      <selection activeCell="K15" sqref="K15:N15"/>
    </sheetView>
  </sheetViews>
  <sheetFormatPr defaultColWidth="8.77734375" defaultRowHeight="14.4"/>
  <cols>
    <col min="1" max="1" width="5" style="79" customWidth="1"/>
    <col min="2" max="2" width="15.44140625" style="79" customWidth="1"/>
    <col min="3" max="3" width="12.44140625" style="79" customWidth="1"/>
    <col min="4" max="4" width="14.44140625" style="79" customWidth="1"/>
    <col min="5" max="5" width="15.109375" style="79" customWidth="1"/>
    <col min="6" max="6" width="12.44140625" style="79" customWidth="1"/>
    <col min="7" max="7" width="12.109375" style="79" customWidth="1"/>
    <col min="8" max="9" width="3.44140625" style="77" customWidth="1"/>
    <col min="10" max="10" width="14.6640625" style="79" customWidth="1"/>
    <col min="11" max="11" width="15.5546875" style="79" customWidth="1"/>
    <col min="12" max="15" width="14.44140625" style="79" customWidth="1"/>
    <col min="16" max="17" width="3.44140625" style="77" customWidth="1"/>
    <col min="18" max="18" width="13.33203125" style="79" customWidth="1"/>
    <col min="19" max="19" width="14.77734375" style="79" customWidth="1"/>
    <col min="20" max="20" width="13.44140625" style="79" customWidth="1"/>
    <col min="21" max="21" width="16.44140625" style="79" customWidth="1"/>
    <col min="22" max="22" width="15.44140625" style="79" customWidth="1"/>
    <col min="23" max="23" width="13.109375" style="79" customWidth="1"/>
    <col min="24" max="25" width="3.44140625" style="77" customWidth="1"/>
    <col min="26" max="26" width="11.77734375" style="79" customWidth="1"/>
    <col min="27" max="31" width="15.109375" style="79" customWidth="1"/>
    <col min="32" max="33" width="3.44140625" style="77" customWidth="1"/>
    <col min="34" max="34" width="17.77734375" style="79" customWidth="1"/>
    <col min="35" max="39" width="15.6640625" style="79" customWidth="1"/>
    <col min="40" max="41" width="3.44140625" style="77" customWidth="1"/>
    <col min="42" max="42" width="13.77734375" style="79" customWidth="1"/>
    <col min="43" max="47" width="16.44140625" style="79" customWidth="1"/>
    <col min="48" max="49" width="3.44140625" style="77" customWidth="1"/>
    <col min="50" max="50" width="15.6640625" style="79" customWidth="1"/>
    <col min="51" max="55" width="16.6640625" style="79" customWidth="1"/>
    <col min="56" max="57" width="3.44140625" style="77" customWidth="1"/>
    <col min="58" max="58" width="15.109375" style="79" customWidth="1"/>
    <col min="59" max="63" width="14.6640625" style="79" customWidth="1"/>
    <col min="64" max="65" width="3.44140625" style="77" customWidth="1"/>
    <col min="66" max="66" width="15.33203125" style="79" customWidth="1"/>
    <col min="67" max="71" width="15.44140625" style="79" customWidth="1"/>
    <col min="72" max="73" width="3.44140625" style="77" customWidth="1"/>
    <col min="74" max="74" width="14.33203125" style="79" customWidth="1"/>
    <col min="75" max="79" width="15" style="79" customWidth="1"/>
    <col min="80" max="81" width="3.44140625" style="77" customWidth="1"/>
    <col min="82" max="82" width="16.44140625" style="79" customWidth="1"/>
    <col min="83" max="87" width="17.44140625" style="79" customWidth="1"/>
    <col min="88" max="89" width="3.44140625" style="77" customWidth="1"/>
    <col min="90" max="90" width="14.6640625" style="79" customWidth="1"/>
    <col min="91" max="95" width="17.44140625" style="79" customWidth="1"/>
    <col min="96" max="97" width="3.44140625" style="77" customWidth="1"/>
    <col min="98" max="98" width="13.33203125" style="79" customWidth="1"/>
    <col min="99" max="103" width="18.109375" style="79" customWidth="1"/>
    <col min="104" max="105" width="3.44140625" style="77" customWidth="1"/>
    <col min="106" max="106" width="14.109375" style="79" customWidth="1"/>
    <col min="107" max="111" width="16.6640625" style="79" customWidth="1"/>
    <col min="112" max="113" width="3.44140625" style="77" customWidth="1"/>
    <col min="114" max="16384" width="8.77734375" style="79"/>
  </cols>
  <sheetData>
    <row r="1" spans="2:113" s="67" customFormat="1" ht="33.6">
      <c r="B1" s="104" t="s">
        <v>164</v>
      </c>
      <c r="C1" s="72"/>
      <c r="D1" s="35"/>
      <c r="E1" s="35"/>
      <c r="F1" s="35"/>
      <c r="G1" s="35"/>
      <c r="H1" s="73"/>
      <c r="I1" s="73"/>
      <c r="J1" s="35"/>
      <c r="K1" s="35"/>
      <c r="L1" s="35"/>
      <c r="M1" s="35"/>
      <c r="N1" s="35"/>
      <c r="O1" s="35"/>
      <c r="P1" s="73"/>
      <c r="Q1" s="73"/>
      <c r="R1" s="35"/>
      <c r="S1" s="35"/>
      <c r="T1" s="35"/>
      <c r="U1" s="35"/>
      <c r="V1" s="35"/>
      <c r="W1" s="35"/>
      <c r="X1" s="73"/>
      <c r="Y1" s="73"/>
      <c r="Z1" s="35"/>
      <c r="AA1" s="35"/>
      <c r="AB1" s="35"/>
      <c r="AC1" s="35"/>
      <c r="AD1" s="35"/>
      <c r="AE1" s="35"/>
      <c r="AF1" s="73"/>
      <c r="AG1" s="73"/>
      <c r="AH1" s="35"/>
      <c r="AI1" s="35"/>
      <c r="AJ1" s="35"/>
      <c r="AK1" s="35"/>
      <c r="AL1" s="35"/>
      <c r="AM1" s="35"/>
      <c r="AN1" s="73"/>
      <c r="AO1" s="73"/>
      <c r="AP1" s="35"/>
      <c r="AQ1" s="35"/>
      <c r="AR1" s="35"/>
      <c r="AS1" s="35"/>
      <c r="AT1" s="35"/>
      <c r="AU1" s="35"/>
      <c r="AV1" s="73"/>
      <c r="AW1" s="73"/>
      <c r="AX1" s="35"/>
      <c r="AY1" s="35"/>
      <c r="AZ1" s="35"/>
      <c r="BA1" s="35"/>
      <c r="BB1" s="35"/>
      <c r="BC1" s="35"/>
      <c r="BD1" s="73"/>
      <c r="BE1" s="73"/>
      <c r="BF1" s="35"/>
      <c r="BG1" s="35"/>
      <c r="BH1" s="35"/>
      <c r="BI1" s="35"/>
      <c r="BJ1" s="35"/>
      <c r="BK1" s="35"/>
      <c r="BL1" s="73"/>
      <c r="BM1" s="73"/>
      <c r="BN1" s="35"/>
      <c r="BO1" s="35"/>
      <c r="BP1" s="35"/>
      <c r="BQ1" s="35"/>
      <c r="BR1" s="35"/>
      <c r="BS1" s="35"/>
      <c r="BT1" s="73"/>
      <c r="BU1" s="73"/>
      <c r="BV1" s="35"/>
      <c r="BW1" s="35"/>
      <c r="BX1" s="35"/>
      <c r="BY1" s="35"/>
      <c r="BZ1" s="35"/>
      <c r="CA1" s="35"/>
      <c r="CB1" s="73"/>
      <c r="CC1" s="73"/>
      <c r="CD1" s="35"/>
      <c r="CE1" s="35"/>
      <c r="CF1" s="35"/>
      <c r="CG1" s="35"/>
      <c r="CH1" s="35"/>
      <c r="CI1" s="35"/>
      <c r="CJ1" s="73"/>
      <c r="CK1" s="73"/>
      <c r="CL1" s="35"/>
      <c r="CM1" s="35"/>
      <c r="CN1" s="35"/>
      <c r="CO1" s="35"/>
      <c r="CP1" s="35"/>
      <c r="CQ1" s="35"/>
      <c r="CR1" s="73"/>
      <c r="CS1" s="73"/>
      <c r="CT1" s="35"/>
      <c r="CU1" s="35"/>
      <c r="CV1" s="35"/>
      <c r="CW1" s="35"/>
      <c r="CX1" s="35"/>
      <c r="CY1" s="35"/>
      <c r="CZ1" s="73"/>
      <c r="DA1" s="73"/>
      <c r="DB1" s="35"/>
      <c r="DC1" s="35"/>
      <c r="DD1" s="35"/>
      <c r="DE1" s="35"/>
      <c r="DF1" s="35"/>
      <c r="DG1" s="35"/>
      <c r="DH1" s="73"/>
      <c r="DI1" s="73"/>
    </row>
    <row r="2" spans="2:113" s="67" customFormat="1" ht="17.25" customHeight="1">
      <c r="B2" s="72"/>
      <c r="C2" s="72"/>
      <c r="D2" s="35"/>
      <c r="E2" s="35"/>
      <c r="F2" s="35"/>
      <c r="G2" s="35"/>
      <c r="H2" s="73"/>
      <c r="I2" s="73"/>
      <c r="J2" s="35"/>
      <c r="K2" s="35"/>
      <c r="L2" s="35"/>
      <c r="M2" s="35"/>
      <c r="N2" s="35"/>
      <c r="O2" s="35"/>
      <c r="P2" s="73"/>
      <c r="Q2" s="73"/>
      <c r="R2" s="35"/>
      <c r="S2" s="35"/>
      <c r="T2" s="35"/>
      <c r="U2" s="35"/>
      <c r="V2" s="35"/>
      <c r="W2" s="35"/>
      <c r="X2" s="73"/>
      <c r="Y2" s="73"/>
      <c r="Z2" s="35"/>
      <c r="AA2" s="35"/>
      <c r="AB2" s="35"/>
      <c r="AC2" s="35"/>
      <c r="AD2" s="35"/>
      <c r="AE2" s="35"/>
      <c r="AF2" s="73"/>
      <c r="AG2" s="73"/>
      <c r="AH2" s="35"/>
      <c r="AI2" s="35"/>
      <c r="AJ2" s="35"/>
      <c r="AK2" s="35"/>
      <c r="AL2" s="35"/>
      <c r="AM2" s="35"/>
      <c r="AN2" s="73"/>
      <c r="AO2" s="73"/>
      <c r="AP2" s="35"/>
      <c r="AQ2" s="35"/>
      <c r="AR2" s="35"/>
      <c r="AS2" s="35"/>
      <c r="AT2" s="35"/>
      <c r="AU2" s="35"/>
      <c r="AV2" s="73"/>
      <c r="AW2" s="73"/>
      <c r="AX2" s="35"/>
      <c r="AY2" s="35"/>
      <c r="AZ2" s="35"/>
      <c r="BA2" s="35"/>
      <c r="BB2" s="35"/>
      <c r="BC2" s="35"/>
      <c r="BD2" s="73"/>
      <c r="BE2" s="73"/>
      <c r="BF2" s="35"/>
      <c r="BG2" s="35"/>
      <c r="BH2" s="35"/>
      <c r="BI2" s="35"/>
      <c r="BJ2" s="35"/>
      <c r="BK2" s="35"/>
      <c r="BL2" s="73"/>
      <c r="BM2" s="73"/>
      <c r="BN2" s="35"/>
      <c r="BO2" s="35"/>
      <c r="BP2" s="35"/>
      <c r="BQ2" s="35"/>
      <c r="BR2" s="35"/>
      <c r="BS2" s="35"/>
      <c r="BT2" s="73"/>
      <c r="BU2" s="73"/>
      <c r="BV2" s="35"/>
      <c r="BW2" s="35"/>
      <c r="BX2" s="35"/>
      <c r="BY2" s="35"/>
      <c r="BZ2" s="35"/>
      <c r="CA2" s="35"/>
      <c r="CB2" s="73"/>
      <c r="CC2" s="73"/>
      <c r="CD2" s="35"/>
      <c r="CE2" s="35"/>
      <c r="CF2" s="35"/>
      <c r="CG2" s="35"/>
      <c r="CH2" s="35"/>
      <c r="CI2" s="35"/>
      <c r="CJ2" s="73"/>
      <c r="CK2" s="73"/>
      <c r="CL2" s="35"/>
      <c r="CM2" s="35"/>
      <c r="CN2" s="35"/>
      <c r="CO2" s="35"/>
      <c r="CP2" s="35"/>
      <c r="CQ2" s="35"/>
      <c r="CR2" s="73"/>
      <c r="CS2" s="73"/>
      <c r="CT2" s="35"/>
      <c r="CU2" s="35"/>
      <c r="CV2" s="35"/>
      <c r="CW2" s="35"/>
      <c r="CX2" s="35"/>
      <c r="CY2" s="35"/>
      <c r="CZ2" s="73"/>
      <c r="DA2" s="73"/>
      <c r="DB2" s="35"/>
      <c r="DC2" s="35"/>
      <c r="DD2" s="35"/>
      <c r="DE2" s="35"/>
      <c r="DF2" s="35"/>
      <c r="DG2" s="35"/>
      <c r="DH2" s="73"/>
      <c r="DI2" s="73"/>
    </row>
    <row r="3" spans="2:113" s="74" customFormat="1" ht="2.25" customHeight="1">
      <c r="H3" s="75"/>
      <c r="I3" s="75"/>
      <c r="P3" s="75"/>
      <c r="Q3" s="75"/>
      <c r="X3" s="75"/>
      <c r="Y3" s="75"/>
      <c r="AF3" s="75"/>
      <c r="AG3" s="75"/>
      <c r="AN3" s="75"/>
      <c r="AO3" s="75"/>
      <c r="AV3" s="75"/>
      <c r="AW3" s="75"/>
      <c r="BD3" s="75"/>
      <c r="BE3" s="75"/>
      <c r="BL3" s="75"/>
      <c r="BM3" s="75"/>
      <c r="BT3" s="75"/>
      <c r="BU3" s="75"/>
      <c r="CB3" s="75"/>
      <c r="CC3" s="75"/>
      <c r="CJ3" s="75"/>
      <c r="CK3" s="75"/>
      <c r="CR3" s="75"/>
      <c r="CS3" s="75"/>
      <c r="CZ3" s="75"/>
      <c r="DA3" s="75"/>
      <c r="DH3" s="75"/>
      <c r="DI3" s="75"/>
    </row>
    <row r="4" spans="2:113" s="76" customFormat="1" ht="21">
      <c r="B4" s="107"/>
      <c r="C4" s="107"/>
      <c r="D4" s="107"/>
      <c r="E4" s="107"/>
      <c r="F4" s="107"/>
      <c r="G4" s="107"/>
      <c r="H4" s="107"/>
      <c r="I4" s="77"/>
      <c r="J4" s="108"/>
      <c r="K4" s="108"/>
      <c r="L4" s="108"/>
      <c r="M4" s="108"/>
      <c r="N4" s="108"/>
      <c r="O4" s="108"/>
      <c r="P4" s="108"/>
      <c r="Q4" s="77"/>
      <c r="R4" s="108"/>
      <c r="S4" s="108"/>
      <c r="T4" s="108"/>
      <c r="U4" s="108"/>
      <c r="V4" s="108"/>
      <c r="W4" s="108"/>
      <c r="X4" s="108"/>
      <c r="Y4" s="77"/>
      <c r="Z4" s="108"/>
      <c r="AA4" s="108"/>
      <c r="AB4" s="108"/>
      <c r="AC4" s="108"/>
      <c r="AD4" s="108"/>
      <c r="AE4" s="108"/>
      <c r="AF4" s="108"/>
      <c r="AG4" s="77"/>
      <c r="AH4" s="108"/>
      <c r="AI4" s="108"/>
      <c r="AJ4" s="108"/>
      <c r="AK4" s="108"/>
      <c r="AL4" s="108"/>
      <c r="AM4" s="108"/>
      <c r="AN4" s="108"/>
      <c r="AO4" s="77"/>
      <c r="AP4" s="108"/>
      <c r="AQ4" s="108"/>
      <c r="AR4" s="108"/>
      <c r="AS4" s="108"/>
      <c r="AT4" s="108"/>
      <c r="AU4" s="108"/>
      <c r="AV4" s="108"/>
      <c r="AW4" s="77"/>
      <c r="AX4" s="502"/>
      <c r="AY4" s="502"/>
      <c r="AZ4" s="502"/>
      <c r="BA4" s="502"/>
      <c r="BB4" s="502"/>
      <c r="BC4" s="502"/>
      <c r="BD4" s="502"/>
      <c r="BE4" s="77"/>
      <c r="BF4" s="502"/>
      <c r="BG4" s="502"/>
      <c r="BH4" s="502"/>
      <c r="BI4" s="502"/>
      <c r="BJ4" s="502"/>
      <c r="BK4" s="502"/>
      <c r="BL4" s="502"/>
      <c r="BM4" s="77"/>
      <c r="BN4" s="502"/>
      <c r="BO4" s="502"/>
      <c r="BP4" s="502"/>
      <c r="BQ4" s="502"/>
      <c r="BR4" s="502"/>
      <c r="BS4" s="502"/>
      <c r="BT4" s="502"/>
      <c r="BU4" s="77"/>
      <c r="BV4" s="502"/>
      <c r="BW4" s="502"/>
      <c r="BX4" s="502"/>
      <c r="BY4" s="502"/>
      <c r="BZ4" s="502"/>
      <c r="CA4" s="502"/>
      <c r="CB4" s="502"/>
      <c r="CC4" s="77"/>
      <c r="CD4" s="502"/>
      <c r="CE4" s="502"/>
      <c r="CF4" s="502"/>
      <c r="CG4" s="502"/>
      <c r="CH4" s="502"/>
      <c r="CI4" s="502"/>
      <c r="CJ4" s="502"/>
      <c r="CK4" s="77"/>
      <c r="CL4" s="502"/>
      <c r="CM4" s="502"/>
      <c r="CN4" s="502"/>
      <c r="CO4" s="502"/>
      <c r="CP4" s="502"/>
      <c r="CQ4" s="502"/>
      <c r="CR4" s="502"/>
      <c r="CS4" s="77"/>
      <c r="CT4" s="502"/>
      <c r="CU4" s="502"/>
      <c r="CV4" s="502"/>
      <c r="CW4" s="502"/>
      <c r="CX4" s="502"/>
      <c r="CY4" s="502"/>
      <c r="CZ4" s="502"/>
      <c r="DA4" s="77"/>
      <c r="DB4" s="502"/>
      <c r="DC4" s="502"/>
      <c r="DD4" s="502"/>
      <c r="DE4" s="502"/>
      <c r="DF4" s="502"/>
      <c r="DG4" s="502"/>
      <c r="DH4" s="502"/>
      <c r="DI4" s="77"/>
    </row>
    <row r="5" spans="2:113" s="76" customFormat="1" ht="21">
      <c r="B5" s="502" t="str">
        <f>intervencao1</f>
        <v>Intrauterine device levonorgestrel</v>
      </c>
      <c r="C5" s="502"/>
      <c r="D5" s="502"/>
      <c r="E5" s="502"/>
      <c r="F5" s="502"/>
      <c r="G5" s="502"/>
      <c r="H5" s="502"/>
      <c r="I5" s="77"/>
      <c r="J5" s="502">
        <f>intervencao2</f>
        <v>0</v>
      </c>
      <c r="K5" s="502"/>
      <c r="L5" s="502"/>
      <c r="M5" s="502"/>
      <c r="N5" s="502"/>
      <c r="O5" s="502"/>
      <c r="P5" s="502"/>
      <c r="Q5" s="77"/>
      <c r="R5" s="502">
        <f>intervencao3</f>
        <v>0</v>
      </c>
      <c r="S5" s="502"/>
      <c r="T5" s="502"/>
      <c r="U5" s="502"/>
      <c r="V5" s="502"/>
      <c r="W5" s="502"/>
      <c r="X5" s="502"/>
      <c r="Y5" s="77"/>
      <c r="Z5" s="502">
        <f>intervencao4</f>
        <v>0</v>
      </c>
      <c r="AA5" s="502"/>
      <c r="AB5" s="502"/>
      <c r="AC5" s="502"/>
      <c r="AD5" s="502"/>
      <c r="AE5" s="502"/>
      <c r="AF5" s="502"/>
      <c r="AG5" s="77"/>
      <c r="AH5" s="502" t="str">
        <f>comparador1</f>
        <v>Oral contraceptive</v>
      </c>
      <c r="AI5" s="502"/>
      <c r="AJ5" s="502"/>
      <c r="AK5" s="502"/>
      <c r="AL5" s="502"/>
      <c r="AM5" s="502"/>
      <c r="AN5" s="502"/>
      <c r="AO5" s="77"/>
      <c r="AP5" s="502">
        <f>comparador2</f>
        <v>0</v>
      </c>
      <c r="AQ5" s="502"/>
      <c r="AR5" s="502"/>
      <c r="AS5" s="502"/>
      <c r="AT5" s="502"/>
      <c r="AU5" s="502"/>
      <c r="AV5" s="502"/>
      <c r="AW5" s="77"/>
      <c r="AX5" s="502">
        <f>comparador3</f>
        <v>0</v>
      </c>
      <c r="AY5" s="502"/>
      <c r="AZ5" s="502"/>
      <c r="BA5" s="502"/>
      <c r="BB5" s="502"/>
      <c r="BC5" s="502"/>
      <c r="BD5" s="502"/>
      <c r="BE5" s="77"/>
      <c r="BF5" s="502">
        <f>comparador4</f>
        <v>0</v>
      </c>
      <c r="BG5" s="502"/>
      <c r="BH5" s="502"/>
      <c r="BI5" s="502"/>
      <c r="BJ5" s="502"/>
      <c r="BK5" s="502"/>
      <c r="BL5" s="502"/>
      <c r="BM5" s="77"/>
      <c r="BN5" s="502">
        <f>comparador5</f>
        <v>0</v>
      </c>
      <c r="BO5" s="502"/>
      <c r="BP5" s="502"/>
      <c r="BQ5" s="502"/>
      <c r="BR5" s="502"/>
      <c r="BS5" s="502"/>
      <c r="BT5" s="502"/>
      <c r="BU5" s="77"/>
      <c r="BV5" s="502">
        <f>comparador6</f>
        <v>0</v>
      </c>
      <c r="BW5" s="502"/>
      <c r="BX5" s="502"/>
      <c r="BY5" s="502"/>
      <c r="BZ5" s="502"/>
      <c r="CA5" s="502"/>
      <c r="CB5" s="502"/>
      <c r="CC5" s="77"/>
      <c r="CD5" s="502">
        <f>comparador7</f>
        <v>0</v>
      </c>
      <c r="CE5" s="502"/>
      <c r="CF5" s="502"/>
      <c r="CG5" s="502"/>
      <c r="CH5" s="502"/>
      <c r="CI5" s="502"/>
      <c r="CJ5" s="502"/>
      <c r="CK5" s="77"/>
      <c r="CL5" s="502">
        <f>comparador8</f>
        <v>0</v>
      </c>
      <c r="CM5" s="502"/>
      <c r="CN5" s="502"/>
      <c r="CO5" s="502"/>
      <c r="CP5" s="502"/>
      <c r="CQ5" s="502"/>
      <c r="CR5" s="502"/>
      <c r="CS5" s="77"/>
      <c r="CT5" s="502">
        <f>comparador9</f>
        <v>0</v>
      </c>
      <c r="CU5" s="502"/>
      <c r="CV5" s="502"/>
      <c r="CW5" s="502"/>
      <c r="CX5" s="502"/>
      <c r="CY5" s="502"/>
      <c r="CZ5" s="502"/>
      <c r="DA5" s="77"/>
      <c r="DB5" s="502">
        <f>comparador10</f>
        <v>0</v>
      </c>
      <c r="DC5" s="502"/>
      <c r="DD5" s="502"/>
      <c r="DE5" s="502"/>
      <c r="DF5" s="502"/>
      <c r="DG5" s="502"/>
      <c r="DH5" s="502"/>
      <c r="DI5" s="77"/>
    </row>
    <row r="6" spans="2:113" ht="16.2" thickBot="1">
      <c r="B6" s="78"/>
      <c r="C6" s="78">
        <f>ano_1</f>
        <v>2026</v>
      </c>
      <c r="D6" s="78">
        <f>C6+1</f>
        <v>2027</v>
      </c>
      <c r="E6" s="78">
        <f t="shared" ref="E6:G6" si="0">D6+1</f>
        <v>2028</v>
      </c>
      <c r="F6" s="78">
        <f t="shared" si="0"/>
        <v>2029</v>
      </c>
      <c r="G6" s="78">
        <f t="shared" si="0"/>
        <v>2030</v>
      </c>
      <c r="J6" s="78"/>
      <c r="K6" s="78">
        <f>ano_1</f>
        <v>2026</v>
      </c>
      <c r="L6" s="78">
        <f>K6+1</f>
        <v>2027</v>
      </c>
      <c r="M6" s="78">
        <f t="shared" ref="M6:O6" si="1">L6+1</f>
        <v>2028</v>
      </c>
      <c r="N6" s="78">
        <f t="shared" si="1"/>
        <v>2029</v>
      </c>
      <c r="O6" s="78">
        <f t="shared" si="1"/>
        <v>2030</v>
      </c>
      <c r="R6" s="78"/>
      <c r="S6" s="78">
        <f>ano_1</f>
        <v>2026</v>
      </c>
      <c r="T6" s="78">
        <f>S6+1</f>
        <v>2027</v>
      </c>
      <c r="U6" s="78">
        <f t="shared" ref="U6:W6" si="2">T6+1</f>
        <v>2028</v>
      </c>
      <c r="V6" s="78">
        <f t="shared" si="2"/>
        <v>2029</v>
      </c>
      <c r="W6" s="78">
        <f t="shared" si="2"/>
        <v>2030</v>
      </c>
      <c r="Z6" s="78"/>
      <c r="AA6" s="78">
        <f>ano_1</f>
        <v>2026</v>
      </c>
      <c r="AB6" s="78">
        <f>AA6+1</f>
        <v>2027</v>
      </c>
      <c r="AC6" s="78">
        <f t="shared" ref="AC6:AE6" si="3">AB6+1</f>
        <v>2028</v>
      </c>
      <c r="AD6" s="78">
        <f t="shared" si="3"/>
        <v>2029</v>
      </c>
      <c r="AE6" s="78">
        <f t="shared" si="3"/>
        <v>2030</v>
      </c>
      <c r="AH6" s="78"/>
      <c r="AI6" s="78">
        <f>ano_1</f>
        <v>2026</v>
      </c>
      <c r="AJ6" s="78">
        <f>AI6+1</f>
        <v>2027</v>
      </c>
      <c r="AK6" s="78">
        <f t="shared" ref="AK6:AM6" si="4">AJ6+1</f>
        <v>2028</v>
      </c>
      <c r="AL6" s="78">
        <f t="shared" si="4"/>
        <v>2029</v>
      </c>
      <c r="AM6" s="78">
        <f t="shared" si="4"/>
        <v>2030</v>
      </c>
      <c r="AP6" s="78"/>
      <c r="AQ6" s="78">
        <f>ano_1</f>
        <v>2026</v>
      </c>
      <c r="AR6" s="78">
        <f>AQ6+1</f>
        <v>2027</v>
      </c>
      <c r="AS6" s="78">
        <f t="shared" ref="AS6:AU6" si="5">AR6+1</f>
        <v>2028</v>
      </c>
      <c r="AT6" s="78">
        <f t="shared" si="5"/>
        <v>2029</v>
      </c>
      <c r="AU6" s="78">
        <f t="shared" si="5"/>
        <v>2030</v>
      </c>
      <c r="AX6" s="78"/>
      <c r="AY6" s="78">
        <f>ano_1</f>
        <v>2026</v>
      </c>
      <c r="AZ6" s="78">
        <f>AY6+1</f>
        <v>2027</v>
      </c>
      <c r="BA6" s="78">
        <f t="shared" ref="BA6:BC6" si="6">AZ6+1</f>
        <v>2028</v>
      </c>
      <c r="BB6" s="78">
        <f t="shared" si="6"/>
        <v>2029</v>
      </c>
      <c r="BC6" s="78">
        <f t="shared" si="6"/>
        <v>2030</v>
      </c>
      <c r="BF6" s="78"/>
      <c r="BG6" s="78">
        <f>ano_1</f>
        <v>2026</v>
      </c>
      <c r="BH6" s="78">
        <f>BG6+1</f>
        <v>2027</v>
      </c>
      <c r="BI6" s="78">
        <f t="shared" ref="BI6:BK6" si="7">BH6+1</f>
        <v>2028</v>
      </c>
      <c r="BJ6" s="78">
        <f t="shared" si="7"/>
        <v>2029</v>
      </c>
      <c r="BK6" s="78">
        <f t="shared" si="7"/>
        <v>2030</v>
      </c>
      <c r="BN6" s="78"/>
      <c r="BO6" s="78">
        <f>ano_1</f>
        <v>2026</v>
      </c>
      <c r="BP6" s="78">
        <f>BO6+1</f>
        <v>2027</v>
      </c>
      <c r="BQ6" s="78">
        <f t="shared" ref="BQ6:BS6" si="8">BP6+1</f>
        <v>2028</v>
      </c>
      <c r="BR6" s="78">
        <f t="shared" si="8"/>
        <v>2029</v>
      </c>
      <c r="BS6" s="78">
        <f t="shared" si="8"/>
        <v>2030</v>
      </c>
      <c r="BV6" s="78"/>
      <c r="BW6" s="78">
        <f>ano_1</f>
        <v>2026</v>
      </c>
      <c r="BX6" s="78">
        <f>BW6+1</f>
        <v>2027</v>
      </c>
      <c r="BY6" s="78">
        <f t="shared" ref="BY6:CA6" si="9">BX6+1</f>
        <v>2028</v>
      </c>
      <c r="BZ6" s="78">
        <f t="shared" si="9"/>
        <v>2029</v>
      </c>
      <c r="CA6" s="78">
        <f t="shared" si="9"/>
        <v>2030</v>
      </c>
      <c r="CD6" s="78"/>
      <c r="CE6" s="78">
        <f>ano_1</f>
        <v>2026</v>
      </c>
      <c r="CF6" s="78">
        <f>CE6+1</f>
        <v>2027</v>
      </c>
      <c r="CG6" s="78">
        <f t="shared" ref="CG6:CI6" si="10">CF6+1</f>
        <v>2028</v>
      </c>
      <c r="CH6" s="78">
        <f t="shared" si="10"/>
        <v>2029</v>
      </c>
      <c r="CI6" s="78">
        <f t="shared" si="10"/>
        <v>2030</v>
      </c>
      <c r="CL6" s="78"/>
      <c r="CM6" s="78">
        <f>ano_1</f>
        <v>2026</v>
      </c>
      <c r="CN6" s="78">
        <f>CM6+1</f>
        <v>2027</v>
      </c>
      <c r="CO6" s="78">
        <f t="shared" ref="CO6:CQ6" si="11">CN6+1</f>
        <v>2028</v>
      </c>
      <c r="CP6" s="78">
        <f t="shared" si="11"/>
        <v>2029</v>
      </c>
      <c r="CQ6" s="78">
        <f t="shared" si="11"/>
        <v>2030</v>
      </c>
      <c r="CT6" s="78"/>
      <c r="CU6" s="78">
        <f>ano_1</f>
        <v>2026</v>
      </c>
      <c r="CV6" s="78">
        <f>CU6+1</f>
        <v>2027</v>
      </c>
      <c r="CW6" s="78">
        <f t="shared" ref="CW6:CY6" si="12">CV6+1</f>
        <v>2028</v>
      </c>
      <c r="CX6" s="78">
        <f t="shared" si="12"/>
        <v>2029</v>
      </c>
      <c r="CY6" s="78">
        <f t="shared" si="12"/>
        <v>2030</v>
      </c>
      <c r="DB6" s="78"/>
      <c r="DC6" s="78">
        <f>ano_1</f>
        <v>2026</v>
      </c>
      <c r="DD6" s="78">
        <f>DC6+1</f>
        <v>2027</v>
      </c>
      <c r="DE6" s="78">
        <f t="shared" ref="DE6:DG6" si="13">DD6+1</f>
        <v>2028</v>
      </c>
      <c r="DF6" s="78">
        <f t="shared" si="13"/>
        <v>2029</v>
      </c>
      <c r="DG6" s="78">
        <f t="shared" si="13"/>
        <v>2030</v>
      </c>
    </row>
    <row r="7" spans="2:113" s="97" customFormat="1" ht="15" thickBot="1">
      <c r="B7" s="94" t="s">
        <v>205</v>
      </c>
      <c r="C7" s="313">
        <f>Results!D9</f>
        <v>311080.53998220514</v>
      </c>
      <c r="D7" s="313">
        <f>Results!E9</f>
        <v>309959.50471967034</v>
      </c>
      <c r="E7" s="313">
        <f>Results!F9</f>
        <v>308747.1600436939</v>
      </c>
      <c r="F7" s="313">
        <f>Results!G9</f>
        <v>307292.69308336981</v>
      </c>
      <c r="G7" s="313">
        <f>Results!H9</f>
        <v>305462.50005901721</v>
      </c>
      <c r="H7" s="95"/>
      <c r="I7" s="96"/>
      <c r="J7" s="94" t="s">
        <v>205</v>
      </c>
      <c r="K7" s="313">
        <f>Results!D$9</f>
        <v>311080.53998220514</v>
      </c>
      <c r="L7" s="313">
        <f>Results!E$9</f>
        <v>309959.50471967034</v>
      </c>
      <c r="M7" s="313">
        <f>Results!F$9</f>
        <v>308747.1600436939</v>
      </c>
      <c r="N7" s="313">
        <f>Results!G$9</f>
        <v>307292.69308336981</v>
      </c>
      <c r="O7" s="313">
        <f>Results!H$9</f>
        <v>305462.50005901721</v>
      </c>
      <c r="P7" s="95"/>
      <c r="Q7" s="96"/>
      <c r="R7" s="94" t="s">
        <v>205</v>
      </c>
      <c r="S7" s="313">
        <f>Results!D$9</f>
        <v>311080.53998220514</v>
      </c>
      <c r="T7" s="313">
        <f>Results!E$9</f>
        <v>309959.50471967034</v>
      </c>
      <c r="U7" s="313">
        <f>Results!F$9</f>
        <v>308747.1600436939</v>
      </c>
      <c r="V7" s="313">
        <f>Results!G$9</f>
        <v>307292.69308336981</v>
      </c>
      <c r="W7" s="313">
        <f>Results!H$9</f>
        <v>305462.50005901721</v>
      </c>
      <c r="X7" s="95"/>
      <c r="Y7" s="96"/>
      <c r="Z7" s="94" t="s">
        <v>205</v>
      </c>
      <c r="AA7" s="313">
        <f>Results!D$9</f>
        <v>311080.53998220514</v>
      </c>
      <c r="AB7" s="313">
        <f>Results!E$9</f>
        <v>309959.50471967034</v>
      </c>
      <c r="AC7" s="313">
        <f>Results!F$9</f>
        <v>308747.1600436939</v>
      </c>
      <c r="AD7" s="313">
        <f>Results!G$9</f>
        <v>307292.69308336981</v>
      </c>
      <c r="AE7" s="313">
        <f>Results!H$9</f>
        <v>305462.50005901721</v>
      </c>
      <c r="AF7" s="95"/>
      <c r="AG7" s="96"/>
      <c r="AH7" s="94" t="s">
        <v>205</v>
      </c>
      <c r="AI7" s="313">
        <f>Results!D$9</f>
        <v>311080.53998220514</v>
      </c>
      <c r="AJ7" s="313">
        <f>Results!E$9</f>
        <v>309959.50471967034</v>
      </c>
      <c r="AK7" s="313">
        <f>Results!F$9</f>
        <v>308747.1600436939</v>
      </c>
      <c r="AL7" s="313">
        <f>Results!G$9</f>
        <v>307292.69308336981</v>
      </c>
      <c r="AM7" s="313">
        <f>Results!H$9</f>
        <v>305462.50005901721</v>
      </c>
      <c r="AN7" s="95"/>
      <c r="AO7" s="96"/>
      <c r="AP7" s="94" t="s">
        <v>205</v>
      </c>
      <c r="AQ7" s="313">
        <f>Results!D$9</f>
        <v>311080.53998220514</v>
      </c>
      <c r="AR7" s="313">
        <f>Results!E$9</f>
        <v>309959.50471967034</v>
      </c>
      <c r="AS7" s="313">
        <f>Results!F$9</f>
        <v>308747.1600436939</v>
      </c>
      <c r="AT7" s="313">
        <f>Results!G$9</f>
        <v>307292.69308336981</v>
      </c>
      <c r="AU7" s="313">
        <f>Results!H$9</f>
        <v>305462.50005901721</v>
      </c>
      <c r="AV7" s="95"/>
      <c r="AW7" s="96"/>
      <c r="AX7" s="94" t="s">
        <v>205</v>
      </c>
      <c r="AY7" s="313">
        <f>Results!D$9</f>
        <v>311080.53998220514</v>
      </c>
      <c r="AZ7" s="313">
        <f>Results!E$9</f>
        <v>309959.50471967034</v>
      </c>
      <c r="BA7" s="313">
        <f>Results!F$9</f>
        <v>308747.1600436939</v>
      </c>
      <c r="BB7" s="313">
        <f>Results!G$9</f>
        <v>307292.69308336981</v>
      </c>
      <c r="BC7" s="313">
        <f>Results!H$9</f>
        <v>305462.50005901721</v>
      </c>
      <c r="BD7" s="95"/>
      <c r="BE7" s="96"/>
      <c r="BF7" s="94" t="s">
        <v>205</v>
      </c>
      <c r="BG7" s="313">
        <f>Results!D$9</f>
        <v>311080.53998220514</v>
      </c>
      <c r="BH7" s="313">
        <f>Results!E$9</f>
        <v>309959.50471967034</v>
      </c>
      <c r="BI7" s="313">
        <f>Results!F$9</f>
        <v>308747.1600436939</v>
      </c>
      <c r="BJ7" s="313">
        <f>Results!G$9</f>
        <v>307292.69308336981</v>
      </c>
      <c r="BK7" s="313">
        <f>Results!H$9</f>
        <v>305462.50005901721</v>
      </c>
      <c r="BL7" s="95"/>
      <c r="BM7" s="96"/>
      <c r="BN7" s="94" t="s">
        <v>205</v>
      </c>
      <c r="BO7" s="313">
        <f>Results!D$9</f>
        <v>311080.53998220514</v>
      </c>
      <c r="BP7" s="313">
        <f>Results!E$9</f>
        <v>309959.50471967034</v>
      </c>
      <c r="BQ7" s="313">
        <f>Results!F$9</f>
        <v>308747.1600436939</v>
      </c>
      <c r="BR7" s="313">
        <f>Results!G$9</f>
        <v>307292.69308336981</v>
      </c>
      <c r="BS7" s="313">
        <f>Results!H$9</f>
        <v>305462.50005901721</v>
      </c>
      <c r="BT7" s="95"/>
      <c r="BU7" s="96"/>
      <c r="BV7" s="94" t="s">
        <v>205</v>
      </c>
      <c r="BW7" s="313">
        <f>Results!D$9</f>
        <v>311080.53998220514</v>
      </c>
      <c r="BX7" s="313">
        <f>Results!E$9</f>
        <v>309959.50471967034</v>
      </c>
      <c r="BY7" s="313">
        <f>Results!F$9</f>
        <v>308747.1600436939</v>
      </c>
      <c r="BZ7" s="313">
        <f>Results!G$9</f>
        <v>307292.69308336981</v>
      </c>
      <c r="CA7" s="313">
        <f>Results!H$9</f>
        <v>305462.50005901721</v>
      </c>
      <c r="CB7" s="95"/>
      <c r="CC7" s="96"/>
      <c r="CD7" s="94" t="s">
        <v>205</v>
      </c>
      <c r="CE7" s="313">
        <f>Results!D$9</f>
        <v>311080.53998220514</v>
      </c>
      <c r="CF7" s="313">
        <f>Results!E$9</f>
        <v>309959.50471967034</v>
      </c>
      <c r="CG7" s="313">
        <f>Results!F$9</f>
        <v>308747.1600436939</v>
      </c>
      <c r="CH7" s="313">
        <f>Results!G$9</f>
        <v>307292.69308336981</v>
      </c>
      <c r="CI7" s="313">
        <f>Results!H$9</f>
        <v>305462.50005901721</v>
      </c>
      <c r="CJ7" s="95"/>
      <c r="CK7" s="96"/>
      <c r="CL7" s="94" t="s">
        <v>205</v>
      </c>
      <c r="CM7" s="313">
        <f>Results!D$9</f>
        <v>311080.53998220514</v>
      </c>
      <c r="CN7" s="313">
        <f>Results!E$9</f>
        <v>309959.50471967034</v>
      </c>
      <c r="CO7" s="313">
        <f>Results!F$9</f>
        <v>308747.1600436939</v>
      </c>
      <c r="CP7" s="313">
        <f>Results!G$9</f>
        <v>307292.69308336981</v>
      </c>
      <c r="CQ7" s="313">
        <f>Results!H$9</f>
        <v>305462.50005901721</v>
      </c>
      <c r="CR7" s="95"/>
      <c r="CS7" s="96"/>
      <c r="CT7" s="94" t="s">
        <v>205</v>
      </c>
      <c r="CU7" s="313">
        <f>Results!D$9</f>
        <v>311080.53998220514</v>
      </c>
      <c r="CV7" s="313">
        <f>Results!E$9</f>
        <v>309959.50471967034</v>
      </c>
      <c r="CW7" s="313">
        <f>Results!F$9</f>
        <v>308747.1600436939</v>
      </c>
      <c r="CX7" s="313">
        <f>Results!G$9</f>
        <v>307292.69308336981</v>
      </c>
      <c r="CY7" s="313">
        <f>Results!H$9</f>
        <v>305462.50005901721</v>
      </c>
      <c r="CZ7" s="95"/>
      <c r="DA7" s="96"/>
      <c r="DB7" s="94" t="s">
        <v>205</v>
      </c>
      <c r="DC7" s="313">
        <f>Results!D$9</f>
        <v>311080.53998220514</v>
      </c>
      <c r="DD7" s="313">
        <f>Results!E$9</f>
        <v>309959.50471967034</v>
      </c>
      <c r="DE7" s="313">
        <f>Results!F$9</f>
        <v>308747.1600436939</v>
      </c>
      <c r="DF7" s="313">
        <f>Results!G$9</f>
        <v>307292.69308336981</v>
      </c>
      <c r="DG7" s="313">
        <f>Results!H$9</f>
        <v>305462.50005901721</v>
      </c>
      <c r="DH7" s="95"/>
      <c r="DI7" s="96"/>
    </row>
    <row r="9" spans="2:113" s="81" customFormat="1">
      <c r="B9" s="120"/>
      <c r="C9" s="120"/>
      <c r="D9" s="120"/>
      <c r="E9" s="120"/>
      <c r="F9" s="120"/>
      <c r="G9" s="120"/>
      <c r="H9" s="82"/>
      <c r="I9" s="82"/>
      <c r="J9" s="120"/>
      <c r="K9" s="120"/>
      <c r="L9" s="120"/>
      <c r="M9" s="120"/>
      <c r="N9" s="120"/>
      <c r="O9" s="120"/>
      <c r="P9" s="82"/>
      <c r="Q9" s="82"/>
      <c r="R9" s="120"/>
      <c r="S9" s="120"/>
      <c r="T9" s="120"/>
      <c r="U9" s="120"/>
      <c r="V9" s="120"/>
      <c r="W9" s="120"/>
      <c r="X9" s="82"/>
      <c r="Y9" s="82"/>
      <c r="Z9" s="120"/>
      <c r="AA9" s="120"/>
      <c r="AB9" s="120"/>
      <c r="AC9" s="120"/>
      <c r="AD9" s="120"/>
      <c r="AE9" s="120"/>
      <c r="AF9" s="82"/>
      <c r="AG9" s="82"/>
      <c r="AH9" s="120"/>
      <c r="AI9" s="120"/>
      <c r="AJ9" s="120"/>
      <c r="AK9" s="120"/>
      <c r="AL9" s="120"/>
      <c r="AM9" s="120"/>
      <c r="AN9" s="82"/>
      <c r="AO9" s="82"/>
      <c r="AP9" s="120"/>
      <c r="AQ9" s="120"/>
      <c r="AR9" s="120"/>
      <c r="AS9" s="120"/>
      <c r="AT9" s="120"/>
      <c r="AU9" s="120"/>
      <c r="AV9" s="82"/>
      <c r="AW9" s="82"/>
      <c r="AX9" s="120"/>
      <c r="AY9" s="120"/>
      <c r="AZ9" s="120"/>
      <c r="BA9" s="120"/>
      <c r="BB9" s="120"/>
      <c r="BC9" s="120"/>
      <c r="BD9" s="82"/>
      <c r="BE9" s="82"/>
      <c r="BF9" s="120"/>
      <c r="BG9" s="120"/>
      <c r="BH9" s="120"/>
      <c r="BI9" s="120"/>
      <c r="BJ9" s="120"/>
      <c r="BK9" s="120"/>
      <c r="BL9" s="82"/>
      <c r="BM9" s="82"/>
      <c r="BN9" s="120"/>
      <c r="BO9" s="120"/>
      <c r="BP9" s="120"/>
      <c r="BQ9" s="120"/>
      <c r="BR9" s="120"/>
      <c r="BS9" s="120"/>
      <c r="BT9" s="82"/>
      <c r="BU9" s="82"/>
      <c r="BV9" s="120"/>
      <c r="BW9" s="120"/>
      <c r="BX9" s="120"/>
      <c r="BY9" s="120"/>
      <c r="BZ9" s="120"/>
      <c r="CA9" s="120"/>
      <c r="CB9" s="82"/>
      <c r="CC9" s="82"/>
      <c r="CD9" s="120"/>
      <c r="CE9" s="120"/>
      <c r="CF9" s="120"/>
      <c r="CG9" s="120"/>
      <c r="CH9" s="120"/>
      <c r="CI9" s="120"/>
      <c r="CJ9" s="82"/>
      <c r="CK9" s="82"/>
      <c r="CL9" s="120"/>
      <c r="CM9" s="120"/>
      <c r="CN9" s="120"/>
      <c r="CO9" s="120"/>
      <c r="CP9" s="120"/>
      <c r="CQ9" s="120"/>
      <c r="CR9" s="82"/>
      <c r="CS9" s="82"/>
      <c r="CT9" s="120"/>
      <c r="CU9" s="120"/>
      <c r="CV9" s="120"/>
      <c r="CW9" s="120"/>
      <c r="CX9" s="120"/>
      <c r="CY9" s="120"/>
      <c r="CZ9" s="82"/>
      <c r="DA9" s="82"/>
      <c r="DB9" s="120"/>
      <c r="DC9" s="120"/>
      <c r="DD9" s="120"/>
      <c r="DE9" s="120"/>
      <c r="DF9" s="120"/>
      <c r="DG9" s="120"/>
      <c r="DH9" s="82"/>
      <c r="DI9" s="82"/>
    </row>
    <row r="10" spans="2:113" s="76" customFormat="1" ht="21">
      <c r="B10" s="502" t="str">
        <f>intervencao1</f>
        <v>Intrauterine device levonorgestrel</v>
      </c>
      <c r="C10" s="502"/>
      <c r="D10" s="502"/>
      <c r="E10" s="502"/>
      <c r="F10" s="502"/>
      <c r="G10" s="502"/>
      <c r="H10" s="502"/>
      <c r="I10" s="77"/>
      <c r="J10" s="502">
        <f>intervencao2</f>
        <v>0</v>
      </c>
      <c r="K10" s="502"/>
      <c r="L10" s="502"/>
      <c r="M10" s="502"/>
      <c r="N10" s="502"/>
      <c r="O10" s="502"/>
      <c r="P10" s="502"/>
      <c r="Q10" s="77"/>
      <c r="R10" s="502">
        <f>intervencao3</f>
        <v>0</v>
      </c>
      <c r="S10" s="502"/>
      <c r="T10" s="502"/>
      <c r="U10" s="502"/>
      <c r="V10" s="502"/>
      <c r="W10" s="502"/>
      <c r="X10" s="502"/>
      <c r="Y10" s="77"/>
      <c r="Z10" s="502">
        <f>intervencao4</f>
        <v>0</v>
      </c>
      <c r="AA10" s="502"/>
      <c r="AB10" s="502"/>
      <c r="AC10" s="502"/>
      <c r="AD10" s="502"/>
      <c r="AE10" s="502"/>
      <c r="AF10" s="502"/>
      <c r="AG10" s="77"/>
      <c r="AH10" s="502" t="str">
        <f>comparador1</f>
        <v>Oral contraceptive</v>
      </c>
      <c r="AI10" s="502"/>
      <c r="AJ10" s="502"/>
      <c r="AK10" s="502"/>
      <c r="AL10" s="502"/>
      <c r="AM10" s="502"/>
      <c r="AN10" s="502"/>
      <c r="AO10" s="77"/>
      <c r="AP10" s="502">
        <f>comparador2</f>
        <v>0</v>
      </c>
      <c r="AQ10" s="502"/>
      <c r="AR10" s="502"/>
      <c r="AS10" s="502"/>
      <c r="AT10" s="502"/>
      <c r="AU10" s="502"/>
      <c r="AV10" s="502"/>
      <c r="AW10" s="77"/>
      <c r="AX10" s="502">
        <f>comparador3</f>
        <v>0</v>
      </c>
      <c r="AY10" s="502"/>
      <c r="AZ10" s="502"/>
      <c r="BA10" s="502"/>
      <c r="BB10" s="502"/>
      <c r="BC10" s="502"/>
      <c r="BD10" s="502"/>
      <c r="BE10" s="77"/>
      <c r="BF10" s="502">
        <f>comparador4</f>
        <v>0</v>
      </c>
      <c r="BG10" s="502"/>
      <c r="BH10" s="502"/>
      <c r="BI10" s="502"/>
      <c r="BJ10" s="502"/>
      <c r="BK10" s="502"/>
      <c r="BL10" s="502"/>
      <c r="BM10" s="77"/>
      <c r="BN10" s="502">
        <f>comparador5</f>
        <v>0</v>
      </c>
      <c r="BO10" s="502"/>
      <c r="BP10" s="502"/>
      <c r="BQ10" s="502"/>
      <c r="BR10" s="502"/>
      <c r="BS10" s="502"/>
      <c r="BT10" s="502"/>
      <c r="BU10" s="77"/>
      <c r="BV10" s="502">
        <f>comparador6</f>
        <v>0</v>
      </c>
      <c r="BW10" s="502"/>
      <c r="BX10" s="502"/>
      <c r="BY10" s="502"/>
      <c r="BZ10" s="502"/>
      <c r="CA10" s="502"/>
      <c r="CB10" s="502"/>
      <c r="CC10" s="77"/>
      <c r="CD10" s="502">
        <f>comparador7</f>
        <v>0</v>
      </c>
      <c r="CE10" s="502"/>
      <c r="CF10" s="502"/>
      <c r="CG10" s="502"/>
      <c r="CH10" s="502"/>
      <c r="CI10" s="502"/>
      <c r="CJ10" s="502"/>
      <c r="CK10" s="77"/>
      <c r="CL10" s="502">
        <f>comparador8</f>
        <v>0</v>
      </c>
      <c r="CM10" s="502"/>
      <c r="CN10" s="502"/>
      <c r="CO10" s="502"/>
      <c r="CP10" s="502"/>
      <c r="CQ10" s="502"/>
      <c r="CR10" s="502"/>
      <c r="CS10" s="77"/>
      <c r="CT10" s="502">
        <f>comparador9</f>
        <v>0</v>
      </c>
      <c r="CU10" s="502"/>
      <c r="CV10" s="502"/>
      <c r="CW10" s="502"/>
      <c r="CX10" s="502"/>
      <c r="CY10" s="502"/>
      <c r="CZ10" s="502"/>
      <c r="DA10" s="77"/>
      <c r="DB10" s="502">
        <f>comparador10</f>
        <v>0</v>
      </c>
      <c r="DC10" s="502"/>
      <c r="DD10" s="502"/>
      <c r="DE10" s="502"/>
      <c r="DF10" s="502"/>
      <c r="DG10" s="502"/>
      <c r="DH10" s="502"/>
      <c r="DI10" s="77"/>
    </row>
    <row r="11" spans="2:113" ht="18">
      <c r="B11" s="503" t="s">
        <v>180</v>
      </c>
      <c r="C11" s="503"/>
      <c r="D11" s="503"/>
      <c r="E11" s="503"/>
      <c r="F11" s="503"/>
      <c r="G11" s="503"/>
      <c r="H11" s="71"/>
      <c r="I11" s="71"/>
      <c r="J11" s="503" t="s">
        <v>180</v>
      </c>
      <c r="K11" s="503"/>
      <c r="L11" s="503"/>
      <c r="M11" s="503"/>
      <c r="N11" s="503"/>
      <c r="O11" s="503"/>
      <c r="P11" s="71"/>
      <c r="Q11" s="71"/>
      <c r="R11" s="503" t="s">
        <v>180</v>
      </c>
      <c r="S11" s="503"/>
      <c r="T11" s="503"/>
      <c r="U11" s="503"/>
      <c r="V11" s="503"/>
      <c r="W11" s="503"/>
      <c r="X11" s="71"/>
      <c r="Y11" s="71"/>
      <c r="Z11" s="503" t="s">
        <v>180</v>
      </c>
      <c r="AA11" s="503"/>
      <c r="AB11" s="503"/>
      <c r="AC11" s="503"/>
      <c r="AD11" s="503"/>
      <c r="AE11" s="503"/>
      <c r="AF11" s="71"/>
      <c r="AG11" s="71"/>
      <c r="AH11" s="503" t="s">
        <v>180</v>
      </c>
      <c r="AI11" s="503"/>
      <c r="AJ11" s="503"/>
      <c r="AK11" s="503"/>
      <c r="AL11" s="503"/>
      <c r="AM11" s="503"/>
      <c r="AN11" s="71"/>
      <c r="AO11" s="71"/>
      <c r="AP11" s="503" t="s">
        <v>180</v>
      </c>
      <c r="AQ11" s="503"/>
      <c r="AR11" s="503"/>
      <c r="AS11" s="503"/>
      <c r="AT11" s="503"/>
      <c r="AU11" s="503"/>
      <c r="AV11" s="71"/>
      <c r="AW11" s="71"/>
      <c r="AX11" s="503" t="s">
        <v>180</v>
      </c>
      <c r="AY11" s="503"/>
      <c r="AZ11" s="503"/>
      <c r="BA11" s="503"/>
      <c r="BB11" s="503"/>
      <c r="BC11" s="503"/>
      <c r="BD11" s="71"/>
      <c r="BE11" s="71"/>
      <c r="BF11" s="503" t="s">
        <v>180</v>
      </c>
      <c r="BG11" s="503"/>
      <c r="BH11" s="503"/>
      <c r="BI11" s="503"/>
      <c r="BJ11" s="503"/>
      <c r="BK11" s="503"/>
      <c r="BL11" s="71"/>
      <c r="BM11" s="71"/>
      <c r="BN11" s="503" t="s">
        <v>180</v>
      </c>
      <c r="BO11" s="503"/>
      <c r="BP11" s="503"/>
      <c r="BQ11" s="503"/>
      <c r="BR11" s="503"/>
      <c r="BS11" s="503"/>
      <c r="BT11" s="71"/>
      <c r="BU11" s="71"/>
      <c r="BV11" s="503" t="s">
        <v>180</v>
      </c>
      <c r="BW11" s="503"/>
      <c r="BX11" s="503"/>
      <c r="BY11" s="503"/>
      <c r="BZ11" s="503"/>
      <c r="CA11" s="503"/>
      <c r="CB11" s="71"/>
      <c r="CC11" s="71"/>
      <c r="CD11" s="503" t="s">
        <v>180</v>
      </c>
      <c r="CE11" s="503"/>
      <c r="CF11" s="503"/>
      <c r="CG11" s="503"/>
      <c r="CH11" s="503"/>
      <c r="CI11" s="503"/>
      <c r="CJ11" s="71"/>
      <c r="CK11" s="71"/>
      <c r="CL11" s="503" t="s">
        <v>180</v>
      </c>
      <c r="CM11" s="503"/>
      <c r="CN11" s="503"/>
      <c r="CO11" s="503"/>
      <c r="CP11" s="503"/>
      <c r="CQ11" s="503"/>
      <c r="CR11" s="71"/>
      <c r="CS11" s="71"/>
      <c r="CT11" s="503" t="s">
        <v>180</v>
      </c>
      <c r="CU11" s="503"/>
      <c r="CV11" s="503"/>
      <c r="CW11" s="503"/>
      <c r="CX11" s="503"/>
      <c r="CY11" s="503"/>
      <c r="CZ11" s="71"/>
      <c r="DA11" s="71"/>
      <c r="DB11" s="503" t="s">
        <v>180</v>
      </c>
      <c r="DC11" s="503"/>
      <c r="DD11" s="503"/>
      <c r="DE11" s="503"/>
      <c r="DF11" s="503"/>
      <c r="DG11" s="503"/>
      <c r="DH11" s="71"/>
      <c r="DI11" s="71"/>
    </row>
    <row r="12" spans="2:113" ht="15" thickBot="1">
      <c r="B12" s="83"/>
      <c r="C12" s="83"/>
      <c r="D12" s="83"/>
      <c r="E12" s="83"/>
      <c r="F12" s="83"/>
      <c r="G12" s="83"/>
      <c r="J12" s="83"/>
      <c r="K12" s="83"/>
      <c r="L12" s="83"/>
      <c r="M12" s="83"/>
      <c r="N12" s="83"/>
      <c r="O12" s="83"/>
      <c r="R12" s="83"/>
      <c r="S12" s="83"/>
      <c r="T12" s="83"/>
      <c r="U12" s="83"/>
      <c r="V12" s="83"/>
      <c r="W12" s="83"/>
      <c r="Z12" s="83"/>
      <c r="AA12" s="83"/>
      <c r="AB12" s="83"/>
      <c r="AC12" s="83"/>
      <c r="AD12" s="83"/>
      <c r="AE12" s="83"/>
      <c r="AH12" s="83"/>
      <c r="AI12" s="83"/>
      <c r="AJ12" s="83"/>
      <c r="AK12" s="83"/>
      <c r="AL12" s="83"/>
      <c r="AM12" s="83"/>
      <c r="AP12" s="83"/>
      <c r="AQ12" s="83"/>
      <c r="AR12" s="83"/>
      <c r="AS12" s="83"/>
      <c r="AT12" s="83"/>
      <c r="AU12" s="83"/>
      <c r="AX12" s="83"/>
      <c r="AY12" s="83"/>
      <c r="AZ12" s="83"/>
      <c r="BA12" s="83"/>
      <c r="BB12" s="83"/>
      <c r="BC12" s="83"/>
      <c r="BF12" s="83"/>
      <c r="BG12" s="83"/>
      <c r="BH12" s="83"/>
      <c r="BI12" s="83"/>
      <c r="BJ12" s="83"/>
      <c r="BK12" s="83"/>
      <c r="BN12" s="83"/>
      <c r="BO12" s="83"/>
      <c r="BP12" s="83"/>
      <c r="BQ12" s="83"/>
      <c r="BR12" s="83"/>
      <c r="BS12" s="83"/>
      <c r="BV12" s="83"/>
      <c r="BW12" s="83"/>
      <c r="BX12" s="83"/>
      <c r="BY12" s="83"/>
      <c r="BZ12" s="83"/>
      <c r="CA12" s="83"/>
      <c r="CD12" s="83"/>
      <c r="CE12" s="83"/>
      <c r="CF12" s="83"/>
      <c r="CG12" s="83"/>
      <c r="CH12" s="83"/>
      <c r="CI12" s="83"/>
      <c r="CL12" s="83"/>
      <c r="CM12" s="83"/>
      <c r="CN12" s="83"/>
      <c r="CO12" s="83"/>
      <c r="CP12" s="83"/>
      <c r="CQ12" s="83"/>
      <c r="CT12" s="83"/>
      <c r="CU12" s="83"/>
      <c r="CV12" s="83"/>
      <c r="CW12" s="83"/>
      <c r="CX12" s="83"/>
      <c r="CY12" s="83"/>
      <c r="DB12" s="83"/>
      <c r="DC12" s="83"/>
      <c r="DD12" s="83"/>
      <c r="DE12" s="83"/>
      <c r="DF12" s="83"/>
      <c r="DG12" s="83"/>
    </row>
    <row r="13" spans="2:113" ht="15" thickBot="1">
      <c r="B13" s="504" t="str">
        <f>cen_atual</f>
        <v>Without IUD-LNG</v>
      </c>
      <c r="C13" s="505"/>
      <c r="D13" s="505"/>
      <c r="E13" s="505"/>
      <c r="F13" s="505"/>
      <c r="G13" s="506"/>
      <c r="J13" s="504" t="str">
        <f>cen_atual</f>
        <v>Without IUD-LNG</v>
      </c>
      <c r="K13" s="505"/>
      <c r="L13" s="505"/>
      <c r="M13" s="505"/>
      <c r="N13" s="505"/>
      <c r="O13" s="506"/>
      <c r="R13" s="504" t="str">
        <f>cen_atual</f>
        <v>Without IUD-LNG</v>
      </c>
      <c r="S13" s="505"/>
      <c r="T13" s="505"/>
      <c r="U13" s="505"/>
      <c r="V13" s="505"/>
      <c r="W13" s="506"/>
      <c r="Z13" s="504" t="str">
        <f>cen_atual</f>
        <v>Without IUD-LNG</v>
      </c>
      <c r="AA13" s="505"/>
      <c r="AB13" s="505"/>
      <c r="AC13" s="505"/>
      <c r="AD13" s="505"/>
      <c r="AE13" s="506"/>
      <c r="AH13" s="504" t="str">
        <f>cen_atual</f>
        <v>Without IUD-LNG</v>
      </c>
      <c r="AI13" s="505"/>
      <c r="AJ13" s="505"/>
      <c r="AK13" s="505"/>
      <c r="AL13" s="505"/>
      <c r="AM13" s="506"/>
      <c r="AP13" s="504" t="str">
        <f>cen_atual</f>
        <v>Without IUD-LNG</v>
      </c>
      <c r="AQ13" s="505"/>
      <c r="AR13" s="505"/>
      <c r="AS13" s="505"/>
      <c r="AT13" s="505"/>
      <c r="AU13" s="506"/>
      <c r="AX13" s="504" t="str">
        <f>cen_atual</f>
        <v>Without IUD-LNG</v>
      </c>
      <c r="AY13" s="505"/>
      <c r="AZ13" s="505"/>
      <c r="BA13" s="505"/>
      <c r="BB13" s="505"/>
      <c r="BC13" s="506"/>
      <c r="BF13" s="504" t="str">
        <f>cen_atual</f>
        <v>Without IUD-LNG</v>
      </c>
      <c r="BG13" s="505"/>
      <c r="BH13" s="505"/>
      <c r="BI13" s="505"/>
      <c r="BJ13" s="505"/>
      <c r="BK13" s="506"/>
      <c r="BN13" s="504" t="str">
        <f>cen_atual</f>
        <v>Without IUD-LNG</v>
      </c>
      <c r="BO13" s="505"/>
      <c r="BP13" s="505"/>
      <c r="BQ13" s="505"/>
      <c r="BR13" s="505"/>
      <c r="BS13" s="506"/>
      <c r="BV13" s="504" t="str">
        <f>cen_atual</f>
        <v>Without IUD-LNG</v>
      </c>
      <c r="BW13" s="505"/>
      <c r="BX13" s="505"/>
      <c r="BY13" s="505"/>
      <c r="BZ13" s="505"/>
      <c r="CA13" s="506"/>
      <c r="CD13" s="504" t="str">
        <f>cen_atual</f>
        <v>Without IUD-LNG</v>
      </c>
      <c r="CE13" s="505"/>
      <c r="CF13" s="505"/>
      <c r="CG13" s="505"/>
      <c r="CH13" s="505"/>
      <c r="CI13" s="506"/>
      <c r="CL13" s="504" t="str">
        <f>cen_atual</f>
        <v>Without IUD-LNG</v>
      </c>
      <c r="CM13" s="505"/>
      <c r="CN13" s="505"/>
      <c r="CO13" s="505"/>
      <c r="CP13" s="505"/>
      <c r="CQ13" s="506"/>
      <c r="CT13" s="504" t="str">
        <f>cen_atual</f>
        <v>Without IUD-LNG</v>
      </c>
      <c r="CU13" s="505"/>
      <c r="CV13" s="505"/>
      <c r="CW13" s="505"/>
      <c r="CX13" s="505"/>
      <c r="CY13" s="506"/>
      <c r="DB13" s="504" t="str">
        <f>cen_atual</f>
        <v>Without IUD-LNG</v>
      </c>
      <c r="DC13" s="505"/>
      <c r="DD13" s="505"/>
      <c r="DE13" s="505"/>
      <c r="DF13" s="505"/>
      <c r="DG13" s="506"/>
    </row>
    <row r="14" spans="2:113">
      <c r="B14" s="84"/>
      <c r="C14" s="101">
        <f>ano_1</f>
        <v>2026</v>
      </c>
      <c r="D14" s="101">
        <f>C14+1</f>
        <v>2027</v>
      </c>
      <c r="E14" s="101">
        <f t="shared" ref="E14:G14" si="14">D14+1</f>
        <v>2028</v>
      </c>
      <c r="F14" s="101">
        <f t="shared" si="14"/>
        <v>2029</v>
      </c>
      <c r="G14" s="102">
        <f t="shared" si="14"/>
        <v>2030</v>
      </c>
      <c r="J14" s="84"/>
      <c r="K14" s="101">
        <f>ano_1</f>
        <v>2026</v>
      </c>
      <c r="L14" s="101">
        <f>K14+1</f>
        <v>2027</v>
      </c>
      <c r="M14" s="101">
        <f t="shared" ref="M14:O14" si="15">L14+1</f>
        <v>2028</v>
      </c>
      <c r="N14" s="101">
        <f t="shared" si="15"/>
        <v>2029</v>
      </c>
      <c r="O14" s="102">
        <f t="shared" si="15"/>
        <v>2030</v>
      </c>
      <c r="R14" s="84"/>
      <c r="S14" s="101">
        <f>ano_1</f>
        <v>2026</v>
      </c>
      <c r="T14" s="101">
        <f>S14+1</f>
        <v>2027</v>
      </c>
      <c r="U14" s="101">
        <f t="shared" ref="U14:W14" si="16">T14+1</f>
        <v>2028</v>
      </c>
      <c r="V14" s="101">
        <f t="shared" si="16"/>
        <v>2029</v>
      </c>
      <c r="W14" s="102">
        <f t="shared" si="16"/>
        <v>2030</v>
      </c>
      <c r="Z14" s="84"/>
      <c r="AA14" s="101">
        <f>ano_1</f>
        <v>2026</v>
      </c>
      <c r="AB14" s="101">
        <f>AA14+1</f>
        <v>2027</v>
      </c>
      <c r="AC14" s="101">
        <f t="shared" ref="AC14:AE14" si="17">AB14+1</f>
        <v>2028</v>
      </c>
      <c r="AD14" s="101">
        <f t="shared" si="17"/>
        <v>2029</v>
      </c>
      <c r="AE14" s="102">
        <f t="shared" si="17"/>
        <v>2030</v>
      </c>
      <c r="AH14" s="84"/>
      <c r="AI14" s="101">
        <f>ano_1</f>
        <v>2026</v>
      </c>
      <c r="AJ14" s="101">
        <f>AI14+1</f>
        <v>2027</v>
      </c>
      <c r="AK14" s="101">
        <f t="shared" ref="AK14:AM14" si="18">AJ14+1</f>
        <v>2028</v>
      </c>
      <c r="AL14" s="101">
        <f t="shared" si="18"/>
        <v>2029</v>
      </c>
      <c r="AM14" s="102">
        <f t="shared" si="18"/>
        <v>2030</v>
      </c>
      <c r="AP14" s="84"/>
      <c r="AQ14" s="101">
        <f>ano_1</f>
        <v>2026</v>
      </c>
      <c r="AR14" s="101">
        <f>AQ14+1</f>
        <v>2027</v>
      </c>
      <c r="AS14" s="101">
        <f t="shared" ref="AS14:AU14" si="19">AR14+1</f>
        <v>2028</v>
      </c>
      <c r="AT14" s="101">
        <f t="shared" si="19"/>
        <v>2029</v>
      </c>
      <c r="AU14" s="102">
        <f t="shared" si="19"/>
        <v>2030</v>
      </c>
      <c r="AX14" s="84"/>
      <c r="AY14" s="101">
        <f>ano_1</f>
        <v>2026</v>
      </c>
      <c r="AZ14" s="101">
        <f>AY14+1</f>
        <v>2027</v>
      </c>
      <c r="BA14" s="101">
        <f t="shared" ref="BA14:BC14" si="20">AZ14+1</f>
        <v>2028</v>
      </c>
      <c r="BB14" s="101">
        <f t="shared" si="20"/>
        <v>2029</v>
      </c>
      <c r="BC14" s="102">
        <f t="shared" si="20"/>
        <v>2030</v>
      </c>
      <c r="BF14" s="84"/>
      <c r="BG14" s="101">
        <f>ano_1</f>
        <v>2026</v>
      </c>
      <c r="BH14" s="101">
        <f>BG14+1</f>
        <v>2027</v>
      </c>
      <c r="BI14" s="101">
        <f t="shared" ref="BI14:BK14" si="21">BH14+1</f>
        <v>2028</v>
      </c>
      <c r="BJ14" s="101">
        <f t="shared" si="21"/>
        <v>2029</v>
      </c>
      <c r="BK14" s="102">
        <f t="shared" si="21"/>
        <v>2030</v>
      </c>
      <c r="BN14" s="84"/>
      <c r="BO14" s="101">
        <f>ano_1</f>
        <v>2026</v>
      </c>
      <c r="BP14" s="101">
        <f>BO14+1</f>
        <v>2027</v>
      </c>
      <c r="BQ14" s="101">
        <f t="shared" ref="BQ14:BS14" si="22">BP14+1</f>
        <v>2028</v>
      </c>
      <c r="BR14" s="101">
        <f t="shared" si="22"/>
        <v>2029</v>
      </c>
      <c r="BS14" s="102">
        <f t="shared" si="22"/>
        <v>2030</v>
      </c>
      <c r="BV14" s="84"/>
      <c r="BW14" s="101">
        <f>ano_1</f>
        <v>2026</v>
      </c>
      <c r="BX14" s="101">
        <f>BW14+1</f>
        <v>2027</v>
      </c>
      <c r="BY14" s="101">
        <f t="shared" ref="BY14:CA14" si="23">BX14+1</f>
        <v>2028</v>
      </c>
      <c r="BZ14" s="101">
        <f t="shared" si="23"/>
        <v>2029</v>
      </c>
      <c r="CA14" s="102">
        <f t="shared" si="23"/>
        <v>2030</v>
      </c>
      <c r="CD14" s="84"/>
      <c r="CE14" s="101">
        <f>ano_1</f>
        <v>2026</v>
      </c>
      <c r="CF14" s="101">
        <f>CE14+1</f>
        <v>2027</v>
      </c>
      <c r="CG14" s="101">
        <f t="shared" ref="CG14:CI14" si="24">CF14+1</f>
        <v>2028</v>
      </c>
      <c r="CH14" s="101">
        <f t="shared" si="24"/>
        <v>2029</v>
      </c>
      <c r="CI14" s="102">
        <f t="shared" si="24"/>
        <v>2030</v>
      </c>
      <c r="CL14" s="84"/>
      <c r="CM14" s="101">
        <f>ano_1</f>
        <v>2026</v>
      </c>
      <c r="CN14" s="101">
        <f>CM14+1</f>
        <v>2027</v>
      </c>
      <c r="CO14" s="101">
        <f t="shared" ref="CO14:CQ14" si="25">CN14+1</f>
        <v>2028</v>
      </c>
      <c r="CP14" s="101">
        <f t="shared" si="25"/>
        <v>2029</v>
      </c>
      <c r="CQ14" s="102">
        <f t="shared" si="25"/>
        <v>2030</v>
      </c>
      <c r="CT14" s="84"/>
      <c r="CU14" s="101">
        <f>ano_1</f>
        <v>2026</v>
      </c>
      <c r="CV14" s="101">
        <f>CU14+1</f>
        <v>2027</v>
      </c>
      <c r="CW14" s="101">
        <f t="shared" ref="CW14:CY14" si="26">CV14+1</f>
        <v>2028</v>
      </c>
      <c r="CX14" s="101">
        <f t="shared" si="26"/>
        <v>2029</v>
      </c>
      <c r="CY14" s="102">
        <f t="shared" si="26"/>
        <v>2030</v>
      </c>
      <c r="DB14" s="84"/>
      <c r="DC14" s="101">
        <f>ano_1</f>
        <v>2026</v>
      </c>
      <c r="DD14" s="101">
        <f>DC14+1</f>
        <v>2027</v>
      </c>
      <c r="DE14" s="101">
        <f t="shared" ref="DE14:DG14" si="27">DD14+1</f>
        <v>2028</v>
      </c>
      <c r="DF14" s="101">
        <f t="shared" si="27"/>
        <v>2029</v>
      </c>
      <c r="DG14" s="102">
        <f t="shared" si="27"/>
        <v>2030</v>
      </c>
    </row>
    <row r="15" spans="2:113" ht="15" thickBot="1">
      <c r="B15" s="386" t="s">
        <v>335</v>
      </c>
      <c r="C15" s="315">
        <f>C$7*'Mkt share'!$C22</f>
        <v>0</v>
      </c>
      <c r="D15" s="315">
        <f>D$7*'Mkt share'!$C22</f>
        <v>0</v>
      </c>
      <c r="E15" s="315">
        <f>E$7*'Mkt share'!$C22</f>
        <v>0</v>
      </c>
      <c r="F15" s="315">
        <f>F$7*'Mkt share'!$C22</f>
        <v>0</v>
      </c>
      <c r="G15" s="387">
        <f>G$7*'Mkt share'!$C22</f>
        <v>0</v>
      </c>
      <c r="J15" s="386" t="str">
        <f>B15</f>
        <v>Cohort on treat.</v>
      </c>
      <c r="K15" s="315">
        <f>K$7*'Mkt share'!C23</f>
        <v>0</v>
      </c>
      <c r="L15" s="315">
        <f>L$7*'Mkt share'!D23</f>
        <v>0</v>
      </c>
      <c r="M15" s="315">
        <f>M$7*'Mkt share'!E23</f>
        <v>0</v>
      </c>
      <c r="N15" s="315">
        <f>N$7*'Mkt share'!F23</f>
        <v>0</v>
      </c>
      <c r="O15" s="387">
        <f>O$7*'Mkt share'!G23</f>
        <v>0</v>
      </c>
      <c r="R15" s="386" t="str">
        <f>B15</f>
        <v>Cohort on treat.</v>
      </c>
      <c r="S15" s="315">
        <f>S$7*'Mkt share'!C24</f>
        <v>0</v>
      </c>
      <c r="T15" s="315">
        <f>T$7*'Mkt share'!D24</f>
        <v>0</v>
      </c>
      <c r="U15" s="315">
        <f>U$7*'Mkt share'!E24</f>
        <v>0</v>
      </c>
      <c r="V15" s="315">
        <f>V$7*'Mkt share'!F24</f>
        <v>0</v>
      </c>
      <c r="W15" s="387">
        <f>W$7*'Mkt share'!G24</f>
        <v>0</v>
      </c>
      <c r="Z15" s="386" t="str">
        <f>J15</f>
        <v>Cohort on treat.</v>
      </c>
      <c r="AA15" s="315">
        <f>AA$7*'Mkt share'!C25</f>
        <v>0</v>
      </c>
      <c r="AB15" s="315">
        <f>AB$7*'Mkt share'!D25</f>
        <v>0</v>
      </c>
      <c r="AC15" s="315">
        <f>AC$7*'Mkt share'!E25</f>
        <v>0</v>
      </c>
      <c r="AD15" s="315">
        <f>AD$7*'Mkt share'!F25</f>
        <v>0</v>
      </c>
      <c r="AE15" s="387">
        <f>AE$7*'Mkt share'!G25</f>
        <v>0</v>
      </c>
      <c r="AH15" s="386" t="str">
        <f>R15</f>
        <v>Cohort on treat.</v>
      </c>
      <c r="AI15" s="315">
        <f>AI$7*'Mkt share'!C26</f>
        <v>311080.53998220514</v>
      </c>
      <c r="AJ15" s="315">
        <f>AJ$7*'Mkt share'!D26</f>
        <v>309959.50471967034</v>
      </c>
      <c r="AK15" s="315">
        <f>AK$7*'Mkt share'!E26</f>
        <v>308747.1600436939</v>
      </c>
      <c r="AL15" s="315">
        <f>AL$7*'Mkt share'!F26</f>
        <v>307292.69308336981</v>
      </c>
      <c r="AM15" s="387">
        <f>AM$7*'Mkt share'!G26</f>
        <v>305462.50005901721</v>
      </c>
      <c r="AP15" s="386" t="s">
        <v>335</v>
      </c>
      <c r="AQ15" s="315">
        <f>AQ$7*'Mkt share'!C27</f>
        <v>0</v>
      </c>
      <c r="AR15" s="315">
        <f>AR$7*'Mkt share'!D27</f>
        <v>0</v>
      </c>
      <c r="AS15" s="315">
        <f>AS$7*'Mkt share'!E27</f>
        <v>0</v>
      </c>
      <c r="AT15" s="315">
        <f>AT$7*'Mkt share'!F27</f>
        <v>0</v>
      </c>
      <c r="AU15" s="387">
        <f>AU$7*'Mkt share'!G27</f>
        <v>0</v>
      </c>
      <c r="AX15" s="386" t="s">
        <v>335</v>
      </c>
      <c r="AY15" s="315">
        <f>AY$7*'Mkt share'!C28</f>
        <v>0</v>
      </c>
      <c r="AZ15" s="315">
        <f>AZ$7*'Mkt share'!D28</f>
        <v>0</v>
      </c>
      <c r="BA15" s="315">
        <f>BA$7*'Mkt share'!E28</f>
        <v>0</v>
      </c>
      <c r="BB15" s="315">
        <f>BB$7*'Mkt share'!F28</f>
        <v>0</v>
      </c>
      <c r="BC15" s="387">
        <f>BC$7*'Mkt share'!G28</f>
        <v>0</v>
      </c>
      <c r="BF15" s="386" t="s">
        <v>335</v>
      </c>
      <c r="BG15" s="315">
        <f>BG$7*'Mkt share'!C29</f>
        <v>0</v>
      </c>
      <c r="BH15" s="315">
        <f>BH$7*'Mkt share'!D29</f>
        <v>0</v>
      </c>
      <c r="BI15" s="315">
        <f>BI$7*'Mkt share'!E29</f>
        <v>0</v>
      </c>
      <c r="BJ15" s="315">
        <f>BJ$7*'Mkt share'!F29</f>
        <v>0</v>
      </c>
      <c r="BK15" s="387">
        <f>BK$7*'Mkt share'!G29</f>
        <v>0</v>
      </c>
      <c r="BN15" s="386" t="s">
        <v>335</v>
      </c>
      <c r="BO15" s="315">
        <f>BO$7*'Mkt share'!C30</f>
        <v>0</v>
      </c>
      <c r="BP15" s="315">
        <f>BP$7*'Mkt share'!D30</f>
        <v>0</v>
      </c>
      <c r="BQ15" s="315">
        <f>BQ$7*'Mkt share'!E30</f>
        <v>0</v>
      </c>
      <c r="BR15" s="315">
        <f>BR$7*'Mkt share'!F30</f>
        <v>0</v>
      </c>
      <c r="BS15" s="387">
        <f>BS$7*'Mkt share'!G30</f>
        <v>0</v>
      </c>
      <c r="BV15" s="386" t="s">
        <v>335</v>
      </c>
      <c r="BW15" s="315">
        <f>BW$7*'Mkt share'!C31</f>
        <v>0</v>
      </c>
      <c r="BX15" s="315">
        <f>BX$7*'Mkt share'!D31</f>
        <v>0</v>
      </c>
      <c r="BY15" s="315">
        <f>BY$7*'Mkt share'!E31</f>
        <v>0</v>
      </c>
      <c r="BZ15" s="315">
        <f>BZ$7*'Mkt share'!F31</f>
        <v>0</v>
      </c>
      <c r="CA15" s="387">
        <f>CA$7*'Mkt share'!G31</f>
        <v>0</v>
      </c>
      <c r="CD15" s="386" t="s">
        <v>335</v>
      </c>
      <c r="CE15" s="315">
        <f>CE$7*'Mkt share'!C32</f>
        <v>0</v>
      </c>
      <c r="CF15" s="315">
        <f>CF$7*'Mkt share'!D32</f>
        <v>0</v>
      </c>
      <c r="CG15" s="315">
        <f>CG$7*'Mkt share'!E32</f>
        <v>0</v>
      </c>
      <c r="CH15" s="315">
        <f>CH$7*'Mkt share'!F32</f>
        <v>0</v>
      </c>
      <c r="CI15" s="387">
        <f>CI$7*'Mkt share'!G32</f>
        <v>0</v>
      </c>
      <c r="CL15" s="386" t="s">
        <v>335</v>
      </c>
      <c r="CM15" s="315">
        <f>CM$7*'Mkt share'!C33</f>
        <v>0</v>
      </c>
      <c r="CN15" s="315">
        <f>CN$7*'Mkt share'!D33</f>
        <v>0</v>
      </c>
      <c r="CO15" s="315">
        <f>CO$7*'Mkt share'!E33</f>
        <v>0</v>
      </c>
      <c r="CP15" s="315">
        <f>CP$7*'Mkt share'!F33</f>
        <v>0</v>
      </c>
      <c r="CQ15" s="387">
        <f>CQ$7*'Mkt share'!G33</f>
        <v>0</v>
      </c>
      <c r="CT15" s="386" t="s">
        <v>335</v>
      </c>
      <c r="CU15" s="315">
        <f>CU$7*'Mkt share'!C34</f>
        <v>0</v>
      </c>
      <c r="CV15" s="315">
        <f>CV$7*'Mkt share'!D34</f>
        <v>0</v>
      </c>
      <c r="CW15" s="315">
        <f>CW$7*'Mkt share'!E34</f>
        <v>0</v>
      </c>
      <c r="CX15" s="315">
        <f>CX$7*'Mkt share'!F34</f>
        <v>0</v>
      </c>
      <c r="CY15" s="387">
        <f>CY$7*'Mkt share'!G34</f>
        <v>0</v>
      </c>
      <c r="DB15" s="386" t="s">
        <v>335</v>
      </c>
      <c r="DC15" s="315">
        <f>DC$7*'Mkt share'!C35</f>
        <v>0</v>
      </c>
      <c r="DD15" s="315">
        <f>DD$7*'Mkt share'!D35</f>
        <v>0</v>
      </c>
      <c r="DE15" s="315">
        <f>DE$7*'Mkt share'!E35</f>
        <v>0</v>
      </c>
      <c r="DF15" s="315">
        <f>DF$7*'Mkt share'!F35</f>
        <v>0</v>
      </c>
      <c r="DG15" s="387">
        <f>DG$7*'Mkt share'!G35</f>
        <v>0</v>
      </c>
    </row>
    <row r="16" spans="2:113" ht="15" thickBot="1">
      <c r="B16" s="80"/>
      <c r="C16" s="92"/>
      <c r="D16" s="92"/>
      <c r="E16" s="92"/>
      <c r="F16" s="92"/>
      <c r="G16" s="92"/>
      <c r="J16" s="80"/>
      <c r="K16" s="92"/>
      <c r="L16" s="92"/>
      <c r="M16" s="92"/>
      <c r="N16" s="92"/>
      <c r="O16" s="92"/>
      <c r="R16" s="80"/>
      <c r="S16" s="92"/>
      <c r="T16" s="92"/>
      <c r="U16" s="92"/>
      <c r="V16" s="92"/>
      <c r="W16" s="92"/>
      <c r="Z16" s="80"/>
      <c r="AA16" s="92"/>
      <c r="AB16" s="92"/>
      <c r="AC16" s="92"/>
      <c r="AD16" s="92"/>
      <c r="AE16" s="92"/>
      <c r="AH16" s="80"/>
      <c r="AI16" s="92"/>
      <c r="AJ16" s="92"/>
      <c r="AK16" s="92"/>
      <c r="AL16" s="92"/>
      <c r="AM16" s="92"/>
      <c r="AP16" s="80"/>
      <c r="AQ16" s="92"/>
      <c r="AR16" s="92"/>
      <c r="AS16" s="92"/>
      <c r="AT16" s="92"/>
      <c r="AU16" s="92"/>
      <c r="AX16" s="80"/>
      <c r="AY16" s="92"/>
      <c r="AZ16" s="92"/>
      <c r="BA16" s="92"/>
      <c r="BB16" s="92"/>
      <c r="BC16" s="92"/>
      <c r="BF16" s="80"/>
      <c r="BG16" s="92"/>
      <c r="BH16" s="92"/>
      <c r="BI16" s="92"/>
      <c r="BJ16" s="92"/>
      <c r="BK16" s="92"/>
      <c r="BN16" s="80"/>
      <c r="BO16" s="92"/>
      <c r="BP16" s="92"/>
      <c r="BQ16" s="92"/>
      <c r="BR16" s="92"/>
      <c r="BS16" s="92"/>
      <c r="BV16" s="80"/>
      <c r="BW16" s="92"/>
      <c r="BX16" s="92"/>
      <c r="BY16" s="92"/>
      <c r="BZ16" s="92"/>
      <c r="CA16" s="92"/>
      <c r="CD16" s="80"/>
      <c r="CE16" s="92"/>
      <c r="CF16" s="92"/>
      <c r="CG16" s="92"/>
      <c r="CH16" s="92"/>
      <c r="CI16" s="92"/>
      <c r="CL16" s="80"/>
      <c r="CM16" s="92"/>
      <c r="CN16" s="92"/>
      <c r="CO16" s="92"/>
      <c r="CP16" s="92"/>
      <c r="CQ16" s="92"/>
      <c r="CT16" s="80"/>
      <c r="CU16" s="92"/>
      <c r="CV16" s="92"/>
      <c r="CW16" s="92"/>
      <c r="CX16" s="92"/>
      <c r="CY16" s="92"/>
      <c r="DB16" s="80"/>
      <c r="DC16" s="92"/>
      <c r="DD16" s="92"/>
      <c r="DE16" s="92"/>
      <c r="DF16" s="92"/>
      <c r="DG16" s="92"/>
    </row>
    <row r="17" spans="2:113" ht="15" thickBot="1">
      <c r="B17" s="507" t="str">
        <f>cen_prop1</f>
        <v>With IUD-LNG 5-25%</v>
      </c>
      <c r="C17" s="508"/>
      <c r="D17" s="508"/>
      <c r="E17" s="508"/>
      <c r="F17" s="508"/>
      <c r="G17" s="509"/>
      <c r="J17" s="507" t="str">
        <f>cen_prop1</f>
        <v>With IUD-LNG 5-25%</v>
      </c>
      <c r="K17" s="508"/>
      <c r="L17" s="508"/>
      <c r="M17" s="508"/>
      <c r="N17" s="508"/>
      <c r="O17" s="509"/>
      <c r="R17" s="507" t="str">
        <f>cen_prop1</f>
        <v>With IUD-LNG 5-25%</v>
      </c>
      <c r="S17" s="508"/>
      <c r="T17" s="508"/>
      <c r="U17" s="508"/>
      <c r="V17" s="508"/>
      <c r="W17" s="509"/>
      <c r="Z17" s="507" t="str">
        <f>cen_prop1</f>
        <v>With IUD-LNG 5-25%</v>
      </c>
      <c r="AA17" s="508"/>
      <c r="AB17" s="508"/>
      <c r="AC17" s="508"/>
      <c r="AD17" s="508"/>
      <c r="AE17" s="509"/>
      <c r="AH17" s="507" t="str">
        <f>cen_prop1</f>
        <v>With IUD-LNG 5-25%</v>
      </c>
      <c r="AI17" s="508"/>
      <c r="AJ17" s="508"/>
      <c r="AK17" s="508"/>
      <c r="AL17" s="508"/>
      <c r="AM17" s="509"/>
      <c r="AP17" s="507" t="str">
        <f>cen_prop1</f>
        <v>With IUD-LNG 5-25%</v>
      </c>
      <c r="AQ17" s="508"/>
      <c r="AR17" s="508"/>
      <c r="AS17" s="508"/>
      <c r="AT17" s="508"/>
      <c r="AU17" s="509"/>
      <c r="AX17" s="507" t="str">
        <f>cen_prop1</f>
        <v>With IUD-LNG 5-25%</v>
      </c>
      <c r="AY17" s="508"/>
      <c r="AZ17" s="508"/>
      <c r="BA17" s="508"/>
      <c r="BB17" s="508"/>
      <c r="BC17" s="509"/>
      <c r="BF17" s="507" t="str">
        <f>cen_prop1</f>
        <v>With IUD-LNG 5-25%</v>
      </c>
      <c r="BG17" s="508"/>
      <c r="BH17" s="508"/>
      <c r="BI17" s="508"/>
      <c r="BJ17" s="508"/>
      <c r="BK17" s="509"/>
      <c r="BN17" s="507" t="str">
        <f>cen_prop1</f>
        <v>With IUD-LNG 5-25%</v>
      </c>
      <c r="BO17" s="508"/>
      <c r="BP17" s="508"/>
      <c r="BQ17" s="508"/>
      <c r="BR17" s="508"/>
      <c r="BS17" s="509"/>
      <c r="BV17" s="507" t="str">
        <f>cen_prop1</f>
        <v>With IUD-LNG 5-25%</v>
      </c>
      <c r="BW17" s="508"/>
      <c r="BX17" s="508"/>
      <c r="BY17" s="508"/>
      <c r="BZ17" s="508"/>
      <c r="CA17" s="509"/>
      <c r="CD17" s="507" t="str">
        <f>cen_prop1</f>
        <v>With IUD-LNG 5-25%</v>
      </c>
      <c r="CE17" s="508"/>
      <c r="CF17" s="508"/>
      <c r="CG17" s="508"/>
      <c r="CH17" s="508"/>
      <c r="CI17" s="509"/>
      <c r="CL17" s="507" t="str">
        <f>cen_prop1</f>
        <v>With IUD-LNG 5-25%</v>
      </c>
      <c r="CM17" s="508"/>
      <c r="CN17" s="508"/>
      <c r="CO17" s="508"/>
      <c r="CP17" s="508"/>
      <c r="CQ17" s="509"/>
      <c r="CT17" s="507" t="str">
        <f>cen_prop1</f>
        <v>With IUD-LNG 5-25%</v>
      </c>
      <c r="CU17" s="508"/>
      <c r="CV17" s="508"/>
      <c r="CW17" s="508"/>
      <c r="CX17" s="508"/>
      <c r="CY17" s="509"/>
      <c r="DB17" s="507" t="str">
        <f>cen_prop1</f>
        <v>With IUD-LNG 5-25%</v>
      </c>
      <c r="DC17" s="508"/>
      <c r="DD17" s="508"/>
      <c r="DE17" s="508"/>
      <c r="DF17" s="508"/>
      <c r="DG17" s="509"/>
    </row>
    <row r="18" spans="2:113">
      <c r="B18" s="84"/>
      <c r="C18" s="101">
        <f>ano_1</f>
        <v>2026</v>
      </c>
      <c r="D18" s="101">
        <f>C18+1</f>
        <v>2027</v>
      </c>
      <c r="E18" s="101">
        <f t="shared" ref="E18:G18" si="28">D18+1</f>
        <v>2028</v>
      </c>
      <c r="F18" s="101">
        <f t="shared" si="28"/>
        <v>2029</v>
      </c>
      <c r="G18" s="102">
        <f t="shared" si="28"/>
        <v>2030</v>
      </c>
      <c r="J18" s="84"/>
      <c r="K18" s="101">
        <f>ano_1</f>
        <v>2026</v>
      </c>
      <c r="L18" s="101">
        <f>K18+1</f>
        <v>2027</v>
      </c>
      <c r="M18" s="101">
        <f t="shared" ref="M18:O18" si="29">L18+1</f>
        <v>2028</v>
      </c>
      <c r="N18" s="101">
        <f t="shared" si="29"/>
        <v>2029</v>
      </c>
      <c r="O18" s="102">
        <f t="shared" si="29"/>
        <v>2030</v>
      </c>
      <c r="R18" s="84"/>
      <c r="S18" s="101">
        <f>ano_1</f>
        <v>2026</v>
      </c>
      <c r="T18" s="101">
        <f>S18+1</f>
        <v>2027</v>
      </c>
      <c r="U18" s="101">
        <f t="shared" ref="U18:W18" si="30">T18+1</f>
        <v>2028</v>
      </c>
      <c r="V18" s="101">
        <f t="shared" si="30"/>
        <v>2029</v>
      </c>
      <c r="W18" s="102">
        <f t="shared" si="30"/>
        <v>2030</v>
      </c>
      <c r="Z18" s="84"/>
      <c r="AA18" s="101">
        <f>ano_1</f>
        <v>2026</v>
      </c>
      <c r="AB18" s="101">
        <f>AA18+1</f>
        <v>2027</v>
      </c>
      <c r="AC18" s="101">
        <f t="shared" ref="AC18:AE18" si="31">AB18+1</f>
        <v>2028</v>
      </c>
      <c r="AD18" s="101">
        <f t="shared" si="31"/>
        <v>2029</v>
      </c>
      <c r="AE18" s="102">
        <f t="shared" si="31"/>
        <v>2030</v>
      </c>
      <c r="AH18" s="84"/>
      <c r="AI18" s="101">
        <f>ano_1</f>
        <v>2026</v>
      </c>
      <c r="AJ18" s="101">
        <f>AI18+1</f>
        <v>2027</v>
      </c>
      <c r="AK18" s="101">
        <f t="shared" ref="AK18:AM18" si="32">AJ18+1</f>
        <v>2028</v>
      </c>
      <c r="AL18" s="101">
        <f t="shared" si="32"/>
        <v>2029</v>
      </c>
      <c r="AM18" s="102">
        <f t="shared" si="32"/>
        <v>2030</v>
      </c>
      <c r="AP18" s="84"/>
      <c r="AQ18" s="101">
        <f>ano_1</f>
        <v>2026</v>
      </c>
      <c r="AR18" s="101">
        <f>AQ18+1</f>
        <v>2027</v>
      </c>
      <c r="AS18" s="101">
        <f t="shared" ref="AS18:AU18" si="33">AR18+1</f>
        <v>2028</v>
      </c>
      <c r="AT18" s="101">
        <f t="shared" si="33"/>
        <v>2029</v>
      </c>
      <c r="AU18" s="102">
        <f t="shared" si="33"/>
        <v>2030</v>
      </c>
      <c r="AX18" s="84"/>
      <c r="AY18" s="101">
        <f>ano_1</f>
        <v>2026</v>
      </c>
      <c r="AZ18" s="101">
        <f>AY18+1</f>
        <v>2027</v>
      </c>
      <c r="BA18" s="101">
        <f t="shared" ref="BA18:BC18" si="34">AZ18+1</f>
        <v>2028</v>
      </c>
      <c r="BB18" s="101">
        <f t="shared" si="34"/>
        <v>2029</v>
      </c>
      <c r="BC18" s="102">
        <f t="shared" si="34"/>
        <v>2030</v>
      </c>
      <c r="BF18" s="84"/>
      <c r="BG18" s="101">
        <f>ano_1</f>
        <v>2026</v>
      </c>
      <c r="BH18" s="101">
        <f>BG18+1</f>
        <v>2027</v>
      </c>
      <c r="BI18" s="101">
        <f t="shared" ref="BI18:BK18" si="35">BH18+1</f>
        <v>2028</v>
      </c>
      <c r="BJ18" s="101">
        <f t="shared" si="35"/>
        <v>2029</v>
      </c>
      <c r="BK18" s="102">
        <f t="shared" si="35"/>
        <v>2030</v>
      </c>
      <c r="BN18" s="84"/>
      <c r="BO18" s="101">
        <f>ano_1</f>
        <v>2026</v>
      </c>
      <c r="BP18" s="101">
        <f>BO18+1</f>
        <v>2027</v>
      </c>
      <c r="BQ18" s="101">
        <f t="shared" ref="BQ18:BS18" si="36">BP18+1</f>
        <v>2028</v>
      </c>
      <c r="BR18" s="101">
        <f t="shared" si="36"/>
        <v>2029</v>
      </c>
      <c r="BS18" s="102">
        <f t="shared" si="36"/>
        <v>2030</v>
      </c>
      <c r="BV18" s="84"/>
      <c r="BW18" s="101">
        <f>ano_1</f>
        <v>2026</v>
      </c>
      <c r="BX18" s="101">
        <f>BW18+1</f>
        <v>2027</v>
      </c>
      <c r="BY18" s="101">
        <f t="shared" ref="BY18:CA18" si="37">BX18+1</f>
        <v>2028</v>
      </c>
      <c r="BZ18" s="101">
        <f t="shared" si="37"/>
        <v>2029</v>
      </c>
      <c r="CA18" s="102">
        <f t="shared" si="37"/>
        <v>2030</v>
      </c>
      <c r="CD18" s="84"/>
      <c r="CE18" s="101">
        <f>ano_1</f>
        <v>2026</v>
      </c>
      <c r="CF18" s="101">
        <f>CE18+1</f>
        <v>2027</v>
      </c>
      <c r="CG18" s="101">
        <f t="shared" ref="CG18:CI18" si="38">CF18+1</f>
        <v>2028</v>
      </c>
      <c r="CH18" s="101">
        <f t="shared" si="38"/>
        <v>2029</v>
      </c>
      <c r="CI18" s="102">
        <f t="shared" si="38"/>
        <v>2030</v>
      </c>
      <c r="CL18" s="84"/>
      <c r="CM18" s="101">
        <f>ano_1</f>
        <v>2026</v>
      </c>
      <c r="CN18" s="101">
        <f>CM18+1</f>
        <v>2027</v>
      </c>
      <c r="CO18" s="101">
        <f t="shared" ref="CO18:CQ18" si="39">CN18+1</f>
        <v>2028</v>
      </c>
      <c r="CP18" s="101">
        <f t="shared" si="39"/>
        <v>2029</v>
      </c>
      <c r="CQ18" s="102">
        <f t="shared" si="39"/>
        <v>2030</v>
      </c>
      <c r="CT18" s="84"/>
      <c r="CU18" s="101">
        <f>ano_1</f>
        <v>2026</v>
      </c>
      <c r="CV18" s="101">
        <f>CU18+1</f>
        <v>2027</v>
      </c>
      <c r="CW18" s="101">
        <f t="shared" ref="CW18:CY18" si="40">CV18+1</f>
        <v>2028</v>
      </c>
      <c r="CX18" s="101">
        <f t="shared" si="40"/>
        <v>2029</v>
      </c>
      <c r="CY18" s="102">
        <f t="shared" si="40"/>
        <v>2030</v>
      </c>
      <c r="DB18" s="84"/>
      <c r="DC18" s="101">
        <f>ano_1</f>
        <v>2026</v>
      </c>
      <c r="DD18" s="101">
        <f>DC18+1</f>
        <v>2027</v>
      </c>
      <c r="DE18" s="101">
        <f t="shared" ref="DE18:DG18" si="41">DD18+1</f>
        <v>2028</v>
      </c>
      <c r="DF18" s="101">
        <f t="shared" si="41"/>
        <v>2029</v>
      </c>
      <c r="DG18" s="102">
        <f t="shared" si="41"/>
        <v>2030</v>
      </c>
    </row>
    <row r="19" spans="2:113" ht="15" thickBot="1">
      <c r="B19" s="386" t="s">
        <v>335</v>
      </c>
      <c r="C19" s="315">
        <f>C$7*'Mkt share'!$C$42</f>
        <v>15554.026999110258</v>
      </c>
      <c r="D19" s="315">
        <f>D$7*'Mkt share'!$D$42</f>
        <v>30995.950471967037</v>
      </c>
      <c r="E19" s="315">
        <f>E$7*'Mkt share'!$E$42</f>
        <v>46312.074006554081</v>
      </c>
      <c r="F19" s="315">
        <f>F$7*'Mkt share'!$F$42</f>
        <v>61458.538616673963</v>
      </c>
      <c r="G19" s="387">
        <f>G$7*'Mkt share'!$G$42</f>
        <v>76365.625014754303</v>
      </c>
      <c r="J19" s="386" t="s">
        <v>335</v>
      </c>
      <c r="K19" s="315">
        <f>K$7*'Mkt share'!$C$43</f>
        <v>0</v>
      </c>
      <c r="L19" s="315">
        <f>L$7*'Mkt share'!$D$43</f>
        <v>0</v>
      </c>
      <c r="M19" s="315">
        <f>M$7*'Mkt share'!$E$43</f>
        <v>0</v>
      </c>
      <c r="N19" s="315">
        <f>N$7*'Mkt share'!$F$43</f>
        <v>0</v>
      </c>
      <c r="O19" s="387">
        <f>O$7*'Mkt share'!$G$43</f>
        <v>0</v>
      </c>
      <c r="R19" s="386" t="s">
        <v>335</v>
      </c>
      <c r="S19" s="315">
        <f>S$7*'Mkt share'!$C$44</f>
        <v>0</v>
      </c>
      <c r="T19" s="315">
        <f>T$7*'Mkt share'!$D$44</f>
        <v>0</v>
      </c>
      <c r="U19" s="315">
        <f>U$7*'Mkt share'!$E$44</f>
        <v>0</v>
      </c>
      <c r="V19" s="315">
        <f>V$7*'Mkt share'!$F$44</f>
        <v>0</v>
      </c>
      <c r="W19" s="387">
        <f>W$7*'Mkt share'!$G$44</f>
        <v>0</v>
      </c>
      <c r="Z19" s="386" t="s">
        <v>335</v>
      </c>
      <c r="AA19" s="315">
        <f>AA$7*'Mkt share'!$C$45</f>
        <v>0</v>
      </c>
      <c r="AB19" s="315">
        <f>AB$7*'Mkt share'!$D$45</f>
        <v>0</v>
      </c>
      <c r="AC19" s="315">
        <f>AC$7*'Mkt share'!$E$45</f>
        <v>0</v>
      </c>
      <c r="AD19" s="315">
        <f>AD$7*'Mkt share'!$F$45</f>
        <v>0</v>
      </c>
      <c r="AE19" s="387">
        <f>AE$7*'Mkt share'!$G$45</f>
        <v>0</v>
      </c>
      <c r="AH19" s="386" t="s">
        <v>335</v>
      </c>
      <c r="AI19" s="315">
        <f>AI$7*'Mkt share'!$C$46</f>
        <v>295526.51298309484</v>
      </c>
      <c r="AJ19" s="315">
        <f>AJ$7*'Mkt share'!$D$46</f>
        <v>278963.55424770329</v>
      </c>
      <c r="AK19" s="315">
        <f>AK$7*'Mkt share'!$E$46</f>
        <v>262435.08603713982</v>
      </c>
      <c r="AL19" s="315">
        <f>AL$7*'Mkt share'!$F$46</f>
        <v>245834.15446669585</v>
      </c>
      <c r="AM19" s="387">
        <f>AM$7*'Mkt share'!$G$46</f>
        <v>229096.87504426291</v>
      </c>
      <c r="AP19" s="386" t="s">
        <v>335</v>
      </c>
      <c r="AQ19" s="315">
        <f>AQ$7*'Mkt share'!$C$47</f>
        <v>0</v>
      </c>
      <c r="AR19" s="315">
        <f>AR$7*'Mkt share'!$D$47</f>
        <v>0</v>
      </c>
      <c r="AS19" s="315">
        <f>AS$7*'Mkt share'!$E$47</f>
        <v>0</v>
      </c>
      <c r="AT19" s="315">
        <f>AT$7*'Mkt share'!$F$47</f>
        <v>0</v>
      </c>
      <c r="AU19" s="387">
        <f>AU$7*'Mkt share'!$G$47</f>
        <v>0</v>
      </c>
      <c r="AX19" s="386" t="s">
        <v>335</v>
      </c>
      <c r="AY19" s="315">
        <f>AY$7*'Mkt share'!$C$48</f>
        <v>0</v>
      </c>
      <c r="AZ19" s="315">
        <f>AZ$7*'Mkt share'!$D$48</f>
        <v>0</v>
      </c>
      <c r="BA19" s="315">
        <f>BA$7*'Mkt share'!$E$48</f>
        <v>0</v>
      </c>
      <c r="BB19" s="315">
        <f>BB$7*'Mkt share'!$F$48</f>
        <v>0</v>
      </c>
      <c r="BC19" s="387">
        <f>BC$7*'Mkt share'!$G$48</f>
        <v>0</v>
      </c>
      <c r="BF19" s="386" t="s">
        <v>335</v>
      </c>
      <c r="BG19" s="315">
        <f>BG$7*'Mkt share'!$C$49</f>
        <v>0</v>
      </c>
      <c r="BH19" s="315">
        <f>BH$7*'Mkt share'!$D$49</f>
        <v>0</v>
      </c>
      <c r="BI19" s="315">
        <f>BI$7*'Mkt share'!$E$49</f>
        <v>0</v>
      </c>
      <c r="BJ19" s="315">
        <f>BJ$7*'Mkt share'!$F$49</f>
        <v>0</v>
      </c>
      <c r="BK19" s="387">
        <f>BK$7*'Mkt share'!$G$49</f>
        <v>0</v>
      </c>
      <c r="BN19" s="386" t="s">
        <v>335</v>
      </c>
      <c r="BO19" s="315">
        <f>BO$7*'Mkt share'!$C$50</f>
        <v>0</v>
      </c>
      <c r="BP19" s="315">
        <f>BP$7*'Mkt share'!$D$50</f>
        <v>0</v>
      </c>
      <c r="BQ19" s="315">
        <f>BQ$7*'Mkt share'!$E$50</f>
        <v>0</v>
      </c>
      <c r="BR19" s="315">
        <f>BR$7*'Mkt share'!$F$50</f>
        <v>0</v>
      </c>
      <c r="BS19" s="387">
        <f>BS$7*'Mkt share'!$G$50</f>
        <v>0</v>
      </c>
      <c r="BV19" s="386" t="s">
        <v>335</v>
      </c>
      <c r="BW19" s="315">
        <f>BW$7*'Mkt share'!$C$51</f>
        <v>0</v>
      </c>
      <c r="BX19" s="315">
        <f>BX$7*'Mkt share'!$D$51</f>
        <v>0</v>
      </c>
      <c r="BY19" s="315">
        <f>BY$7*'Mkt share'!$E$51</f>
        <v>0</v>
      </c>
      <c r="BZ19" s="315">
        <f>BZ$7*'Mkt share'!$F$51</f>
        <v>0</v>
      </c>
      <c r="CA19" s="387">
        <f>CA$7*'Mkt share'!$G$51</f>
        <v>0</v>
      </c>
      <c r="CD19" s="386" t="s">
        <v>335</v>
      </c>
      <c r="CE19" s="315">
        <f>CE$7*'Mkt share'!$C$52</f>
        <v>0</v>
      </c>
      <c r="CF19" s="315">
        <f>CF$7*'Mkt share'!$D$52</f>
        <v>0</v>
      </c>
      <c r="CG19" s="315">
        <f>CG$7*'Mkt share'!$E$52</f>
        <v>0</v>
      </c>
      <c r="CH19" s="315">
        <f>CH$7*'Mkt share'!$F$52</f>
        <v>0</v>
      </c>
      <c r="CI19" s="387">
        <f>CI$7*'Mkt share'!$G$52</f>
        <v>0</v>
      </c>
      <c r="CL19" s="386" t="s">
        <v>335</v>
      </c>
      <c r="CM19" s="315">
        <f>CM$7*'Mkt share'!$C$53</f>
        <v>0</v>
      </c>
      <c r="CN19" s="315">
        <f>CN$7*'Mkt share'!$D$53</f>
        <v>0</v>
      </c>
      <c r="CO19" s="315">
        <f>CO$7*'Mkt share'!$E$53</f>
        <v>0</v>
      </c>
      <c r="CP19" s="315">
        <f>CP$7*'Mkt share'!$F$53</f>
        <v>0</v>
      </c>
      <c r="CQ19" s="387">
        <f>CQ$7*'Mkt share'!$G$53</f>
        <v>0</v>
      </c>
      <c r="CT19" s="386" t="s">
        <v>335</v>
      </c>
      <c r="CU19" s="315">
        <f>CU$7*'Mkt share'!$C$54</f>
        <v>0</v>
      </c>
      <c r="CV19" s="315">
        <f>CV$7*'Mkt share'!$D$54</f>
        <v>0</v>
      </c>
      <c r="CW19" s="315">
        <f>CW$7*'Mkt share'!$E$54</f>
        <v>0</v>
      </c>
      <c r="CX19" s="315">
        <f>CX$7*'Mkt share'!$F$54</f>
        <v>0</v>
      </c>
      <c r="CY19" s="387">
        <f>CY$7*'Mkt share'!$G$54</f>
        <v>0</v>
      </c>
      <c r="DB19" s="386" t="s">
        <v>335</v>
      </c>
      <c r="DC19" s="315">
        <f>DC$7*'Mkt share'!$C$55</f>
        <v>0</v>
      </c>
      <c r="DD19" s="315">
        <f>DD$7*'Mkt share'!$D$55</f>
        <v>0</v>
      </c>
      <c r="DE19" s="315">
        <f>DE$7*'Mkt share'!$E$55</f>
        <v>0</v>
      </c>
      <c r="DF19" s="315">
        <f>DF$7*'Mkt share'!$F$55</f>
        <v>0</v>
      </c>
      <c r="DG19" s="387">
        <f>DG$7*'Mkt share'!$G$55</f>
        <v>0</v>
      </c>
    </row>
    <row r="20" spans="2:113" ht="15" thickBot="1">
      <c r="B20" s="80"/>
      <c r="C20" s="92"/>
      <c r="D20" s="92"/>
      <c r="E20" s="92"/>
      <c r="F20" s="92"/>
      <c r="G20" s="92"/>
      <c r="J20" s="80"/>
      <c r="K20" s="92"/>
      <c r="L20" s="92"/>
      <c r="M20" s="92"/>
      <c r="N20" s="92"/>
      <c r="O20" s="92"/>
      <c r="R20" s="80"/>
      <c r="S20" s="92"/>
      <c r="T20" s="92"/>
      <c r="U20" s="92"/>
      <c r="V20" s="92"/>
      <c r="W20" s="92"/>
      <c r="Z20" s="80"/>
      <c r="AA20" s="92"/>
      <c r="AB20" s="92"/>
      <c r="AC20" s="92"/>
      <c r="AD20" s="92"/>
      <c r="AE20" s="92"/>
      <c r="AH20" s="80"/>
      <c r="AI20" s="92"/>
      <c r="AJ20" s="92"/>
      <c r="AK20" s="92"/>
      <c r="AL20" s="92"/>
      <c r="AM20" s="92"/>
      <c r="AP20" s="80"/>
      <c r="AQ20" s="92"/>
      <c r="AR20" s="92"/>
      <c r="AS20" s="92"/>
      <c r="AT20" s="92"/>
      <c r="AU20" s="92"/>
      <c r="AX20" s="80"/>
      <c r="AY20" s="92"/>
      <c r="AZ20" s="92"/>
      <c r="BA20" s="92"/>
      <c r="BB20" s="92"/>
      <c r="BC20" s="92"/>
      <c r="BF20" s="80"/>
      <c r="BG20" s="92"/>
      <c r="BH20" s="92"/>
      <c r="BI20" s="92"/>
      <c r="BJ20" s="92"/>
      <c r="BK20" s="92"/>
      <c r="BN20" s="80"/>
      <c r="BO20" s="92"/>
      <c r="BP20" s="92"/>
      <c r="BQ20" s="92"/>
      <c r="BR20" s="92"/>
      <c r="BS20" s="92"/>
      <c r="BV20" s="80"/>
      <c r="BW20" s="92"/>
      <c r="BX20" s="92"/>
      <c r="BY20" s="92"/>
      <c r="BZ20" s="92"/>
      <c r="CA20" s="92"/>
      <c r="CD20" s="80"/>
      <c r="CE20" s="92"/>
      <c r="CF20" s="92"/>
      <c r="CG20" s="92"/>
      <c r="CH20" s="92"/>
      <c r="CI20" s="92"/>
      <c r="CL20" s="80"/>
      <c r="CM20" s="92"/>
      <c r="CN20" s="92"/>
      <c r="CO20" s="92"/>
      <c r="CP20" s="92"/>
      <c r="CQ20" s="92"/>
      <c r="CT20" s="80"/>
      <c r="CU20" s="92"/>
      <c r="CV20" s="92"/>
      <c r="CW20" s="92"/>
      <c r="CX20" s="92"/>
      <c r="CY20" s="92"/>
      <c r="DB20" s="80"/>
      <c r="DC20" s="92"/>
      <c r="DD20" s="92"/>
      <c r="DE20" s="92"/>
      <c r="DF20" s="92"/>
      <c r="DG20" s="92"/>
    </row>
    <row r="21" spans="2:113" ht="15" thickBot="1">
      <c r="B21" s="507" t="str">
        <f>cen_prop2</f>
        <v>With IUD-LNG 10-50%</v>
      </c>
      <c r="C21" s="508"/>
      <c r="D21" s="508"/>
      <c r="E21" s="508"/>
      <c r="F21" s="508"/>
      <c r="G21" s="509"/>
      <c r="J21" s="507" t="str">
        <f>cen_prop2</f>
        <v>With IUD-LNG 10-50%</v>
      </c>
      <c r="K21" s="508"/>
      <c r="L21" s="508"/>
      <c r="M21" s="508"/>
      <c r="N21" s="508"/>
      <c r="O21" s="509"/>
      <c r="R21" s="507" t="str">
        <f>cen_prop2</f>
        <v>With IUD-LNG 10-50%</v>
      </c>
      <c r="S21" s="508"/>
      <c r="T21" s="508"/>
      <c r="U21" s="508"/>
      <c r="V21" s="508"/>
      <c r="W21" s="509"/>
      <c r="Z21" s="507" t="str">
        <f>cen_prop2</f>
        <v>With IUD-LNG 10-50%</v>
      </c>
      <c r="AA21" s="508"/>
      <c r="AB21" s="508"/>
      <c r="AC21" s="508"/>
      <c r="AD21" s="508"/>
      <c r="AE21" s="509"/>
      <c r="AH21" s="507" t="str">
        <f>cen_prop2</f>
        <v>With IUD-LNG 10-50%</v>
      </c>
      <c r="AI21" s="508"/>
      <c r="AJ21" s="508"/>
      <c r="AK21" s="508"/>
      <c r="AL21" s="508"/>
      <c r="AM21" s="509"/>
      <c r="AP21" s="507" t="str">
        <f>cen_prop2</f>
        <v>With IUD-LNG 10-50%</v>
      </c>
      <c r="AQ21" s="508"/>
      <c r="AR21" s="508"/>
      <c r="AS21" s="508"/>
      <c r="AT21" s="508"/>
      <c r="AU21" s="509"/>
      <c r="AX21" s="507" t="str">
        <f>cen_prop2</f>
        <v>With IUD-LNG 10-50%</v>
      </c>
      <c r="AY21" s="508"/>
      <c r="AZ21" s="508"/>
      <c r="BA21" s="508"/>
      <c r="BB21" s="508"/>
      <c r="BC21" s="509"/>
      <c r="BF21" s="507" t="str">
        <f>cen_prop2</f>
        <v>With IUD-LNG 10-50%</v>
      </c>
      <c r="BG21" s="508"/>
      <c r="BH21" s="508"/>
      <c r="BI21" s="508"/>
      <c r="BJ21" s="508"/>
      <c r="BK21" s="509"/>
      <c r="BN21" s="507" t="str">
        <f>cen_prop2</f>
        <v>With IUD-LNG 10-50%</v>
      </c>
      <c r="BO21" s="508"/>
      <c r="BP21" s="508"/>
      <c r="BQ21" s="508"/>
      <c r="BR21" s="508"/>
      <c r="BS21" s="509"/>
      <c r="BV21" s="507" t="str">
        <f>cen_prop2</f>
        <v>With IUD-LNG 10-50%</v>
      </c>
      <c r="BW21" s="508"/>
      <c r="BX21" s="508"/>
      <c r="BY21" s="508"/>
      <c r="BZ21" s="508"/>
      <c r="CA21" s="509"/>
      <c r="CD21" s="507" t="str">
        <f>cen_prop2</f>
        <v>With IUD-LNG 10-50%</v>
      </c>
      <c r="CE21" s="508"/>
      <c r="CF21" s="508"/>
      <c r="CG21" s="508"/>
      <c r="CH21" s="508"/>
      <c r="CI21" s="509"/>
      <c r="CL21" s="507" t="str">
        <f>cen_prop2</f>
        <v>With IUD-LNG 10-50%</v>
      </c>
      <c r="CM21" s="508"/>
      <c r="CN21" s="508"/>
      <c r="CO21" s="508"/>
      <c r="CP21" s="508"/>
      <c r="CQ21" s="509"/>
      <c r="CT21" s="507" t="str">
        <f>cen_prop2</f>
        <v>With IUD-LNG 10-50%</v>
      </c>
      <c r="CU21" s="508"/>
      <c r="CV21" s="508"/>
      <c r="CW21" s="508"/>
      <c r="CX21" s="508"/>
      <c r="CY21" s="509"/>
      <c r="DB21" s="507" t="str">
        <f>cen_prop2</f>
        <v>With IUD-LNG 10-50%</v>
      </c>
      <c r="DC21" s="508"/>
      <c r="DD21" s="508"/>
      <c r="DE21" s="508"/>
      <c r="DF21" s="508"/>
      <c r="DG21" s="509"/>
    </row>
    <row r="22" spans="2:113">
      <c r="B22" s="84"/>
      <c r="C22" s="101">
        <f>ano_1</f>
        <v>2026</v>
      </c>
      <c r="D22" s="101">
        <f>C22+1</f>
        <v>2027</v>
      </c>
      <c r="E22" s="101">
        <f t="shared" ref="E22:G22" si="42">D22+1</f>
        <v>2028</v>
      </c>
      <c r="F22" s="101">
        <f t="shared" si="42"/>
        <v>2029</v>
      </c>
      <c r="G22" s="102">
        <f t="shared" si="42"/>
        <v>2030</v>
      </c>
      <c r="J22" s="84"/>
      <c r="K22" s="101">
        <f>ano_1</f>
        <v>2026</v>
      </c>
      <c r="L22" s="101">
        <f>K22+1</f>
        <v>2027</v>
      </c>
      <c r="M22" s="101">
        <f t="shared" ref="M22:O22" si="43">L22+1</f>
        <v>2028</v>
      </c>
      <c r="N22" s="101">
        <f t="shared" si="43"/>
        <v>2029</v>
      </c>
      <c r="O22" s="102">
        <f t="shared" si="43"/>
        <v>2030</v>
      </c>
      <c r="R22" s="84"/>
      <c r="S22" s="101">
        <f>ano_1</f>
        <v>2026</v>
      </c>
      <c r="T22" s="101">
        <f>S22+1</f>
        <v>2027</v>
      </c>
      <c r="U22" s="101">
        <f t="shared" ref="U22:W22" si="44">T22+1</f>
        <v>2028</v>
      </c>
      <c r="V22" s="101">
        <f t="shared" si="44"/>
        <v>2029</v>
      </c>
      <c r="W22" s="102">
        <f t="shared" si="44"/>
        <v>2030</v>
      </c>
      <c r="Z22" s="84"/>
      <c r="AA22" s="101">
        <f>ano_1</f>
        <v>2026</v>
      </c>
      <c r="AB22" s="101">
        <f>AA22+1</f>
        <v>2027</v>
      </c>
      <c r="AC22" s="101">
        <f t="shared" ref="AC22:AE22" si="45">AB22+1</f>
        <v>2028</v>
      </c>
      <c r="AD22" s="101">
        <f t="shared" si="45"/>
        <v>2029</v>
      </c>
      <c r="AE22" s="102">
        <f t="shared" si="45"/>
        <v>2030</v>
      </c>
      <c r="AH22" s="84"/>
      <c r="AI22" s="101">
        <f>ano_1</f>
        <v>2026</v>
      </c>
      <c r="AJ22" s="101">
        <f>AI22+1</f>
        <v>2027</v>
      </c>
      <c r="AK22" s="101">
        <f t="shared" ref="AK22:AM22" si="46">AJ22+1</f>
        <v>2028</v>
      </c>
      <c r="AL22" s="101">
        <f t="shared" si="46"/>
        <v>2029</v>
      </c>
      <c r="AM22" s="102">
        <f t="shared" si="46"/>
        <v>2030</v>
      </c>
      <c r="AP22" s="84"/>
      <c r="AQ22" s="101">
        <f>ano_1</f>
        <v>2026</v>
      </c>
      <c r="AR22" s="101">
        <f>AQ22+1</f>
        <v>2027</v>
      </c>
      <c r="AS22" s="101">
        <f t="shared" ref="AS22:AU22" si="47">AR22+1</f>
        <v>2028</v>
      </c>
      <c r="AT22" s="101">
        <f t="shared" si="47"/>
        <v>2029</v>
      </c>
      <c r="AU22" s="102">
        <f t="shared" si="47"/>
        <v>2030</v>
      </c>
      <c r="AX22" s="84"/>
      <c r="AY22" s="101">
        <f>ano_1</f>
        <v>2026</v>
      </c>
      <c r="AZ22" s="101">
        <f>AY22+1</f>
        <v>2027</v>
      </c>
      <c r="BA22" s="101">
        <f t="shared" ref="BA22:BC22" si="48">AZ22+1</f>
        <v>2028</v>
      </c>
      <c r="BB22" s="101">
        <f t="shared" si="48"/>
        <v>2029</v>
      </c>
      <c r="BC22" s="102">
        <f t="shared" si="48"/>
        <v>2030</v>
      </c>
      <c r="BF22" s="84"/>
      <c r="BG22" s="101">
        <f>ano_1</f>
        <v>2026</v>
      </c>
      <c r="BH22" s="101">
        <f>BG22+1</f>
        <v>2027</v>
      </c>
      <c r="BI22" s="101">
        <f t="shared" ref="BI22:BK22" si="49">BH22+1</f>
        <v>2028</v>
      </c>
      <c r="BJ22" s="101">
        <f t="shared" si="49"/>
        <v>2029</v>
      </c>
      <c r="BK22" s="102">
        <f t="shared" si="49"/>
        <v>2030</v>
      </c>
      <c r="BN22" s="84"/>
      <c r="BO22" s="101">
        <f>ano_1</f>
        <v>2026</v>
      </c>
      <c r="BP22" s="101">
        <f>BO22+1</f>
        <v>2027</v>
      </c>
      <c r="BQ22" s="101">
        <f t="shared" ref="BQ22:BS22" si="50">BP22+1</f>
        <v>2028</v>
      </c>
      <c r="BR22" s="101">
        <f t="shared" si="50"/>
        <v>2029</v>
      </c>
      <c r="BS22" s="102">
        <f t="shared" si="50"/>
        <v>2030</v>
      </c>
      <c r="BV22" s="84"/>
      <c r="BW22" s="101">
        <f>ano_1</f>
        <v>2026</v>
      </c>
      <c r="BX22" s="101">
        <f>BW22+1</f>
        <v>2027</v>
      </c>
      <c r="BY22" s="101">
        <f t="shared" ref="BY22:CA22" si="51">BX22+1</f>
        <v>2028</v>
      </c>
      <c r="BZ22" s="101">
        <f t="shared" si="51"/>
        <v>2029</v>
      </c>
      <c r="CA22" s="102">
        <f t="shared" si="51"/>
        <v>2030</v>
      </c>
      <c r="CD22" s="84"/>
      <c r="CE22" s="101">
        <f>ano_1</f>
        <v>2026</v>
      </c>
      <c r="CF22" s="101">
        <f>CE22+1</f>
        <v>2027</v>
      </c>
      <c r="CG22" s="101">
        <f t="shared" ref="CG22:CI22" si="52">CF22+1</f>
        <v>2028</v>
      </c>
      <c r="CH22" s="101">
        <f t="shared" si="52"/>
        <v>2029</v>
      </c>
      <c r="CI22" s="102">
        <f t="shared" si="52"/>
        <v>2030</v>
      </c>
      <c r="CL22" s="84"/>
      <c r="CM22" s="101">
        <f>ano_1</f>
        <v>2026</v>
      </c>
      <c r="CN22" s="101">
        <f>CM22+1</f>
        <v>2027</v>
      </c>
      <c r="CO22" s="101">
        <f t="shared" ref="CO22:CQ22" si="53">CN22+1</f>
        <v>2028</v>
      </c>
      <c r="CP22" s="101">
        <f t="shared" si="53"/>
        <v>2029</v>
      </c>
      <c r="CQ22" s="102">
        <f t="shared" si="53"/>
        <v>2030</v>
      </c>
      <c r="CT22" s="84"/>
      <c r="CU22" s="101">
        <f>ano_1</f>
        <v>2026</v>
      </c>
      <c r="CV22" s="101">
        <f>CU22+1</f>
        <v>2027</v>
      </c>
      <c r="CW22" s="101">
        <f t="shared" ref="CW22:CY22" si="54">CV22+1</f>
        <v>2028</v>
      </c>
      <c r="CX22" s="101">
        <f t="shared" si="54"/>
        <v>2029</v>
      </c>
      <c r="CY22" s="102">
        <f t="shared" si="54"/>
        <v>2030</v>
      </c>
      <c r="DB22" s="84"/>
      <c r="DC22" s="101">
        <f>ano_1</f>
        <v>2026</v>
      </c>
      <c r="DD22" s="101">
        <f>DC22+1</f>
        <v>2027</v>
      </c>
      <c r="DE22" s="101">
        <f t="shared" ref="DE22:DG22" si="55">DD22+1</f>
        <v>2028</v>
      </c>
      <c r="DF22" s="101">
        <f t="shared" si="55"/>
        <v>2029</v>
      </c>
      <c r="DG22" s="102">
        <f t="shared" si="55"/>
        <v>2030</v>
      </c>
    </row>
    <row r="23" spans="2:113" ht="15" thickBot="1">
      <c r="B23" s="386" t="s">
        <v>335</v>
      </c>
      <c r="C23" s="315">
        <f>C$7*'Mkt share'!$C$62</f>
        <v>31108.053998220515</v>
      </c>
      <c r="D23" s="315">
        <f>D$7*'Mkt share'!$D$62</f>
        <v>61991.900943934073</v>
      </c>
      <c r="E23" s="315">
        <f>E$7*'Mkt share'!$E$62</f>
        <v>92624.148013108163</v>
      </c>
      <c r="F23" s="315">
        <f>F$7*'Mkt share'!$F$62</f>
        <v>122917.07723334793</v>
      </c>
      <c r="G23" s="387">
        <f>G$7*'Mkt share'!$G$62</f>
        <v>152731.25002950861</v>
      </c>
      <c r="J23" s="386" t="s">
        <v>335</v>
      </c>
      <c r="K23" s="315">
        <f>K$7*'Mkt share'!$C$63</f>
        <v>0</v>
      </c>
      <c r="L23" s="315">
        <f>L$7*'Mkt share'!$D$63</f>
        <v>0</v>
      </c>
      <c r="M23" s="315">
        <f>M$7*'Mkt share'!$E$63</f>
        <v>0</v>
      </c>
      <c r="N23" s="315">
        <f>N$7*'Mkt share'!$F$63</f>
        <v>0</v>
      </c>
      <c r="O23" s="387">
        <f>O$7*'Mkt share'!$G$63</f>
        <v>0</v>
      </c>
      <c r="R23" s="386" t="s">
        <v>335</v>
      </c>
      <c r="S23" s="315">
        <f>S$7*'Mkt share'!$C$64</f>
        <v>0</v>
      </c>
      <c r="T23" s="315">
        <f>T$7*'Mkt share'!$D$64</f>
        <v>0</v>
      </c>
      <c r="U23" s="315">
        <f>U$7*'Mkt share'!$E$64</f>
        <v>0</v>
      </c>
      <c r="V23" s="315">
        <f>V$7*'Mkt share'!$F$64</f>
        <v>0</v>
      </c>
      <c r="W23" s="387">
        <f>W$7*'Mkt share'!$G$64</f>
        <v>0</v>
      </c>
      <c r="Z23" s="386" t="s">
        <v>335</v>
      </c>
      <c r="AA23" s="315">
        <f>AA$7*'Mkt share'!$C$65</f>
        <v>0</v>
      </c>
      <c r="AB23" s="315">
        <f>AB$7*'Mkt share'!$D$65</f>
        <v>0</v>
      </c>
      <c r="AC23" s="315">
        <f>AC$7*'Mkt share'!$E$65</f>
        <v>0</v>
      </c>
      <c r="AD23" s="315">
        <f>AD$7*'Mkt share'!$F$65</f>
        <v>0</v>
      </c>
      <c r="AE23" s="387">
        <f>AE$7*'Mkt share'!$G$65</f>
        <v>0</v>
      </c>
      <c r="AH23" s="386" t="s">
        <v>335</v>
      </c>
      <c r="AI23" s="315">
        <f>AI$7*'Mkt share'!$C$66</f>
        <v>279972.48598398466</v>
      </c>
      <c r="AJ23" s="315">
        <f>AJ$7*'Mkt share'!$D$66</f>
        <v>247967.60377573629</v>
      </c>
      <c r="AK23" s="315">
        <f>AK$7*'Mkt share'!$E$66</f>
        <v>216123.01203058573</v>
      </c>
      <c r="AL23" s="315">
        <f>AL$7*'Mkt share'!$F$66</f>
        <v>184375.61585002189</v>
      </c>
      <c r="AM23" s="387">
        <f>AM$7*'Mkt share'!$G$66</f>
        <v>152731.25002950861</v>
      </c>
      <c r="AP23" s="386" t="s">
        <v>335</v>
      </c>
      <c r="AQ23" s="315">
        <f>AQ$7*'Mkt share'!$C$67</f>
        <v>0</v>
      </c>
      <c r="AR23" s="315">
        <f>AR$7*'Mkt share'!$D$67</f>
        <v>0</v>
      </c>
      <c r="AS23" s="315">
        <f>AS$7*'Mkt share'!$E$67</f>
        <v>0</v>
      </c>
      <c r="AT23" s="315">
        <f>AT$7*'Mkt share'!$F$67</f>
        <v>0</v>
      </c>
      <c r="AU23" s="387">
        <f>AU$7*'Mkt share'!$G$67</f>
        <v>0</v>
      </c>
      <c r="AX23" s="386" t="s">
        <v>335</v>
      </c>
      <c r="AY23" s="315">
        <f>AY$7*'Mkt share'!$C$68</f>
        <v>0</v>
      </c>
      <c r="AZ23" s="315">
        <f>AZ$7*'Mkt share'!$D$68</f>
        <v>0</v>
      </c>
      <c r="BA23" s="315">
        <f>BA$7*'Mkt share'!$E$68</f>
        <v>0</v>
      </c>
      <c r="BB23" s="315">
        <f>BB$7*'Mkt share'!$F$68</f>
        <v>0</v>
      </c>
      <c r="BC23" s="387">
        <f>BC$7*'Mkt share'!$G$68</f>
        <v>0</v>
      </c>
      <c r="BF23" s="386" t="s">
        <v>335</v>
      </c>
      <c r="BG23" s="315">
        <f>BG$7*'Mkt share'!$C$69</f>
        <v>0</v>
      </c>
      <c r="BH23" s="315">
        <f>BH$7*'Mkt share'!$D$69</f>
        <v>0</v>
      </c>
      <c r="BI23" s="315">
        <f>BI$7*'Mkt share'!$E$69</f>
        <v>0</v>
      </c>
      <c r="BJ23" s="315">
        <f>BJ$7*'Mkt share'!$F$69</f>
        <v>0</v>
      </c>
      <c r="BK23" s="387">
        <f>BK$7*'Mkt share'!$G$69</f>
        <v>0</v>
      </c>
      <c r="BN23" s="386" t="s">
        <v>335</v>
      </c>
      <c r="BO23" s="315">
        <f>BO$7*'Mkt share'!$C$70</f>
        <v>0</v>
      </c>
      <c r="BP23" s="315">
        <f>BP$7*'Mkt share'!$D$70</f>
        <v>0</v>
      </c>
      <c r="BQ23" s="315">
        <f>BQ$7*'Mkt share'!$E$70</f>
        <v>0</v>
      </c>
      <c r="BR23" s="315">
        <f>BR$7*'Mkt share'!$F$70</f>
        <v>0</v>
      </c>
      <c r="BS23" s="387">
        <f>BS$7*'Mkt share'!$G$70</f>
        <v>0</v>
      </c>
      <c r="BV23" s="386" t="s">
        <v>335</v>
      </c>
      <c r="BW23" s="315">
        <f>BW$7*'Mkt share'!$C$71</f>
        <v>0</v>
      </c>
      <c r="BX23" s="315">
        <f>BX$7*'Mkt share'!$D$71</f>
        <v>0</v>
      </c>
      <c r="BY23" s="315">
        <f>BY$7*'Mkt share'!$E$71</f>
        <v>0</v>
      </c>
      <c r="BZ23" s="315">
        <f>BZ$7*'Mkt share'!$F$71</f>
        <v>0</v>
      </c>
      <c r="CA23" s="387">
        <f>CA$7*'Mkt share'!$G$71</f>
        <v>0</v>
      </c>
      <c r="CD23" s="386" t="s">
        <v>335</v>
      </c>
      <c r="CE23" s="315">
        <f>CE$7*'Mkt share'!$C$72</f>
        <v>0</v>
      </c>
      <c r="CF23" s="315">
        <f>CF$7*'Mkt share'!$D$72</f>
        <v>0</v>
      </c>
      <c r="CG23" s="315">
        <f>CG$7*'Mkt share'!$E$72</f>
        <v>0</v>
      </c>
      <c r="CH23" s="315">
        <f>CH$7*'Mkt share'!$F$72</f>
        <v>0</v>
      </c>
      <c r="CI23" s="387">
        <f>CI$7*'Mkt share'!$G$72</f>
        <v>0</v>
      </c>
      <c r="CL23" s="386" t="s">
        <v>335</v>
      </c>
      <c r="CM23" s="315">
        <f>CM$7*'Mkt share'!$C$73</f>
        <v>0</v>
      </c>
      <c r="CN23" s="315">
        <f>CN$7*'Mkt share'!$D$73</f>
        <v>0</v>
      </c>
      <c r="CO23" s="315">
        <f>CO$7*'Mkt share'!$E$73</f>
        <v>0</v>
      </c>
      <c r="CP23" s="315">
        <f>CP$7*'Mkt share'!$F$73</f>
        <v>0</v>
      </c>
      <c r="CQ23" s="387">
        <f>CQ$7*'Mkt share'!$G$73</f>
        <v>0</v>
      </c>
      <c r="CT23" s="386" t="s">
        <v>335</v>
      </c>
      <c r="CU23" s="315">
        <f>CU$7*'Mkt share'!$C$74</f>
        <v>0</v>
      </c>
      <c r="CV23" s="315">
        <f>CV$7*'Mkt share'!$D$74</f>
        <v>0</v>
      </c>
      <c r="CW23" s="315">
        <f>CW$7*'Mkt share'!$E$74</f>
        <v>0</v>
      </c>
      <c r="CX23" s="315">
        <f>CX$7*'Mkt share'!$F$74</f>
        <v>0</v>
      </c>
      <c r="CY23" s="387">
        <f>CY$7*'Mkt share'!$G$74</f>
        <v>0</v>
      </c>
      <c r="DB23" s="386" t="s">
        <v>335</v>
      </c>
      <c r="DC23" s="315">
        <f>DC$7*'Mkt share'!$C$75</f>
        <v>0</v>
      </c>
      <c r="DD23" s="315">
        <f>DD$7*'Mkt share'!$D$75</f>
        <v>0</v>
      </c>
      <c r="DE23" s="315">
        <f>DE$7*'Mkt share'!$E$75</f>
        <v>0</v>
      </c>
      <c r="DF23" s="315">
        <f>DF$7*'Mkt share'!$F$75</f>
        <v>0</v>
      </c>
      <c r="DG23" s="387">
        <f>DG$7*'Mkt share'!$G$75</f>
        <v>0</v>
      </c>
    </row>
    <row r="24" spans="2:113" ht="15" thickBot="1">
      <c r="B24" s="80"/>
      <c r="C24" s="92"/>
      <c r="D24" s="92"/>
      <c r="E24" s="92"/>
      <c r="F24" s="92"/>
      <c r="G24" s="92"/>
      <c r="J24" s="80"/>
      <c r="K24" s="92"/>
      <c r="L24" s="92"/>
      <c r="M24" s="92"/>
      <c r="N24" s="92"/>
      <c r="O24" s="92"/>
      <c r="R24" s="80"/>
      <c r="S24" s="92"/>
      <c r="T24" s="92"/>
      <c r="U24" s="92"/>
      <c r="V24" s="92"/>
      <c r="W24" s="92"/>
      <c r="Z24" s="80"/>
      <c r="AA24" s="92"/>
      <c r="AB24" s="92"/>
      <c r="AC24" s="92"/>
      <c r="AD24" s="92"/>
      <c r="AE24" s="92"/>
      <c r="AH24" s="80"/>
      <c r="AI24" s="92"/>
      <c r="AJ24" s="92"/>
      <c r="AK24" s="92"/>
      <c r="AL24" s="92"/>
      <c r="AM24" s="92"/>
      <c r="AP24" s="80"/>
      <c r="AQ24" s="92"/>
      <c r="AR24" s="92"/>
      <c r="AS24" s="92"/>
      <c r="AT24" s="92"/>
      <c r="AU24" s="92"/>
      <c r="AX24" s="80"/>
      <c r="AY24" s="92"/>
      <c r="AZ24" s="92"/>
      <c r="BA24" s="92"/>
      <c r="BB24" s="92"/>
      <c r="BC24" s="92"/>
      <c r="BF24" s="80"/>
      <c r="BG24" s="92"/>
      <c r="BH24" s="92"/>
      <c r="BI24" s="92"/>
      <c r="BJ24" s="92"/>
      <c r="BK24" s="92"/>
      <c r="BN24" s="80"/>
      <c r="BO24" s="92"/>
      <c r="BP24" s="92"/>
      <c r="BQ24" s="92"/>
      <c r="BR24" s="92"/>
      <c r="BS24" s="92"/>
      <c r="BV24" s="80"/>
      <c r="BW24" s="92"/>
      <c r="BX24" s="92"/>
      <c r="BY24" s="92"/>
      <c r="BZ24" s="92"/>
      <c r="CA24" s="92"/>
      <c r="CD24" s="80"/>
      <c r="CE24" s="92"/>
      <c r="CF24" s="92"/>
      <c r="CG24" s="92"/>
      <c r="CH24" s="92"/>
      <c r="CI24" s="92"/>
      <c r="CL24" s="80"/>
      <c r="CM24" s="92"/>
      <c r="CN24" s="92"/>
      <c r="CO24" s="92"/>
      <c r="CP24" s="92"/>
      <c r="CQ24" s="92"/>
      <c r="CT24" s="80"/>
      <c r="CU24" s="92"/>
      <c r="CV24" s="92"/>
      <c r="CW24" s="92"/>
      <c r="CX24" s="92"/>
      <c r="CY24" s="92"/>
      <c r="DB24" s="80"/>
      <c r="DC24" s="92"/>
      <c r="DD24" s="92"/>
      <c r="DE24" s="92"/>
      <c r="DF24" s="92"/>
      <c r="DG24" s="92"/>
    </row>
    <row r="25" spans="2:113" ht="15" thickBot="1">
      <c r="B25" s="507">
        <f>cen_prop3</f>
        <v>0</v>
      </c>
      <c r="C25" s="508"/>
      <c r="D25" s="508"/>
      <c r="E25" s="508"/>
      <c r="F25" s="508"/>
      <c r="G25" s="509"/>
      <c r="J25" s="507">
        <f>cen_prop3</f>
        <v>0</v>
      </c>
      <c r="K25" s="508"/>
      <c r="L25" s="508"/>
      <c r="M25" s="508"/>
      <c r="N25" s="508"/>
      <c r="O25" s="509"/>
      <c r="R25" s="507">
        <f>cen_prop3</f>
        <v>0</v>
      </c>
      <c r="S25" s="508"/>
      <c r="T25" s="508"/>
      <c r="U25" s="508"/>
      <c r="V25" s="508"/>
      <c r="W25" s="509"/>
      <c r="Z25" s="507">
        <f>cen_prop3</f>
        <v>0</v>
      </c>
      <c r="AA25" s="508"/>
      <c r="AB25" s="508"/>
      <c r="AC25" s="508"/>
      <c r="AD25" s="508"/>
      <c r="AE25" s="509"/>
      <c r="AH25" s="507">
        <f>cen_prop3</f>
        <v>0</v>
      </c>
      <c r="AI25" s="508"/>
      <c r="AJ25" s="508"/>
      <c r="AK25" s="508"/>
      <c r="AL25" s="508"/>
      <c r="AM25" s="509"/>
      <c r="AP25" s="507">
        <f>cen_prop3</f>
        <v>0</v>
      </c>
      <c r="AQ25" s="508"/>
      <c r="AR25" s="508"/>
      <c r="AS25" s="508"/>
      <c r="AT25" s="508"/>
      <c r="AU25" s="509"/>
      <c r="AX25" s="507">
        <f>cen_prop3</f>
        <v>0</v>
      </c>
      <c r="AY25" s="508"/>
      <c r="AZ25" s="508"/>
      <c r="BA25" s="508"/>
      <c r="BB25" s="508"/>
      <c r="BC25" s="509"/>
      <c r="BF25" s="507">
        <f>cen_prop3</f>
        <v>0</v>
      </c>
      <c r="BG25" s="508"/>
      <c r="BH25" s="508"/>
      <c r="BI25" s="508"/>
      <c r="BJ25" s="508"/>
      <c r="BK25" s="509"/>
      <c r="BN25" s="507">
        <f>cen_prop3</f>
        <v>0</v>
      </c>
      <c r="BO25" s="508"/>
      <c r="BP25" s="508"/>
      <c r="BQ25" s="508"/>
      <c r="BR25" s="508"/>
      <c r="BS25" s="509"/>
      <c r="BV25" s="507">
        <f>cen_prop3</f>
        <v>0</v>
      </c>
      <c r="BW25" s="508"/>
      <c r="BX25" s="508"/>
      <c r="BY25" s="508"/>
      <c r="BZ25" s="508"/>
      <c r="CA25" s="509"/>
      <c r="CD25" s="507">
        <f>cen_prop3</f>
        <v>0</v>
      </c>
      <c r="CE25" s="508"/>
      <c r="CF25" s="508"/>
      <c r="CG25" s="508"/>
      <c r="CH25" s="508"/>
      <c r="CI25" s="509"/>
      <c r="CL25" s="507">
        <f>cen_prop3</f>
        <v>0</v>
      </c>
      <c r="CM25" s="508"/>
      <c r="CN25" s="508"/>
      <c r="CO25" s="508"/>
      <c r="CP25" s="508"/>
      <c r="CQ25" s="509"/>
      <c r="CT25" s="507">
        <f>cen_prop3</f>
        <v>0</v>
      </c>
      <c r="CU25" s="508"/>
      <c r="CV25" s="508"/>
      <c r="CW25" s="508"/>
      <c r="CX25" s="508"/>
      <c r="CY25" s="509"/>
      <c r="DB25" s="507">
        <f>cen_prop3</f>
        <v>0</v>
      </c>
      <c r="DC25" s="508"/>
      <c r="DD25" s="508"/>
      <c r="DE25" s="508"/>
      <c r="DF25" s="508"/>
      <c r="DG25" s="509"/>
    </row>
    <row r="26" spans="2:113">
      <c r="B26" s="84"/>
      <c r="C26" s="101">
        <f>ano_1</f>
        <v>2026</v>
      </c>
      <c r="D26" s="101">
        <f>C26+1</f>
        <v>2027</v>
      </c>
      <c r="E26" s="101">
        <f t="shared" ref="E26:G26" si="56">D26+1</f>
        <v>2028</v>
      </c>
      <c r="F26" s="101">
        <f t="shared" si="56"/>
        <v>2029</v>
      </c>
      <c r="G26" s="102">
        <f t="shared" si="56"/>
        <v>2030</v>
      </c>
      <c r="J26" s="84"/>
      <c r="K26" s="101">
        <f>ano_1</f>
        <v>2026</v>
      </c>
      <c r="L26" s="101">
        <f>K26+1</f>
        <v>2027</v>
      </c>
      <c r="M26" s="101">
        <f t="shared" ref="M26:O26" si="57">L26+1</f>
        <v>2028</v>
      </c>
      <c r="N26" s="101">
        <f t="shared" si="57"/>
        <v>2029</v>
      </c>
      <c r="O26" s="102">
        <f t="shared" si="57"/>
        <v>2030</v>
      </c>
      <c r="R26" s="84"/>
      <c r="S26" s="101">
        <f>ano_1</f>
        <v>2026</v>
      </c>
      <c r="T26" s="101">
        <f>S26+1</f>
        <v>2027</v>
      </c>
      <c r="U26" s="101">
        <f t="shared" ref="U26:W26" si="58">T26+1</f>
        <v>2028</v>
      </c>
      <c r="V26" s="101">
        <f t="shared" si="58"/>
        <v>2029</v>
      </c>
      <c r="W26" s="102">
        <f t="shared" si="58"/>
        <v>2030</v>
      </c>
      <c r="Z26" s="84"/>
      <c r="AA26" s="101">
        <f>ano_1</f>
        <v>2026</v>
      </c>
      <c r="AB26" s="101">
        <f>AA26+1</f>
        <v>2027</v>
      </c>
      <c r="AC26" s="101">
        <f t="shared" ref="AC26:AE26" si="59">AB26+1</f>
        <v>2028</v>
      </c>
      <c r="AD26" s="101">
        <f t="shared" si="59"/>
        <v>2029</v>
      </c>
      <c r="AE26" s="102">
        <f t="shared" si="59"/>
        <v>2030</v>
      </c>
      <c r="AH26" s="84"/>
      <c r="AI26" s="101">
        <f>ano_1</f>
        <v>2026</v>
      </c>
      <c r="AJ26" s="101">
        <f>AI26+1</f>
        <v>2027</v>
      </c>
      <c r="AK26" s="101">
        <f t="shared" ref="AK26:AM26" si="60">AJ26+1</f>
        <v>2028</v>
      </c>
      <c r="AL26" s="101">
        <f t="shared" si="60"/>
        <v>2029</v>
      </c>
      <c r="AM26" s="102">
        <f t="shared" si="60"/>
        <v>2030</v>
      </c>
      <c r="AP26" s="84"/>
      <c r="AQ26" s="101">
        <f>ano_1</f>
        <v>2026</v>
      </c>
      <c r="AR26" s="101">
        <f>AQ26+1</f>
        <v>2027</v>
      </c>
      <c r="AS26" s="101">
        <f t="shared" ref="AS26:AU26" si="61">AR26+1</f>
        <v>2028</v>
      </c>
      <c r="AT26" s="101">
        <f t="shared" si="61"/>
        <v>2029</v>
      </c>
      <c r="AU26" s="102">
        <f t="shared" si="61"/>
        <v>2030</v>
      </c>
      <c r="AX26" s="84"/>
      <c r="AY26" s="101">
        <f>ano_1</f>
        <v>2026</v>
      </c>
      <c r="AZ26" s="101">
        <f>AY26+1</f>
        <v>2027</v>
      </c>
      <c r="BA26" s="101">
        <f t="shared" ref="BA26:BC26" si="62">AZ26+1</f>
        <v>2028</v>
      </c>
      <c r="BB26" s="101">
        <f t="shared" si="62"/>
        <v>2029</v>
      </c>
      <c r="BC26" s="102">
        <f t="shared" si="62"/>
        <v>2030</v>
      </c>
      <c r="BF26" s="84"/>
      <c r="BG26" s="101">
        <f>ano_1</f>
        <v>2026</v>
      </c>
      <c r="BH26" s="101">
        <f>BG26+1</f>
        <v>2027</v>
      </c>
      <c r="BI26" s="101">
        <f t="shared" ref="BI26:BK26" si="63">BH26+1</f>
        <v>2028</v>
      </c>
      <c r="BJ26" s="101">
        <f t="shared" si="63"/>
        <v>2029</v>
      </c>
      <c r="BK26" s="102">
        <f t="shared" si="63"/>
        <v>2030</v>
      </c>
      <c r="BN26" s="84"/>
      <c r="BO26" s="101">
        <f>ano_1</f>
        <v>2026</v>
      </c>
      <c r="BP26" s="101">
        <f>BO26+1</f>
        <v>2027</v>
      </c>
      <c r="BQ26" s="101">
        <f t="shared" ref="BQ26:BS26" si="64">BP26+1</f>
        <v>2028</v>
      </c>
      <c r="BR26" s="101">
        <f t="shared" si="64"/>
        <v>2029</v>
      </c>
      <c r="BS26" s="102">
        <f t="shared" si="64"/>
        <v>2030</v>
      </c>
      <c r="BV26" s="84"/>
      <c r="BW26" s="101">
        <f>ano_1</f>
        <v>2026</v>
      </c>
      <c r="BX26" s="101">
        <f>BW26+1</f>
        <v>2027</v>
      </c>
      <c r="BY26" s="101">
        <f t="shared" ref="BY26:CA26" si="65">BX26+1</f>
        <v>2028</v>
      </c>
      <c r="BZ26" s="101">
        <f t="shared" si="65"/>
        <v>2029</v>
      </c>
      <c r="CA26" s="102">
        <f t="shared" si="65"/>
        <v>2030</v>
      </c>
      <c r="CD26" s="84"/>
      <c r="CE26" s="101">
        <f>ano_1</f>
        <v>2026</v>
      </c>
      <c r="CF26" s="101">
        <f>CE26+1</f>
        <v>2027</v>
      </c>
      <c r="CG26" s="101">
        <f t="shared" ref="CG26:CI26" si="66">CF26+1</f>
        <v>2028</v>
      </c>
      <c r="CH26" s="101">
        <f t="shared" si="66"/>
        <v>2029</v>
      </c>
      <c r="CI26" s="102">
        <f t="shared" si="66"/>
        <v>2030</v>
      </c>
      <c r="CL26" s="84"/>
      <c r="CM26" s="101">
        <f>ano_1</f>
        <v>2026</v>
      </c>
      <c r="CN26" s="101">
        <f>CM26+1</f>
        <v>2027</v>
      </c>
      <c r="CO26" s="101">
        <f t="shared" ref="CO26:CQ26" si="67">CN26+1</f>
        <v>2028</v>
      </c>
      <c r="CP26" s="101">
        <f t="shared" si="67"/>
        <v>2029</v>
      </c>
      <c r="CQ26" s="102">
        <f t="shared" si="67"/>
        <v>2030</v>
      </c>
      <c r="CT26" s="84"/>
      <c r="CU26" s="101">
        <f>ano_1</f>
        <v>2026</v>
      </c>
      <c r="CV26" s="101">
        <f>CU26+1</f>
        <v>2027</v>
      </c>
      <c r="CW26" s="101">
        <f t="shared" ref="CW26:CY26" si="68">CV26+1</f>
        <v>2028</v>
      </c>
      <c r="CX26" s="101">
        <f t="shared" si="68"/>
        <v>2029</v>
      </c>
      <c r="CY26" s="102">
        <f t="shared" si="68"/>
        <v>2030</v>
      </c>
      <c r="DB26" s="84"/>
      <c r="DC26" s="101">
        <f>ano_1</f>
        <v>2026</v>
      </c>
      <c r="DD26" s="101">
        <f>DC26+1</f>
        <v>2027</v>
      </c>
      <c r="DE26" s="101">
        <f t="shared" ref="DE26:DG26" si="69">DD26+1</f>
        <v>2028</v>
      </c>
      <c r="DF26" s="101">
        <f t="shared" si="69"/>
        <v>2029</v>
      </c>
      <c r="DG26" s="102">
        <f t="shared" si="69"/>
        <v>2030</v>
      </c>
    </row>
    <row r="27" spans="2:113" ht="15" thickBot="1">
      <c r="B27" s="386" t="s">
        <v>335</v>
      </c>
      <c r="C27" s="315">
        <f>C$7*'Mkt share'!$C$82</f>
        <v>0</v>
      </c>
      <c r="D27" s="315">
        <f>D$7*'Mkt share'!$D$82</f>
        <v>0</v>
      </c>
      <c r="E27" s="315">
        <f>E$7*'Mkt share'!$E$82</f>
        <v>0</v>
      </c>
      <c r="F27" s="315">
        <f>F$7*'Mkt share'!$F$82</f>
        <v>0</v>
      </c>
      <c r="G27" s="387">
        <f>G$7*'Mkt share'!$G$82</f>
        <v>0</v>
      </c>
      <c r="J27" s="386" t="s">
        <v>335</v>
      </c>
      <c r="K27" s="315">
        <f>K$7*'Mkt share'!$C$83</f>
        <v>0</v>
      </c>
      <c r="L27" s="315">
        <f>L$7*'Mkt share'!$D$83</f>
        <v>0</v>
      </c>
      <c r="M27" s="315">
        <f>M$7*'Mkt share'!$E$83</f>
        <v>0</v>
      </c>
      <c r="N27" s="315">
        <f>N$7*'Mkt share'!$F$83</f>
        <v>0</v>
      </c>
      <c r="O27" s="387">
        <f>O$7*'Mkt share'!$G$83</f>
        <v>0</v>
      </c>
      <c r="R27" s="386" t="s">
        <v>335</v>
      </c>
      <c r="S27" s="315">
        <f>S$7*'Mkt share'!$C$84</f>
        <v>0</v>
      </c>
      <c r="T27" s="315">
        <f>T$7*'Mkt share'!$D$84</f>
        <v>0</v>
      </c>
      <c r="U27" s="315">
        <f>U$7*'Mkt share'!$E$84</f>
        <v>0</v>
      </c>
      <c r="V27" s="315">
        <f>V$7*'Mkt share'!$F$84</f>
        <v>0</v>
      </c>
      <c r="W27" s="387">
        <f>W$7*'Mkt share'!$G$84</f>
        <v>0</v>
      </c>
      <c r="Z27" s="386" t="s">
        <v>335</v>
      </c>
      <c r="AA27" s="315">
        <f>AA$7*'Mkt share'!$C$85</f>
        <v>0</v>
      </c>
      <c r="AB27" s="315">
        <f>AB$7*'Mkt share'!$D$85</f>
        <v>0</v>
      </c>
      <c r="AC27" s="315">
        <f>AC$7*'Mkt share'!$E$85</f>
        <v>0</v>
      </c>
      <c r="AD27" s="315">
        <f>AD$7*'Mkt share'!$F$85</f>
        <v>0</v>
      </c>
      <c r="AE27" s="387">
        <f>AE$7*'Mkt share'!$G$85</f>
        <v>0</v>
      </c>
      <c r="AH27" s="386" t="s">
        <v>336</v>
      </c>
      <c r="AI27" s="315">
        <f>AI$7*'Mkt share'!$C$86</f>
        <v>0</v>
      </c>
      <c r="AJ27" s="315">
        <f>AJ$7*'Mkt share'!$D$86</f>
        <v>0</v>
      </c>
      <c r="AK27" s="315">
        <f>AK$7*'Mkt share'!$E$86</f>
        <v>0</v>
      </c>
      <c r="AL27" s="315">
        <f>AL$7*'Mkt share'!$F$86</f>
        <v>0</v>
      </c>
      <c r="AM27" s="387">
        <f>AM$7*'Mkt share'!$G$86</f>
        <v>0</v>
      </c>
      <c r="AP27" s="386" t="s">
        <v>335</v>
      </c>
      <c r="AQ27" s="315">
        <f>AQ$7*'Mkt share'!$C$87</f>
        <v>0</v>
      </c>
      <c r="AR27" s="315">
        <f>AR$7*'Mkt share'!$D$87</f>
        <v>0</v>
      </c>
      <c r="AS27" s="315">
        <f>AS$7*'Mkt share'!$E$87</f>
        <v>0</v>
      </c>
      <c r="AT27" s="315">
        <f>AT$7*'Mkt share'!$F$87</f>
        <v>0</v>
      </c>
      <c r="AU27" s="387">
        <f>AU$7*'Mkt share'!$G$87</f>
        <v>0</v>
      </c>
      <c r="AX27" s="386" t="s">
        <v>335</v>
      </c>
      <c r="AY27" s="315">
        <f>AY$7*'Mkt share'!$C$88</f>
        <v>0</v>
      </c>
      <c r="AZ27" s="315">
        <f>AZ$7*'Mkt share'!$D$88</f>
        <v>0</v>
      </c>
      <c r="BA27" s="315">
        <f>BA$7*'Mkt share'!$E$88</f>
        <v>0</v>
      </c>
      <c r="BB27" s="315">
        <f>BB$7*'Mkt share'!$F$88</f>
        <v>0</v>
      </c>
      <c r="BC27" s="387">
        <f>BC$7*'Mkt share'!$G$88</f>
        <v>0</v>
      </c>
      <c r="BF27" s="386" t="s">
        <v>335</v>
      </c>
      <c r="BG27" s="315">
        <f>BG$7*'Mkt share'!$C$89</f>
        <v>0</v>
      </c>
      <c r="BH27" s="315">
        <f>BH$7*'Mkt share'!$D$89</f>
        <v>0</v>
      </c>
      <c r="BI27" s="315">
        <f>BI$7*'Mkt share'!$E$89</f>
        <v>0</v>
      </c>
      <c r="BJ27" s="315">
        <f>BJ$7*'Mkt share'!$F$89</f>
        <v>0</v>
      </c>
      <c r="BK27" s="387">
        <f>BK$7*'Mkt share'!$G$89</f>
        <v>0</v>
      </c>
      <c r="BN27" s="386" t="s">
        <v>335</v>
      </c>
      <c r="BO27" s="315">
        <f>BO$7*'Mkt share'!$C$90</f>
        <v>0</v>
      </c>
      <c r="BP27" s="315">
        <f>BP$7*'Mkt share'!$D$90</f>
        <v>0</v>
      </c>
      <c r="BQ27" s="315">
        <f>BQ$7*'Mkt share'!$E$90</f>
        <v>0</v>
      </c>
      <c r="BR27" s="315">
        <f>BR$7*'Mkt share'!$F$90</f>
        <v>0</v>
      </c>
      <c r="BS27" s="387">
        <f>BS$7*'Mkt share'!$G$90</f>
        <v>0</v>
      </c>
      <c r="BV27" s="386" t="s">
        <v>335</v>
      </c>
      <c r="BW27" s="315">
        <f>BW$7*'Mkt share'!$C$91</f>
        <v>0</v>
      </c>
      <c r="BX27" s="315">
        <f>BX$7*'Mkt share'!$D$91</f>
        <v>0</v>
      </c>
      <c r="BY27" s="315">
        <f>BY$7*'Mkt share'!$E$91</f>
        <v>0</v>
      </c>
      <c r="BZ27" s="315">
        <f>BZ$7*'Mkt share'!$F$91</f>
        <v>0</v>
      </c>
      <c r="CA27" s="387">
        <f>CA$7*'Mkt share'!$G$91</f>
        <v>0</v>
      </c>
      <c r="CD27" s="386" t="s">
        <v>335</v>
      </c>
      <c r="CE27" s="315">
        <f>CE$7*'Mkt share'!$C$92</f>
        <v>0</v>
      </c>
      <c r="CF27" s="315">
        <f>CF$7*'Mkt share'!$D$92</f>
        <v>0</v>
      </c>
      <c r="CG27" s="315">
        <f>CG$7*'Mkt share'!$E$92</f>
        <v>0</v>
      </c>
      <c r="CH27" s="315">
        <f>CH$7*'Mkt share'!$F$92</f>
        <v>0</v>
      </c>
      <c r="CI27" s="387">
        <f>CI$7*'Mkt share'!$G$92</f>
        <v>0</v>
      </c>
      <c r="CL27" s="386" t="s">
        <v>335</v>
      </c>
      <c r="CM27" s="315">
        <f>CM$7*'Mkt share'!$C$93</f>
        <v>0</v>
      </c>
      <c r="CN27" s="315">
        <f>CN$7*'Mkt share'!$D$93</f>
        <v>0</v>
      </c>
      <c r="CO27" s="315">
        <f>CO$7*'Mkt share'!$E$93</f>
        <v>0</v>
      </c>
      <c r="CP27" s="315">
        <f>CP$7*'Mkt share'!$F$93</f>
        <v>0</v>
      </c>
      <c r="CQ27" s="387">
        <f>CQ$7*'Mkt share'!$G$93</f>
        <v>0</v>
      </c>
      <c r="CT27" s="386" t="s">
        <v>335</v>
      </c>
      <c r="CU27" s="315">
        <f>CU$7*'Mkt share'!$C$94</f>
        <v>0</v>
      </c>
      <c r="CV27" s="315">
        <f>CV$7*'Mkt share'!$D$94</f>
        <v>0</v>
      </c>
      <c r="CW27" s="315">
        <f>CW$7*'Mkt share'!$E$94</f>
        <v>0</v>
      </c>
      <c r="CX27" s="315">
        <f>CX$7*'Mkt share'!$F$94</f>
        <v>0</v>
      </c>
      <c r="CY27" s="387">
        <f>CY$7*'Mkt share'!$G$94</f>
        <v>0</v>
      </c>
      <c r="DB27" s="386" t="s">
        <v>335</v>
      </c>
      <c r="DC27" s="315">
        <f>DC$7*'Mkt share'!$C$95</f>
        <v>0</v>
      </c>
      <c r="DD27" s="315">
        <f>DD$7*'Mkt share'!$D$95</f>
        <v>0</v>
      </c>
      <c r="DE27" s="315">
        <f>DE$7*'Mkt share'!$E$95</f>
        <v>0</v>
      </c>
      <c r="DF27" s="315">
        <f>DF$7*'Mkt share'!$F$95</f>
        <v>0</v>
      </c>
      <c r="DG27" s="387">
        <f>DG$7*'Mkt share'!$G$95</f>
        <v>0</v>
      </c>
    </row>
    <row r="28" spans="2:113">
      <c r="B28" s="80"/>
      <c r="C28" s="92"/>
      <c r="D28" s="92"/>
      <c r="E28" s="92"/>
      <c r="F28" s="92"/>
      <c r="G28" s="92"/>
      <c r="J28" s="80"/>
      <c r="K28" s="92"/>
      <c r="L28" s="92"/>
      <c r="M28" s="92"/>
      <c r="N28" s="92"/>
      <c r="O28" s="92"/>
      <c r="R28" s="80"/>
      <c r="S28" s="92"/>
      <c r="T28" s="92"/>
      <c r="U28" s="92"/>
      <c r="V28" s="92"/>
      <c r="W28" s="92"/>
      <c r="Z28" s="80"/>
      <c r="AA28" s="92"/>
      <c r="AB28" s="92"/>
      <c r="AC28" s="92"/>
      <c r="AD28" s="92"/>
      <c r="AE28" s="92"/>
      <c r="AH28" s="80"/>
      <c r="AI28" s="92"/>
      <c r="AJ28" s="92"/>
      <c r="AK28" s="92"/>
      <c r="AL28" s="92"/>
      <c r="AM28" s="92"/>
      <c r="AP28" s="80"/>
      <c r="AQ28" s="92"/>
      <c r="AR28" s="92"/>
      <c r="AS28" s="92"/>
      <c r="AT28" s="92"/>
      <c r="AU28" s="92"/>
      <c r="AX28" s="80"/>
      <c r="AY28" s="92"/>
      <c r="AZ28" s="92"/>
      <c r="BA28" s="92"/>
      <c r="BB28" s="92"/>
      <c r="BC28" s="92"/>
      <c r="BF28" s="80"/>
      <c r="BG28" s="92"/>
      <c r="BH28" s="92"/>
      <c r="BI28" s="92"/>
      <c r="BJ28" s="92"/>
      <c r="BK28" s="92"/>
      <c r="BN28" s="80"/>
      <c r="BO28" s="92"/>
      <c r="BP28" s="92"/>
      <c r="BQ28" s="92"/>
      <c r="BR28" s="92"/>
      <c r="BS28" s="92"/>
      <c r="BV28" s="80"/>
      <c r="BW28" s="92"/>
      <c r="BX28" s="92"/>
      <c r="BY28" s="92"/>
      <c r="BZ28" s="92"/>
      <c r="CA28" s="92"/>
      <c r="CD28" s="80"/>
      <c r="CE28" s="92"/>
      <c r="CF28" s="92"/>
      <c r="CG28" s="92"/>
      <c r="CH28" s="92"/>
      <c r="CI28" s="92"/>
      <c r="CL28" s="80"/>
      <c r="CM28" s="92"/>
      <c r="CN28" s="92"/>
      <c r="CO28" s="92"/>
      <c r="CP28" s="92"/>
      <c r="CQ28" s="92"/>
      <c r="CT28" s="80"/>
      <c r="CU28" s="92"/>
      <c r="CV28" s="92"/>
      <c r="CW28" s="92"/>
      <c r="CX28" s="92"/>
      <c r="CY28" s="92"/>
      <c r="DB28" s="80"/>
      <c r="DC28" s="92"/>
      <c r="DD28" s="92"/>
      <c r="DE28" s="92"/>
      <c r="DF28" s="92"/>
      <c r="DG28" s="92"/>
    </row>
    <row r="30" spans="2:113" s="81" customFormat="1">
      <c r="B30" s="120"/>
      <c r="C30" s="120"/>
      <c r="D30" s="120"/>
      <c r="E30" s="120"/>
      <c r="F30" s="120"/>
      <c r="G30" s="120"/>
      <c r="H30" s="82"/>
      <c r="I30" s="82"/>
      <c r="J30" s="120"/>
      <c r="K30" s="120"/>
      <c r="L30" s="120"/>
      <c r="M30" s="120"/>
      <c r="N30" s="120"/>
      <c r="O30" s="120"/>
      <c r="P30" s="82"/>
      <c r="Q30" s="82"/>
      <c r="R30" s="120"/>
      <c r="S30" s="120"/>
      <c r="T30" s="120"/>
      <c r="U30" s="120"/>
      <c r="V30" s="120"/>
      <c r="W30" s="120"/>
      <c r="X30" s="82"/>
      <c r="Y30" s="82"/>
      <c r="Z30" s="120"/>
      <c r="AA30" s="120"/>
      <c r="AB30" s="120"/>
      <c r="AC30" s="120"/>
      <c r="AD30" s="120"/>
      <c r="AE30" s="120"/>
      <c r="AF30" s="82"/>
      <c r="AG30" s="82"/>
      <c r="AH30" s="120"/>
      <c r="AI30" s="120"/>
      <c r="AJ30" s="120"/>
      <c r="AK30" s="120"/>
      <c r="AL30" s="120"/>
      <c r="AM30" s="120"/>
      <c r="AN30" s="82"/>
      <c r="AO30" s="82"/>
      <c r="AP30" s="120"/>
      <c r="AQ30" s="120"/>
      <c r="AR30" s="120"/>
      <c r="AS30" s="120"/>
      <c r="AT30" s="120"/>
      <c r="AU30" s="120"/>
      <c r="AV30" s="82"/>
      <c r="AW30" s="82"/>
      <c r="AX30" s="120"/>
      <c r="AY30" s="120"/>
      <c r="AZ30" s="120"/>
      <c r="BA30" s="120"/>
      <c r="BB30" s="120"/>
      <c r="BC30" s="120"/>
      <c r="BD30" s="82"/>
      <c r="BE30" s="82"/>
      <c r="BF30" s="120"/>
      <c r="BG30" s="120"/>
      <c r="BH30" s="120"/>
      <c r="BI30" s="120"/>
      <c r="BJ30" s="120"/>
      <c r="BK30" s="120"/>
      <c r="BL30" s="82"/>
      <c r="BM30" s="82"/>
      <c r="BN30" s="120"/>
      <c r="BO30" s="120"/>
      <c r="BP30" s="120"/>
      <c r="BQ30" s="120"/>
      <c r="BR30" s="120"/>
      <c r="BS30" s="120"/>
      <c r="BT30" s="82"/>
      <c r="BU30" s="82"/>
      <c r="BV30" s="120"/>
      <c r="BW30" s="120"/>
      <c r="BX30" s="120"/>
      <c r="BY30" s="120"/>
      <c r="BZ30" s="120"/>
      <c r="CA30" s="120"/>
      <c r="CB30" s="82"/>
      <c r="CC30" s="82"/>
      <c r="CD30" s="120"/>
      <c r="CE30" s="120"/>
      <c r="CF30" s="120"/>
      <c r="CG30" s="120"/>
      <c r="CH30" s="120"/>
      <c r="CI30" s="120"/>
      <c r="CJ30" s="82"/>
      <c r="CK30" s="82"/>
      <c r="CL30" s="120"/>
      <c r="CM30" s="120"/>
      <c r="CN30" s="120"/>
      <c r="CO30" s="120"/>
      <c r="CP30" s="120"/>
      <c r="CQ30" s="120"/>
      <c r="CR30" s="82"/>
      <c r="CS30" s="82"/>
      <c r="CT30" s="120"/>
      <c r="CU30" s="120"/>
      <c r="CV30" s="120"/>
      <c r="CW30" s="120"/>
      <c r="CX30" s="120"/>
      <c r="CY30" s="120"/>
      <c r="CZ30" s="82"/>
      <c r="DA30" s="82"/>
      <c r="DB30" s="120"/>
      <c r="DC30" s="120"/>
      <c r="DD30" s="120"/>
      <c r="DE30" s="120"/>
      <c r="DF30" s="120"/>
      <c r="DG30" s="120"/>
      <c r="DH30" s="82"/>
      <c r="DI30" s="82"/>
    </row>
    <row r="31" spans="2:113" s="76" customFormat="1" ht="21">
      <c r="B31" s="502" t="str">
        <f>intervencao1</f>
        <v>Intrauterine device levonorgestrel</v>
      </c>
      <c r="C31" s="502"/>
      <c r="D31" s="502"/>
      <c r="E31" s="502"/>
      <c r="F31" s="502"/>
      <c r="G31" s="502"/>
      <c r="H31" s="502"/>
      <c r="I31" s="77"/>
      <c r="J31" s="502">
        <f>intervencao2</f>
        <v>0</v>
      </c>
      <c r="K31" s="502"/>
      <c r="L31" s="502"/>
      <c r="M31" s="502"/>
      <c r="N31" s="502"/>
      <c r="O31" s="502"/>
      <c r="P31" s="502"/>
      <c r="Q31" s="77"/>
      <c r="R31" s="502">
        <f>intervencao3</f>
        <v>0</v>
      </c>
      <c r="S31" s="502"/>
      <c r="T31" s="502"/>
      <c r="U31" s="502"/>
      <c r="V31" s="502"/>
      <c r="W31" s="502"/>
      <c r="X31" s="502"/>
      <c r="Y31" s="77"/>
      <c r="Z31" s="502">
        <f>intervencao4</f>
        <v>0</v>
      </c>
      <c r="AA31" s="502"/>
      <c r="AB31" s="502"/>
      <c r="AC31" s="502"/>
      <c r="AD31" s="502"/>
      <c r="AE31" s="502"/>
      <c r="AF31" s="502"/>
      <c r="AG31" s="77"/>
      <c r="AH31" s="502" t="str">
        <f>comparador1</f>
        <v>Oral contraceptive</v>
      </c>
      <c r="AI31" s="502"/>
      <c r="AJ31" s="502"/>
      <c r="AK31" s="502"/>
      <c r="AL31" s="502"/>
      <c r="AM31" s="502"/>
      <c r="AN31" s="502"/>
      <c r="AO31" s="77"/>
      <c r="AP31" s="502">
        <f>comparador2</f>
        <v>0</v>
      </c>
      <c r="AQ31" s="502"/>
      <c r="AR31" s="502"/>
      <c r="AS31" s="502"/>
      <c r="AT31" s="502"/>
      <c r="AU31" s="502"/>
      <c r="AV31" s="502"/>
      <c r="AW31" s="77"/>
      <c r="AX31" s="502">
        <f>comparador3</f>
        <v>0</v>
      </c>
      <c r="AY31" s="502"/>
      <c r="AZ31" s="502"/>
      <c r="BA31" s="502"/>
      <c r="BB31" s="502"/>
      <c r="BC31" s="502"/>
      <c r="BD31" s="502"/>
      <c r="BE31" s="77"/>
      <c r="BF31" s="502">
        <f>comparador4</f>
        <v>0</v>
      </c>
      <c r="BG31" s="502"/>
      <c r="BH31" s="502"/>
      <c r="BI31" s="502"/>
      <c r="BJ31" s="502"/>
      <c r="BK31" s="502"/>
      <c r="BL31" s="502"/>
      <c r="BM31" s="77"/>
      <c r="BN31" s="502">
        <f>comparador5</f>
        <v>0</v>
      </c>
      <c r="BO31" s="502"/>
      <c r="BP31" s="502"/>
      <c r="BQ31" s="502"/>
      <c r="BR31" s="502"/>
      <c r="BS31" s="502"/>
      <c r="BT31" s="502"/>
      <c r="BU31" s="77"/>
      <c r="BV31" s="502">
        <f>comparador6</f>
        <v>0</v>
      </c>
      <c r="BW31" s="502"/>
      <c r="BX31" s="502"/>
      <c r="BY31" s="502"/>
      <c r="BZ31" s="502"/>
      <c r="CA31" s="502"/>
      <c r="CB31" s="502"/>
      <c r="CC31" s="77"/>
      <c r="CD31" s="502">
        <f>comparador7</f>
        <v>0</v>
      </c>
      <c r="CE31" s="502"/>
      <c r="CF31" s="502"/>
      <c r="CG31" s="502"/>
      <c r="CH31" s="502"/>
      <c r="CI31" s="502"/>
      <c r="CJ31" s="502"/>
      <c r="CK31" s="77"/>
      <c r="CL31" s="502">
        <f>comparador8</f>
        <v>0</v>
      </c>
      <c r="CM31" s="502"/>
      <c r="CN31" s="502"/>
      <c r="CO31" s="502"/>
      <c r="CP31" s="502"/>
      <c r="CQ31" s="502"/>
      <c r="CR31" s="502"/>
      <c r="CS31" s="77"/>
      <c r="CT31" s="502">
        <f>comparador9</f>
        <v>0</v>
      </c>
      <c r="CU31" s="502"/>
      <c r="CV31" s="502"/>
      <c r="CW31" s="502"/>
      <c r="CX31" s="502"/>
      <c r="CY31" s="502"/>
      <c r="CZ31" s="502"/>
      <c r="DA31" s="77"/>
      <c r="DB31" s="502">
        <f>comparador10</f>
        <v>0</v>
      </c>
      <c r="DC31" s="502"/>
      <c r="DD31" s="502"/>
      <c r="DE31" s="502"/>
      <c r="DF31" s="502"/>
      <c r="DG31" s="502"/>
      <c r="DH31" s="502"/>
      <c r="DI31" s="77"/>
    </row>
    <row r="32" spans="2:113" ht="18">
      <c r="B32" s="503" t="s">
        <v>181</v>
      </c>
      <c r="C32" s="503"/>
      <c r="D32" s="503"/>
      <c r="E32" s="503"/>
      <c r="F32" s="503"/>
      <c r="G32" s="503"/>
      <c r="H32" s="71"/>
      <c r="I32" s="71"/>
      <c r="J32" s="503" t="s">
        <v>181</v>
      </c>
      <c r="K32" s="503"/>
      <c r="L32" s="503"/>
      <c r="M32" s="503"/>
      <c r="N32" s="503"/>
      <c r="O32" s="503"/>
      <c r="P32" s="71"/>
      <c r="Q32" s="71"/>
      <c r="R32" s="503" t="s">
        <v>181</v>
      </c>
      <c r="S32" s="503"/>
      <c r="T32" s="503"/>
      <c r="U32" s="503"/>
      <c r="V32" s="503"/>
      <c r="W32" s="503"/>
      <c r="X32" s="71"/>
      <c r="Y32" s="71"/>
      <c r="Z32" s="503" t="s">
        <v>181</v>
      </c>
      <c r="AA32" s="503"/>
      <c r="AB32" s="503"/>
      <c r="AC32" s="503"/>
      <c r="AD32" s="503"/>
      <c r="AE32" s="503"/>
      <c r="AF32" s="71"/>
      <c r="AG32" s="71"/>
      <c r="AH32" s="503" t="s">
        <v>181</v>
      </c>
      <c r="AI32" s="503"/>
      <c r="AJ32" s="503"/>
      <c r="AK32" s="503"/>
      <c r="AL32" s="503"/>
      <c r="AM32" s="503"/>
      <c r="AN32" s="71"/>
      <c r="AO32" s="71"/>
      <c r="AP32" s="503" t="s">
        <v>181</v>
      </c>
      <c r="AQ32" s="503"/>
      <c r="AR32" s="503"/>
      <c r="AS32" s="503"/>
      <c r="AT32" s="503"/>
      <c r="AU32" s="503"/>
      <c r="AV32" s="71"/>
      <c r="AW32" s="71"/>
      <c r="AX32" s="503" t="s">
        <v>181</v>
      </c>
      <c r="AY32" s="503"/>
      <c r="AZ32" s="503"/>
      <c r="BA32" s="503"/>
      <c r="BB32" s="503"/>
      <c r="BC32" s="503"/>
      <c r="BD32" s="71"/>
      <c r="BE32" s="71"/>
      <c r="BF32" s="503" t="s">
        <v>181</v>
      </c>
      <c r="BG32" s="503"/>
      <c r="BH32" s="503"/>
      <c r="BI32" s="503"/>
      <c r="BJ32" s="503"/>
      <c r="BK32" s="503"/>
      <c r="BL32" s="71"/>
      <c r="BM32" s="71"/>
      <c r="BN32" s="503" t="s">
        <v>181</v>
      </c>
      <c r="BO32" s="503"/>
      <c r="BP32" s="503"/>
      <c r="BQ32" s="503"/>
      <c r="BR32" s="503"/>
      <c r="BS32" s="503"/>
      <c r="BT32" s="71"/>
      <c r="BU32" s="71"/>
      <c r="BV32" s="503" t="s">
        <v>181</v>
      </c>
      <c r="BW32" s="503"/>
      <c r="BX32" s="503"/>
      <c r="BY32" s="503"/>
      <c r="BZ32" s="503"/>
      <c r="CA32" s="503"/>
      <c r="CB32" s="71"/>
      <c r="CC32" s="71"/>
      <c r="CD32" s="503" t="s">
        <v>181</v>
      </c>
      <c r="CE32" s="503"/>
      <c r="CF32" s="503"/>
      <c r="CG32" s="503"/>
      <c r="CH32" s="503"/>
      <c r="CI32" s="503"/>
      <c r="CJ32" s="71"/>
      <c r="CK32" s="71"/>
      <c r="CL32" s="503" t="s">
        <v>181</v>
      </c>
      <c r="CM32" s="503"/>
      <c r="CN32" s="503"/>
      <c r="CO32" s="503"/>
      <c r="CP32" s="503"/>
      <c r="CQ32" s="503"/>
      <c r="CR32" s="71"/>
      <c r="CS32" s="71"/>
      <c r="CT32" s="503" t="s">
        <v>181</v>
      </c>
      <c r="CU32" s="503"/>
      <c r="CV32" s="503"/>
      <c r="CW32" s="503"/>
      <c r="CX32" s="503"/>
      <c r="CY32" s="503"/>
      <c r="CZ32" s="71"/>
      <c r="DA32" s="71"/>
      <c r="DB32" s="503" t="s">
        <v>181</v>
      </c>
      <c r="DC32" s="503"/>
      <c r="DD32" s="503"/>
      <c r="DE32" s="503"/>
      <c r="DF32" s="503"/>
      <c r="DG32" s="503"/>
      <c r="DH32" s="71"/>
      <c r="DI32" s="71"/>
    </row>
    <row r="33" spans="2:113" ht="15" thickBot="1">
      <c r="B33" s="83"/>
      <c r="C33" s="83"/>
      <c r="D33" s="83"/>
      <c r="E33" s="83"/>
      <c r="F33" s="83"/>
      <c r="G33" s="83"/>
      <c r="J33" s="83"/>
      <c r="K33" s="83"/>
      <c r="L33" s="83"/>
      <c r="M33" s="83"/>
      <c r="N33" s="83"/>
      <c r="O33" s="83"/>
      <c r="R33" s="83"/>
      <c r="S33" s="83"/>
      <c r="T33" s="83"/>
      <c r="U33" s="83"/>
      <c r="V33" s="83"/>
      <c r="W33" s="83"/>
      <c r="Z33" s="83"/>
      <c r="AA33" s="83"/>
      <c r="AB33" s="83"/>
      <c r="AC33" s="83"/>
      <c r="AD33" s="83"/>
      <c r="AE33" s="83"/>
      <c r="AH33" s="83"/>
      <c r="AI33" s="83"/>
      <c r="AJ33" s="83"/>
      <c r="AK33" s="83"/>
      <c r="AL33" s="83"/>
      <c r="AM33" s="83"/>
      <c r="AP33" s="83"/>
      <c r="AQ33" s="83"/>
      <c r="AR33" s="83"/>
      <c r="AS33" s="83"/>
      <c r="AT33" s="83"/>
      <c r="AU33" s="83"/>
      <c r="AX33" s="83"/>
      <c r="AY33" s="83"/>
      <c r="AZ33" s="83"/>
      <c r="BA33" s="83"/>
      <c r="BB33" s="83"/>
      <c r="BC33" s="83"/>
      <c r="BF33" s="83"/>
      <c r="BG33" s="83"/>
      <c r="BH33" s="83"/>
      <c r="BI33" s="83"/>
      <c r="BJ33" s="83"/>
      <c r="BK33" s="83"/>
      <c r="BN33" s="83"/>
      <c r="BO33" s="83"/>
      <c r="BP33" s="83"/>
      <c r="BQ33" s="83"/>
      <c r="BR33" s="83"/>
      <c r="BS33" s="83"/>
      <c r="BV33" s="83"/>
      <c r="BW33" s="83"/>
      <c r="BX33" s="83"/>
      <c r="BY33" s="83"/>
      <c r="BZ33" s="83"/>
      <c r="CA33" s="83"/>
      <c r="CD33" s="83"/>
      <c r="CE33" s="83"/>
      <c r="CF33" s="83"/>
      <c r="CG33" s="83"/>
      <c r="CH33" s="83"/>
      <c r="CI33" s="83"/>
      <c r="CL33" s="83"/>
      <c r="CM33" s="83"/>
      <c r="CN33" s="83"/>
      <c r="CO33" s="83"/>
      <c r="CP33" s="83"/>
      <c r="CQ33" s="83"/>
      <c r="CT33" s="83"/>
      <c r="CU33" s="83"/>
      <c r="CV33" s="83"/>
      <c r="CW33" s="83"/>
      <c r="CX33" s="83"/>
      <c r="CY33" s="83"/>
      <c r="DB33" s="83"/>
      <c r="DC33" s="83"/>
      <c r="DD33" s="83"/>
      <c r="DE33" s="83"/>
      <c r="DF33" s="83"/>
      <c r="DG33" s="83"/>
    </row>
    <row r="34" spans="2:113" ht="15" thickBot="1">
      <c r="B34" s="504" t="str">
        <f>B13</f>
        <v>Without IUD-LNG</v>
      </c>
      <c r="C34" s="505"/>
      <c r="D34" s="505"/>
      <c r="E34" s="505"/>
      <c r="F34" s="505"/>
      <c r="G34" s="506"/>
      <c r="J34" s="504" t="str">
        <f>J13</f>
        <v>Without IUD-LNG</v>
      </c>
      <c r="K34" s="505"/>
      <c r="L34" s="505"/>
      <c r="M34" s="505"/>
      <c r="N34" s="505"/>
      <c r="O34" s="506"/>
      <c r="R34" s="504" t="str">
        <f>R13</f>
        <v>Without IUD-LNG</v>
      </c>
      <c r="S34" s="505"/>
      <c r="T34" s="505"/>
      <c r="U34" s="505"/>
      <c r="V34" s="505"/>
      <c r="W34" s="506"/>
      <c r="Z34" s="504" t="str">
        <f>Z13</f>
        <v>Without IUD-LNG</v>
      </c>
      <c r="AA34" s="505"/>
      <c r="AB34" s="505"/>
      <c r="AC34" s="505"/>
      <c r="AD34" s="505"/>
      <c r="AE34" s="506"/>
      <c r="AH34" s="504" t="str">
        <f>AH13</f>
        <v>Without IUD-LNG</v>
      </c>
      <c r="AI34" s="505"/>
      <c r="AJ34" s="505"/>
      <c r="AK34" s="505"/>
      <c r="AL34" s="505"/>
      <c r="AM34" s="506"/>
      <c r="AP34" s="504" t="str">
        <f>AP13</f>
        <v>Without IUD-LNG</v>
      </c>
      <c r="AQ34" s="505"/>
      <c r="AR34" s="505"/>
      <c r="AS34" s="505"/>
      <c r="AT34" s="505"/>
      <c r="AU34" s="506"/>
      <c r="AX34" s="504" t="str">
        <f>AX13</f>
        <v>Without IUD-LNG</v>
      </c>
      <c r="AY34" s="505"/>
      <c r="AZ34" s="505"/>
      <c r="BA34" s="505"/>
      <c r="BB34" s="505"/>
      <c r="BC34" s="506"/>
      <c r="BF34" s="504" t="str">
        <f>BF13</f>
        <v>Without IUD-LNG</v>
      </c>
      <c r="BG34" s="505"/>
      <c r="BH34" s="505"/>
      <c r="BI34" s="505"/>
      <c r="BJ34" s="505"/>
      <c r="BK34" s="506"/>
      <c r="BN34" s="504" t="str">
        <f>BN13</f>
        <v>Without IUD-LNG</v>
      </c>
      <c r="BO34" s="505"/>
      <c r="BP34" s="505"/>
      <c r="BQ34" s="505"/>
      <c r="BR34" s="505"/>
      <c r="BS34" s="506"/>
      <c r="BV34" s="504" t="str">
        <f>BV13</f>
        <v>Without IUD-LNG</v>
      </c>
      <c r="BW34" s="505"/>
      <c r="BX34" s="505"/>
      <c r="BY34" s="505"/>
      <c r="BZ34" s="505"/>
      <c r="CA34" s="506"/>
      <c r="CD34" s="504" t="str">
        <f>CD13</f>
        <v>Without IUD-LNG</v>
      </c>
      <c r="CE34" s="505"/>
      <c r="CF34" s="505"/>
      <c r="CG34" s="505"/>
      <c r="CH34" s="505"/>
      <c r="CI34" s="506"/>
      <c r="CL34" s="504" t="str">
        <f>CL13</f>
        <v>Without IUD-LNG</v>
      </c>
      <c r="CM34" s="505"/>
      <c r="CN34" s="505"/>
      <c r="CO34" s="505"/>
      <c r="CP34" s="505"/>
      <c r="CQ34" s="506"/>
      <c r="CT34" s="504" t="str">
        <f>CT13</f>
        <v>Without IUD-LNG</v>
      </c>
      <c r="CU34" s="505"/>
      <c r="CV34" s="505"/>
      <c r="CW34" s="505"/>
      <c r="CX34" s="505"/>
      <c r="CY34" s="506"/>
      <c r="DB34" s="504" t="str">
        <f>DB13</f>
        <v>Without IUD-LNG</v>
      </c>
      <c r="DC34" s="505"/>
      <c r="DD34" s="505"/>
      <c r="DE34" s="505"/>
      <c r="DF34" s="505"/>
      <c r="DG34" s="506"/>
    </row>
    <row r="35" spans="2:113">
      <c r="B35" s="84"/>
      <c r="C35" s="101">
        <f>C14</f>
        <v>2026</v>
      </c>
      <c r="D35" s="101">
        <f>D14</f>
        <v>2027</v>
      </c>
      <c r="E35" s="101">
        <f>E14</f>
        <v>2028</v>
      </c>
      <c r="F35" s="101">
        <f>F14</f>
        <v>2029</v>
      </c>
      <c r="G35" s="102">
        <f>G14</f>
        <v>2030</v>
      </c>
      <c r="J35" s="84"/>
      <c r="K35" s="101">
        <f>K14</f>
        <v>2026</v>
      </c>
      <c r="L35" s="101">
        <f>L14</f>
        <v>2027</v>
      </c>
      <c r="M35" s="101">
        <f>M14</f>
        <v>2028</v>
      </c>
      <c r="N35" s="101">
        <f>N14</f>
        <v>2029</v>
      </c>
      <c r="O35" s="102">
        <f>O14</f>
        <v>2030</v>
      </c>
      <c r="R35" s="84"/>
      <c r="S35" s="101">
        <f>S14</f>
        <v>2026</v>
      </c>
      <c r="T35" s="101">
        <f>T14</f>
        <v>2027</v>
      </c>
      <c r="U35" s="101">
        <f>U14</f>
        <v>2028</v>
      </c>
      <c r="V35" s="101">
        <f>V14</f>
        <v>2029</v>
      </c>
      <c r="W35" s="102">
        <f>W14</f>
        <v>2030</v>
      </c>
      <c r="Z35" s="84"/>
      <c r="AA35" s="101">
        <f>AA14</f>
        <v>2026</v>
      </c>
      <c r="AB35" s="101">
        <f>AB14</f>
        <v>2027</v>
      </c>
      <c r="AC35" s="101">
        <f>AC14</f>
        <v>2028</v>
      </c>
      <c r="AD35" s="101">
        <f>AD14</f>
        <v>2029</v>
      </c>
      <c r="AE35" s="102">
        <f>AE14</f>
        <v>2030</v>
      </c>
      <c r="AH35" s="84"/>
      <c r="AI35" s="101">
        <f>AI14</f>
        <v>2026</v>
      </c>
      <c r="AJ35" s="101">
        <f>AJ14</f>
        <v>2027</v>
      </c>
      <c r="AK35" s="101">
        <f>AK14</f>
        <v>2028</v>
      </c>
      <c r="AL35" s="101">
        <f>AL14</f>
        <v>2029</v>
      </c>
      <c r="AM35" s="102">
        <f>AM14</f>
        <v>2030</v>
      </c>
      <c r="AP35" s="84"/>
      <c r="AQ35" s="101">
        <f>AQ14</f>
        <v>2026</v>
      </c>
      <c r="AR35" s="101">
        <f>AR14</f>
        <v>2027</v>
      </c>
      <c r="AS35" s="101">
        <f>AS14</f>
        <v>2028</v>
      </c>
      <c r="AT35" s="101">
        <f>AT14</f>
        <v>2029</v>
      </c>
      <c r="AU35" s="102">
        <f>AU14</f>
        <v>2030</v>
      </c>
      <c r="AX35" s="84"/>
      <c r="AY35" s="101">
        <f>AY14</f>
        <v>2026</v>
      </c>
      <c r="AZ35" s="101">
        <f>AZ14</f>
        <v>2027</v>
      </c>
      <c r="BA35" s="101">
        <f>BA14</f>
        <v>2028</v>
      </c>
      <c r="BB35" s="101">
        <f>BB14</f>
        <v>2029</v>
      </c>
      <c r="BC35" s="102">
        <f>BC14</f>
        <v>2030</v>
      </c>
      <c r="BF35" s="84"/>
      <c r="BG35" s="101">
        <f>BG14</f>
        <v>2026</v>
      </c>
      <c r="BH35" s="101">
        <f>BH14</f>
        <v>2027</v>
      </c>
      <c r="BI35" s="101">
        <f>BI14</f>
        <v>2028</v>
      </c>
      <c r="BJ35" s="101">
        <f>BJ14</f>
        <v>2029</v>
      </c>
      <c r="BK35" s="102">
        <f>BK14</f>
        <v>2030</v>
      </c>
      <c r="BN35" s="84"/>
      <c r="BO35" s="101">
        <f>BO14</f>
        <v>2026</v>
      </c>
      <c r="BP35" s="101">
        <f>BP14</f>
        <v>2027</v>
      </c>
      <c r="BQ35" s="101">
        <f>BQ14</f>
        <v>2028</v>
      </c>
      <c r="BR35" s="101">
        <f>BR14</f>
        <v>2029</v>
      </c>
      <c r="BS35" s="102">
        <f>BS14</f>
        <v>2030</v>
      </c>
      <c r="BV35" s="84"/>
      <c r="BW35" s="101">
        <f>BW14</f>
        <v>2026</v>
      </c>
      <c r="BX35" s="101">
        <f>BX14</f>
        <v>2027</v>
      </c>
      <c r="BY35" s="101">
        <f>BY14</f>
        <v>2028</v>
      </c>
      <c r="BZ35" s="101">
        <f>BZ14</f>
        <v>2029</v>
      </c>
      <c r="CA35" s="102">
        <f>CA14</f>
        <v>2030</v>
      </c>
      <c r="CD35" s="84"/>
      <c r="CE35" s="101">
        <f>CE14</f>
        <v>2026</v>
      </c>
      <c r="CF35" s="101">
        <f>CF14</f>
        <v>2027</v>
      </c>
      <c r="CG35" s="101">
        <f>CG14</f>
        <v>2028</v>
      </c>
      <c r="CH35" s="101">
        <f>CH14</f>
        <v>2029</v>
      </c>
      <c r="CI35" s="102">
        <f>CI14</f>
        <v>2030</v>
      </c>
      <c r="CL35" s="84"/>
      <c r="CM35" s="101">
        <f>CM14</f>
        <v>2026</v>
      </c>
      <c r="CN35" s="101">
        <f>CN14</f>
        <v>2027</v>
      </c>
      <c r="CO35" s="101">
        <f>CO14</f>
        <v>2028</v>
      </c>
      <c r="CP35" s="101">
        <f>CP14</f>
        <v>2029</v>
      </c>
      <c r="CQ35" s="102">
        <f>CQ14</f>
        <v>2030</v>
      </c>
      <c r="CT35" s="84"/>
      <c r="CU35" s="101">
        <f>CU14</f>
        <v>2026</v>
      </c>
      <c r="CV35" s="101">
        <f>CV14</f>
        <v>2027</v>
      </c>
      <c r="CW35" s="101">
        <f>CW14</f>
        <v>2028</v>
      </c>
      <c r="CX35" s="101">
        <f>CX14</f>
        <v>2029</v>
      </c>
      <c r="CY35" s="102">
        <f>CY14</f>
        <v>2030</v>
      </c>
      <c r="DB35" s="84"/>
      <c r="DC35" s="101">
        <f>DC14</f>
        <v>2026</v>
      </c>
      <c r="DD35" s="101">
        <f>DD14</f>
        <v>2027</v>
      </c>
      <c r="DE35" s="101">
        <f>DE14</f>
        <v>2028</v>
      </c>
      <c r="DF35" s="101">
        <f>DF14</f>
        <v>2029</v>
      </c>
      <c r="DG35" s="102">
        <f>DG14</f>
        <v>2030</v>
      </c>
    </row>
    <row r="36" spans="2:113" s="83" customFormat="1" ht="15" thickBot="1">
      <c r="B36" s="386"/>
      <c r="C36" s="388">
        <f ca="1">(C15*c_inicial)+(C15*c_on*12)+(C15*ci_int1)+(C15*(ct_int1+ca_int1)*'Time on treatment'!$D$12)</f>
        <v>0</v>
      </c>
      <c r="D36" s="388">
        <f ca="1">((D15-C15)*(c_inicial+ci_int1))+(D15*c_on*12)+(D15*(ct_int1+ca_int1)*'Time on treatment'!$D$12)</f>
        <v>0</v>
      </c>
      <c r="E36" s="388">
        <f ca="1">(((E15-(D15-C15))-C15)*(c_inicial+ci_int1))+(E15*c_on*12)+(E15*(ct_int1+ca_int1)*'Time on treatment'!$D$12)</f>
        <v>0</v>
      </c>
      <c r="F36" s="388">
        <f ca="1">((F15-(E15-D15)-(D15-C15)-C15)*(c_inicial+ci_int1))+(F15*c_on*12)+(F15*(ct_int1+ca_int1)*'Time on treatment'!$D$12)</f>
        <v>0</v>
      </c>
      <c r="G36" s="389">
        <f ca="1">((G15-(F15-E15)-(E15-D15)-(D15-C15)-C15)*(c_inicial+ci_int1))+(G15*c_on*12)+(G15*(ct_int1+ca_int1)*'Time on treatment'!$D$12)</f>
        <v>0</v>
      </c>
      <c r="H36" s="77"/>
      <c r="I36" s="77"/>
      <c r="J36" s="386"/>
      <c r="K36" s="388">
        <f ca="1">(K15*c_inicial)+(K15*c_on*12)+(K15*ci_int2)+(K15*(ct_int2+ca_int2)*'Time on treatment'!$D$12)</f>
        <v>0</v>
      </c>
      <c r="L36" s="388">
        <f ca="1">((L15-K15)*(c_inicial+ci_int2))+(L15*c_on*12)+(L15*(ct_int2+ca_int2)*'Time on treatment'!$D$12)</f>
        <v>0</v>
      </c>
      <c r="M36" s="388">
        <f ca="1">(((M15-(L15-K15))-K15)*(c_inicial+ci_int2))+(M15*c_on*12)+(M15*(ct_int2+ca_int2)*'Time on treatment'!$D$12)</f>
        <v>0</v>
      </c>
      <c r="N36" s="388">
        <f ca="1">((N15-(M15-L15)-(L15-K15)-K15)*(c_inicial+ci_int2))+(N15*c_on*12)+(N15*(ct_int2+ca_int2)*'Time on treatment'!$D$12)</f>
        <v>0</v>
      </c>
      <c r="O36" s="389">
        <f ca="1">((O15-(N15-M15)-(M15-L15)-(L15-K15)-K15)*(c_inicial+ci_int2))+(O15*c_on*12)+(O15*(ct_int2+ca_int2)*'Time on treatment'!$D$12)</f>
        <v>0</v>
      </c>
      <c r="P36" s="77"/>
      <c r="Q36" s="77"/>
      <c r="R36" s="386"/>
      <c r="S36" s="388">
        <f ca="1">(S15*c_inicial)+(S15*c_on*12)+(S15*ci_int3)+(S15*(ct_int3+ca_int3)*'Time on treatment'!$D$12)</f>
        <v>0</v>
      </c>
      <c r="T36" s="388">
        <f ca="1">((T15-S15)*(c_inicial+ci_int3))+(T15*c_on*12)+(T15*(ct_int3+ca_int3)*'Time on treatment'!$D$12)</f>
        <v>0</v>
      </c>
      <c r="U36" s="388">
        <f ca="1">(((U15-(T15-S15))-S15)*(c_inicial+ci_int3))+(U15*c_on*12)+(U15*(ct_int3+ca_int3)*'Time on treatment'!$D$12)</f>
        <v>0</v>
      </c>
      <c r="V36" s="388">
        <f ca="1">((V15-(U15-T15)-(T15-S15)-S15)*(c_inicial+ci_int3))+(V15*c_on*12)+(V15*(ct_int3+ca_int3)*'Time on treatment'!$D$12)</f>
        <v>0</v>
      </c>
      <c r="W36" s="389">
        <f ca="1">((W15-(V15-U15)-(U15-T15)-(T15-S15)-S15)*(c_inicial+ci_int3))+(W15*c_on*12)+(W15*(ct_int3+ca_int3)*'Time on treatment'!$D$12)</f>
        <v>0</v>
      </c>
      <c r="X36" s="77"/>
      <c r="Y36" s="77"/>
      <c r="Z36" s="386"/>
      <c r="AA36" s="388">
        <f ca="1">(AA15*c_inicial)+(AA15*c_on*12)+(AA15*ci_int4)+(AA15*(ct_int4+ca_int4)*'Time on treatment'!$D$12)</f>
        <v>0</v>
      </c>
      <c r="AB36" s="388">
        <f ca="1">((AB15-AA15)*(c_inicial+ci_int4))+(AB15*c_on*12)+(AB15*(ct_int4+ca_int4)*'Time on treatment'!$D$12)</f>
        <v>0</v>
      </c>
      <c r="AC36" s="388">
        <f ca="1">(((AC15-(AB15-AA15))-AA15)*(c_inicial+ci_int4))+(AC15*c_on*12)+(AC15*(ct_int4+ca_int4)*'Time on treatment'!$D$12)</f>
        <v>0</v>
      </c>
      <c r="AD36" s="388">
        <f ca="1">((AD15-(AC15-AB15)-(AB15-AA15)-AA15)*(c_inicial+ci_int4))+(AD15*c_on*12)+(AD15*(ct_int4+ca_int4)*'Time on treatment'!$D$12)</f>
        <v>0</v>
      </c>
      <c r="AE36" s="389">
        <f ca="1">((AE15-(AD15-AC15)-(AC15-AB15)-(AB15-AA15)-AA15)*(c_inicial+ci_int4))+(AE15*c_on*12)+(AE15*(ct_int4+ca_int4)*'Time on treatment'!$D$12)</f>
        <v>0</v>
      </c>
      <c r="AF36" s="77"/>
      <c r="AG36" s="77"/>
      <c r="AH36" s="386"/>
      <c r="AI36" s="388">
        <f ca="1">(AI15*c_inicial)+(AI15*c_on*12)+(AI15*ci_comp1)+(AI15*(ct_comp1+ca_comp1)*'Time on treatment'!$D$19)</f>
        <v>5487460.7252860991</v>
      </c>
      <c r="AJ36" s="388">
        <f ca="1">((AJ15-AI15)*(c_inicial+ci_comp1))+(AJ15*c_on*12)+(AJ15*(ct_comp1+ca_comp1)*'Time on treatment'!$E$19)</f>
        <v>5467685.6632549856</v>
      </c>
      <c r="AK36" s="388">
        <f ca="1">(((AK15-(AJ15-AI15))-AI15)*(c_inicial+ci_comp1))+(AK15*c_on*12)+(AK15*(ct_comp1+ca_comp1)*'Time on treatment'!$F$19)</f>
        <v>5446299.9031707607</v>
      </c>
      <c r="AL36" s="388">
        <f ca="1">((AL15-(AK15-AJ15)-(AJ15-AI15)-AI15)*(c_inicial+ci_comp1))+(AL15*c_on*12)+(AL15*(ct_comp1+ca_comp1)*'Time on treatment'!$G$19)</f>
        <v>5420643.1059906445</v>
      </c>
      <c r="AM36" s="389">
        <f ca="1">((AM15-(AL15-AK15)-(AK15-AJ15)-(AJ15-AI15)-AI15)*(c_inicial+ci_comp1))+(AM15*c_on*12)+(AM15*(ct_comp1+ca_comp1)*'Time on treatment'!$H$19)</f>
        <v>5388358.501041064</v>
      </c>
      <c r="AN36" s="77"/>
      <c r="AO36" s="77"/>
      <c r="AP36" s="386"/>
      <c r="AQ36" s="388">
        <f ca="1">(AQ15*c_inicial)+(AQ15*c_on*12)+(AQ15*ci_comp2)+(AQ15*(ct_comp2+ca_comp2)*'Time on treatment'!$D$12)</f>
        <v>0</v>
      </c>
      <c r="AR36" s="388">
        <f ca="1">((AR15-AQ15)*(c_inicial+ci_comp2))+(AR15*c_on*12)+(AR15*(ct_comp2+ca_comp2)*'Time on treatment'!$D$12)</f>
        <v>0</v>
      </c>
      <c r="AS36" s="388">
        <f ca="1">(((AS15-(AR15-AQ15))-AQ15)*(c_inicial+ci_comp2))+(AS15*c_on*12)+(AS15*(ct_comp2+ca_comp2)*'Time on treatment'!$D$12)</f>
        <v>0</v>
      </c>
      <c r="AT36" s="388">
        <f ca="1">((AT15-(AS15-AR15)-(AR15-AQ15)-AQ15)*(c_inicial+ci_comp2))+(AT15*c_on*12)+(AT15*(ct_comp2+ca_comp2)*'Time on treatment'!$D$12)</f>
        <v>0</v>
      </c>
      <c r="AU36" s="389">
        <f ca="1">((AU15-(AT15-AS15)-(AS15-AR15)-(AR15-AQ15)-AQ15)*(c_inicial+ci_comp2))+(AU15*c_on*12)+(AU15*(ct_comp2+ca_comp2)*'Time on treatment'!$D$12)</f>
        <v>0</v>
      </c>
      <c r="AV36" s="77"/>
      <c r="AW36" s="77"/>
      <c r="AX36" s="386"/>
      <c r="AY36" s="388">
        <f ca="1">(AY15*c_inicial)+(AY15*c_on*12)+(AY15*ci_comp3)+(AY15*(ct_comp3+ca_comp3)*'Time on treatment'!$D$12)</f>
        <v>0</v>
      </c>
      <c r="AZ36" s="388">
        <f ca="1">((AZ15-AY15)*(c_inicial+ci_comp3))+(AZ15*c_on*12)+(AZ15*(ct_comp3+ca_comp3)*'Time on treatment'!$D$12)</f>
        <v>0</v>
      </c>
      <c r="BA36" s="388">
        <f ca="1">(((BA15-(AZ15-AY15))-AY15)*(c_inicial+ci_comp3))+(BA15*c_on*12)+(BA15*(ct_comp3+ca_comp3)*'Time on treatment'!$D$12)</f>
        <v>0</v>
      </c>
      <c r="BB36" s="388">
        <f ca="1">((BB15-(BA15-AZ15)-(AZ15-AY15)-AY15)*(c_inicial+ci_comp3))+(BB15*c_on*12)+(BB15*(ct_comp3+ca_comp3)*'Time on treatment'!$D$12)</f>
        <v>0</v>
      </c>
      <c r="BC36" s="389">
        <f ca="1">((BC15-(BB15-BA15)-(BA15-AZ15)-(AZ15-AY15)-AY15)*(c_inicial+ci_comp3))+(BC15*c_on*12)+(BC15*(ct_comp3+ca_comp3)*'Time on treatment'!$D$12)</f>
        <v>0</v>
      </c>
      <c r="BD36" s="77"/>
      <c r="BE36" s="77"/>
      <c r="BF36" s="386"/>
      <c r="BG36" s="388">
        <f ca="1">(BG15*c_inicial)+(BG15*c_on*12)+(BG15*ci_comp4)+(BG15*(ct_comp4+ca_comp4)*'Time on treatment'!$D$12)</f>
        <v>0</v>
      </c>
      <c r="BH36" s="388">
        <f ca="1">((BH15-BG15)*(c_inicial+ci_comp4))+(BH15*c_on*12)+(BH15*(ct_comp4+ca_comp4)*'Time on treatment'!$D$12)</f>
        <v>0</v>
      </c>
      <c r="BI36" s="388">
        <f ca="1">(((BI15-(BH15-BG15))-BG15)*(c_inicial+ci_comp4))+(BI15*c_on*12)+(BI15*(ct_comp4+ca_comp4)*'Time on treatment'!$D$12)</f>
        <v>0</v>
      </c>
      <c r="BJ36" s="388">
        <f ca="1">((BJ15-(BI15-BH15)-(BH15-BG15)-BG15)*(c_inicial+ci_comp4))+(BJ15*c_on*12)+(BJ15*(ct_comp4+ca_comp4)*'Time on treatment'!$D$12)</f>
        <v>0</v>
      </c>
      <c r="BK36" s="389">
        <f ca="1">((BK15-(BJ15-BI15)-(BI15-BH15)-(BH15-BG15)-BG15)*(c_inicial+ci_comp4))+(BK15*c_on*12)+(BK15*(ct_comp4+ca_comp4)*'Time on treatment'!$D$12)</f>
        <v>0</v>
      </c>
      <c r="BL36" s="77"/>
      <c r="BM36" s="77"/>
      <c r="BN36" s="386"/>
      <c r="BO36" s="388">
        <f ca="1">(BO15*c_inicial)+(BO15*c_on*12)+(BO15*ci_comp5)+(BO15*(ct_comp5+ca_comp5)*'Time on treatment'!$D$12)</f>
        <v>0</v>
      </c>
      <c r="BP36" s="388">
        <f ca="1">((BP15-BO15)*(c_inicial+ci_comp5))+(BP15*c_on*12)+(BP15*(ct_comp5+ca_comp5)*'Time on treatment'!$D$12)</f>
        <v>0</v>
      </c>
      <c r="BQ36" s="388">
        <f ca="1">(((BQ15-(BP15-BO15))-BO15)*(c_inicial+ci_comp5))+(BQ15*c_on*12)+(BQ15*(ct_comp5+ca_comp5)*'Time on treatment'!$D$12)</f>
        <v>0</v>
      </c>
      <c r="BR36" s="388">
        <f ca="1">((BR15-(BQ15-BP15)-(BP15-BO15)-BO15)*(c_inicial+ci_comp5))+(BR15*c_on*12)+(BR15*(ct_comp5+ca_comp5)*'Time on treatment'!$D$12)</f>
        <v>0</v>
      </c>
      <c r="BS36" s="389">
        <f ca="1">((BS15-(BR15-BQ15)-(BQ15-BP15)-(BP15-BO15)-BO15)*(c_inicial+ci_comp5))+(BS15*c_on*12)+(BS15*(ct_comp5+ca_comp5)*'Time on treatment'!$D$12)</f>
        <v>0</v>
      </c>
      <c r="BT36" s="77"/>
      <c r="BU36" s="77"/>
      <c r="BV36" s="386"/>
      <c r="BW36" s="388">
        <f ca="1">(BW15*c_inicial)+(BW15*c_on*12)+(BW15*ci_comp6)+(BW15*(ct_comp6+ca_comp6)*'Time on treatment'!$D$12)</f>
        <v>0</v>
      </c>
      <c r="BX36" s="388">
        <f ca="1">((BX15-BW15)*(c_inicial+ci_comp6))+(BX15*c_on*12)+(BX15*(ct_comp6+ca_comp6)*'Time on treatment'!$D$12)</f>
        <v>0</v>
      </c>
      <c r="BY36" s="388">
        <f ca="1">(((BY15-(BX15-BW15))-BW15)*(c_inicial+ci_comp6))+(BY15*c_on*12)+(BY15*(ct_comp6+ca_comp6)*'Time on treatment'!$D$12)</f>
        <v>0</v>
      </c>
      <c r="BZ36" s="388">
        <f ca="1">((BZ15-(BY15-BX15)-(BX15-BW15)-BW15)*(c_inicial+ci_comp6))+(BZ15*c_on*12)+(BZ15*(ct_comp6+ca_comp6)*'Time on treatment'!$D$12)</f>
        <v>0</v>
      </c>
      <c r="CA36" s="389">
        <f ca="1">((CA15-(BZ15-BY15)-(BY15-BX15)-(BX15-BW15)-BW15)*(c_inicial+ci_comp6))+(CA15*c_on*12)+(CA15*(ct_comp6+ca_comp6)*'Time on treatment'!$D$12)</f>
        <v>0</v>
      </c>
      <c r="CB36" s="77"/>
      <c r="CC36" s="77"/>
      <c r="CD36" s="386"/>
      <c r="CE36" s="388">
        <f ca="1">(CE15*c_inicial)+(CE15*c_on*12)+(CE15*ci_comp7)+(CE15*(ct_comp7+ca_comp7)*'Time on treatment'!$D$12)</f>
        <v>0</v>
      </c>
      <c r="CF36" s="388">
        <f ca="1">((CF15-CE15)*(c_inicial+ci_comp7))+(CF15*c_on*12)+(CF15*(ct_comp7+ca_comp7)*'Time on treatment'!$D$12)</f>
        <v>0</v>
      </c>
      <c r="CG36" s="388">
        <f ca="1">(((CG15-(CF15-CE15))-CE15)*(c_inicial+ci_comp7))+(CG15*c_on*12)+(CG15*(ct_comp7+ca_comp7)*'Time on treatment'!$D$12)</f>
        <v>0</v>
      </c>
      <c r="CH36" s="388">
        <f ca="1">((CH15-(CG15-CF15)-(CF15-CE15)-CE15)*(c_inicial+ci_comp7))+(CH15*c_on*12)+(CH15*(ct_comp7+ca_comp7)*'Time on treatment'!$D$12)</f>
        <v>0</v>
      </c>
      <c r="CI36" s="389">
        <f ca="1">((CI15-(CH15-CG15)-(CG15-CF15)-(CF15-CE15)-CE15)*(c_inicial+ci_comp7))+(CI15*c_on*12)+(CI15*(ct_comp7+ca_comp7)*'Time on treatment'!$D$12)</f>
        <v>0</v>
      </c>
      <c r="CJ36" s="77"/>
      <c r="CK36" s="77"/>
      <c r="CL36" s="386"/>
      <c r="CM36" s="388">
        <f ca="1">(CM15*c_inicial)+(CM15*c_on*12)+(CM15*ci_comp8)+(CM15*(ct_comp8+ca_comp8)*'Time on treatment'!$D$12)</f>
        <v>0</v>
      </c>
      <c r="CN36" s="388">
        <f ca="1">((CN15-CM15)*(c_inicial+ci_comp8))+(CN15*c_on*12)+(CN15*(ct_comp8+ca_comp8)*'Time on treatment'!$D$12)</f>
        <v>0</v>
      </c>
      <c r="CO36" s="388">
        <f ca="1">(((CO15-(CN15-CM15))-CM15)*(c_inicial+ci_comp8))+(CO15*c_on*12)+(CO15*(ct_comp8+ca_comp8)*'Time on treatment'!$D$12)</f>
        <v>0</v>
      </c>
      <c r="CP36" s="388">
        <f ca="1">((CP15-(CO15-CN15)-(CN15-CM15)-CM15)*(c_inicial+ci_comp8))+(CP15*c_on*12)+(CP15*(ct_comp8+ca_comp8)*'Time on treatment'!$D$12)</f>
        <v>0</v>
      </c>
      <c r="CQ36" s="389">
        <f ca="1">((CQ15-(CP15-CO15)-(CO15-CN15)-(CN15-CM15)-CM15)*(c_inicial+ci_comp8))+(CQ15*c_on*12)+(CQ15*(ct_comp8+ca_comp8)*'Time on treatment'!$D$12)</f>
        <v>0</v>
      </c>
      <c r="CR36" s="77"/>
      <c r="CS36" s="77"/>
      <c r="CT36" s="386"/>
      <c r="CU36" s="388">
        <f ca="1">(CU15*c_inicial)+(CU15*c_on*12)+(CU15*ci_comp9)+(CU15*(ct_comp9+ca_comp9)*'Time on treatment'!$D$12)</f>
        <v>0</v>
      </c>
      <c r="CV36" s="388">
        <f ca="1">((CV15-CU15)*(c_inicial+ci_comp9))+(CV15*c_on*12)+(CV15*(ct_comp9+ca_comp9)*'Time on treatment'!$D$12)</f>
        <v>0</v>
      </c>
      <c r="CW36" s="388">
        <f ca="1">(((CW15-(CV15-CU15))-CU15)*(c_inicial+ci_comp9))+(CW15*c_on*12)+(CW15*(ct_comp9+ca_comp9)*'Time on treatment'!$D$12)</f>
        <v>0</v>
      </c>
      <c r="CX36" s="388">
        <f ca="1">((CX15-(CW15-CV15)-(CV15-CU15)-CU15)*(c_inicial+ci_comp9))+(CX15*c_on*12)+(CX15*(ct_comp9+ca_comp9)*'Time on treatment'!$D$12)</f>
        <v>0</v>
      </c>
      <c r="CY36" s="389">
        <f ca="1">((CY15-(CX15-CW15)-(CW15-CV15)-(CV15-CU15)-CU15)*(c_inicial+ci_comp9))+(CY15*c_on*12)+(CY15*(ct_comp9+ca_comp9)*'Time on treatment'!$D$12)</f>
        <v>0</v>
      </c>
      <c r="CZ36" s="77"/>
      <c r="DA36" s="77"/>
      <c r="DB36" s="386"/>
      <c r="DC36" s="388">
        <f ca="1">(DC15*c_inicial)+(DC15*c_on*12)+(DC15*ci_comp10)+(DC15*(ct_comp10+ca_comp10)*'Time on treatment'!$D$12)</f>
        <v>0</v>
      </c>
      <c r="DD36" s="388">
        <f ca="1">((DD15-DC15)*(c_inicial+ci_comp10))+(DD15*c_on*12)+(DD15*(ct_comp10+ca_comp10)*'Time on treatment'!$D$12)</f>
        <v>0</v>
      </c>
      <c r="DE36" s="388">
        <f ca="1">(((DE15-(DD15-DC15))-DC15)*(c_inicial+ci_comp10))+(DE15*c_on*12)+(DE15*(ct_comp10+ca_comp10)*'Time on treatment'!$D$12)</f>
        <v>0</v>
      </c>
      <c r="DF36" s="388">
        <f ca="1">((DF15-(DE15-DD15)-(DD15-DC15)-DC15)*(c_inicial+ci_comp10))+(DF15*c_on*12)+(DF15*(ct_comp10+ca_comp10)*'Time on treatment'!$D$12)</f>
        <v>0</v>
      </c>
      <c r="DG36" s="389">
        <f ca="1">((DG15-(DF15-DE15)-(DE15-DD15)-(DD15-DC15)-DC15)*(c_inicial+ci_comp10))+(DG15*c_on*12)+(DG15*(ct_comp10+ca_comp10)*'Time on treatment'!$D$12)</f>
        <v>0</v>
      </c>
      <c r="DH36" s="77"/>
      <c r="DI36" s="77"/>
    </row>
    <row r="37" spans="2:113" ht="15" thickBot="1">
      <c r="B37" s="83"/>
      <c r="C37" s="86"/>
      <c r="D37" s="86"/>
      <c r="E37" s="86"/>
      <c r="F37" s="86"/>
      <c r="G37" s="86"/>
      <c r="J37" s="83"/>
      <c r="K37" s="86"/>
      <c r="L37" s="86"/>
      <c r="M37" s="86"/>
      <c r="N37" s="86"/>
      <c r="O37" s="86"/>
      <c r="R37" s="83"/>
      <c r="S37" s="86"/>
      <c r="T37" s="86"/>
      <c r="U37" s="86"/>
      <c r="V37" s="86"/>
      <c r="W37" s="86"/>
      <c r="Z37" s="83"/>
      <c r="AA37" s="86"/>
      <c r="AB37" s="86"/>
      <c r="AC37" s="86"/>
      <c r="AD37" s="86"/>
      <c r="AE37" s="86"/>
      <c r="AH37" s="83"/>
      <c r="AI37" s="86"/>
      <c r="AJ37" s="86"/>
      <c r="AK37" s="86"/>
      <c r="AL37" s="86"/>
      <c r="AM37" s="86"/>
      <c r="AP37" s="83"/>
      <c r="AQ37" s="86"/>
      <c r="AR37" s="86"/>
      <c r="AS37" s="86"/>
      <c r="AT37" s="86"/>
      <c r="AU37" s="86"/>
      <c r="AX37" s="83"/>
      <c r="AY37" s="86"/>
      <c r="AZ37" s="86"/>
      <c r="BA37" s="86"/>
      <c r="BB37" s="86"/>
      <c r="BC37" s="86"/>
      <c r="BF37" s="83"/>
      <c r="BG37" s="86"/>
      <c r="BH37" s="86"/>
      <c r="BI37" s="86"/>
      <c r="BJ37" s="86"/>
      <c r="BK37" s="86"/>
      <c r="BN37" s="83"/>
      <c r="BO37" s="86"/>
      <c r="BP37" s="86"/>
      <c r="BQ37" s="86"/>
      <c r="BR37" s="86"/>
      <c r="BS37" s="86"/>
      <c r="BV37" s="83"/>
      <c r="BW37" s="86"/>
      <c r="BX37" s="86"/>
      <c r="BY37" s="86"/>
      <c r="BZ37" s="86"/>
      <c r="CA37" s="86"/>
      <c r="CD37" s="83"/>
      <c r="CE37" s="86"/>
      <c r="CF37" s="86"/>
      <c r="CG37" s="86"/>
      <c r="CH37" s="86"/>
      <c r="CI37" s="86"/>
      <c r="CL37" s="83"/>
      <c r="CM37" s="86"/>
      <c r="CN37" s="86"/>
      <c r="CO37" s="86"/>
      <c r="CP37" s="86"/>
      <c r="CQ37" s="86"/>
      <c r="CT37" s="83"/>
      <c r="CU37" s="86"/>
      <c r="CV37" s="86"/>
      <c r="CW37" s="86"/>
      <c r="CX37" s="86"/>
      <c r="CY37" s="86"/>
      <c r="DB37" s="83"/>
      <c r="DC37" s="86"/>
      <c r="DD37" s="86"/>
      <c r="DE37" s="86"/>
      <c r="DF37" s="86"/>
      <c r="DG37" s="86"/>
    </row>
    <row r="38" spans="2:113" ht="15" thickBot="1">
      <c r="B38" s="507" t="str">
        <f>B17</f>
        <v>With IUD-LNG 5-25%</v>
      </c>
      <c r="C38" s="505"/>
      <c r="D38" s="505"/>
      <c r="E38" s="505"/>
      <c r="F38" s="505"/>
      <c r="G38" s="506"/>
      <c r="J38" s="507" t="str">
        <f>J17</f>
        <v>With IUD-LNG 5-25%</v>
      </c>
      <c r="K38" s="505"/>
      <c r="L38" s="505"/>
      <c r="M38" s="505"/>
      <c r="N38" s="505"/>
      <c r="O38" s="506"/>
      <c r="R38" s="507" t="str">
        <f>R17</f>
        <v>With IUD-LNG 5-25%</v>
      </c>
      <c r="S38" s="505"/>
      <c r="T38" s="505"/>
      <c r="U38" s="505"/>
      <c r="V38" s="505"/>
      <c r="W38" s="506"/>
      <c r="Z38" s="507" t="str">
        <f>Z17</f>
        <v>With IUD-LNG 5-25%</v>
      </c>
      <c r="AA38" s="505"/>
      <c r="AB38" s="505"/>
      <c r="AC38" s="505"/>
      <c r="AD38" s="505"/>
      <c r="AE38" s="506"/>
      <c r="AH38" s="507" t="str">
        <f>AH17</f>
        <v>With IUD-LNG 5-25%</v>
      </c>
      <c r="AI38" s="505"/>
      <c r="AJ38" s="505"/>
      <c r="AK38" s="505"/>
      <c r="AL38" s="505"/>
      <c r="AM38" s="506"/>
      <c r="AP38" s="507" t="str">
        <f>AP17</f>
        <v>With IUD-LNG 5-25%</v>
      </c>
      <c r="AQ38" s="505"/>
      <c r="AR38" s="505"/>
      <c r="AS38" s="505"/>
      <c r="AT38" s="505"/>
      <c r="AU38" s="506"/>
      <c r="AX38" s="507" t="str">
        <f>AX17</f>
        <v>With IUD-LNG 5-25%</v>
      </c>
      <c r="AY38" s="505"/>
      <c r="AZ38" s="505"/>
      <c r="BA38" s="505"/>
      <c r="BB38" s="505"/>
      <c r="BC38" s="506"/>
      <c r="BF38" s="507" t="str">
        <f>BF17</f>
        <v>With IUD-LNG 5-25%</v>
      </c>
      <c r="BG38" s="505"/>
      <c r="BH38" s="505"/>
      <c r="BI38" s="505"/>
      <c r="BJ38" s="505"/>
      <c r="BK38" s="506"/>
      <c r="BN38" s="507" t="str">
        <f>BN17</f>
        <v>With IUD-LNG 5-25%</v>
      </c>
      <c r="BO38" s="505"/>
      <c r="BP38" s="505"/>
      <c r="BQ38" s="505"/>
      <c r="BR38" s="505"/>
      <c r="BS38" s="506"/>
      <c r="BV38" s="507" t="str">
        <f>BV17</f>
        <v>With IUD-LNG 5-25%</v>
      </c>
      <c r="BW38" s="505"/>
      <c r="BX38" s="505"/>
      <c r="BY38" s="505"/>
      <c r="BZ38" s="505"/>
      <c r="CA38" s="506"/>
      <c r="CD38" s="507" t="str">
        <f>CD17</f>
        <v>With IUD-LNG 5-25%</v>
      </c>
      <c r="CE38" s="505"/>
      <c r="CF38" s="505"/>
      <c r="CG38" s="505"/>
      <c r="CH38" s="505"/>
      <c r="CI38" s="506"/>
      <c r="CL38" s="507" t="str">
        <f>CL17</f>
        <v>With IUD-LNG 5-25%</v>
      </c>
      <c r="CM38" s="505"/>
      <c r="CN38" s="505"/>
      <c r="CO38" s="505"/>
      <c r="CP38" s="505"/>
      <c r="CQ38" s="506"/>
      <c r="CT38" s="507" t="str">
        <f>CT17</f>
        <v>With IUD-LNG 5-25%</v>
      </c>
      <c r="CU38" s="505"/>
      <c r="CV38" s="505"/>
      <c r="CW38" s="505"/>
      <c r="CX38" s="505"/>
      <c r="CY38" s="506"/>
      <c r="DB38" s="507" t="str">
        <f>DB17</f>
        <v>With IUD-LNG 5-25%</v>
      </c>
      <c r="DC38" s="505"/>
      <c r="DD38" s="505"/>
      <c r="DE38" s="505"/>
      <c r="DF38" s="505"/>
      <c r="DG38" s="506"/>
    </row>
    <row r="39" spans="2:113">
      <c r="B39" s="84"/>
      <c r="C39" s="101">
        <f>C18</f>
        <v>2026</v>
      </c>
      <c r="D39" s="101">
        <f>D18</f>
        <v>2027</v>
      </c>
      <c r="E39" s="101">
        <f>E18</f>
        <v>2028</v>
      </c>
      <c r="F39" s="101">
        <f>F18</f>
        <v>2029</v>
      </c>
      <c r="G39" s="102">
        <f>G18</f>
        <v>2030</v>
      </c>
      <c r="J39" s="84"/>
      <c r="K39" s="101">
        <f>K18</f>
        <v>2026</v>
      </c>
      <c r="L39" s="101">
        <f>L18</f>
        <v>2027</v>
      </c>
      <c r="M39" s="101">
        <f>M18</f>
        <v>2028</v>
      </c>
      <c r="N39" s="101">
        <f>N18</f>
        <v>2029</v>
      </c>
      <c r="O39" s="102">
        <f>O18</f>
        <v>2030</v>
      </c>
      <c r="R39" s="84"/>
      <c r="S39" s="101">
        <f>S18</f>
        <v>2026</v>
      </c>
      <c r="T39" s="101">
        <f>T18</f>
        <v>2027</v>
      </c>
      <c r="U39" s="101">
        <f>U18</f>
        <v>2028</v>
      </c>
      <c r="V39" s="101">
        <f>V18</f>
        <v>2029</v>
      </c>
      <c r="W39" s="102">
        <f>W18</f>
        <v>2030</v>
      </c>
      <c r="Z39" s="84"/>
      <c r="AA39" s="101">
        <f>AA18</f>
        <v>2026</v>
      </c>
      <c r="AB39" s="101">
        <f>AB18</f>
        <v>2027</v>
      </c>
      <c r="AC39" s="101">
        <f>AC18</f>
        <v>2028</v>
      </c>
      <c r="AD39" s="101">
        <f>AD18</f>
        <v>2029</v>
      </c>
      <c r="AE39" s="102">
        <f>AE18</f>
        <v>2030</v>
      </c>
      <c r="AH39" s="84"/>
      <c r="AI39" s="101">
        <f>AI18</f>
        <v>2026</v>
      </c>
      <c r="AJ39" s="101">
        <f>AJ18</f>
        <v>2027</v>
      </c>
      <c r="AK39" s="101">
        <f>AK18</f>
        <v>2028</v>
      </c>
      <c r="AL39" s="101">
        <f>AL18</f>
        <v>2029</v>
      </c>
      <c r="AM39" s="102">
        <f>AM18</f>
        <v>2030</v>
      </c>
      <c r="AP39" s="84"/>
      <c r="AQ39" s="101">
        <f>AQ18</f>
        <v>2026</v>
      </c>
      <c r="AR39" s="101">
        <f>AR18</f>
        <v>2027</v>
      </c>
      <c r="AS39" s="101">
        <f>AS18</f>
        <v>2028</v>
      </c>
      <c r="AT39" s="101">
        <f>AT18</f>
        <v>2029</v>
      </c>
      <c r="AU39" s="102">
        <f>AU18</f>
        <v>2030</v>
      </c>
      <c r="AX39" s="84"/>
      <c r="AY39" s="101">
        <f>AY18</f>
        <v>2026</v>
      </c>
      <c r="AZ39" s="101">
        <f>AZ18</f>
        <v>2027</v>
      </c>
      <c r="BA39" s="101">
        <f>BA18</f>
        <v>2028</v>
      </c>
      <c r="BB39" s="101">
        <f>BB18</f>
        <v>2029</v>
      </c>
      <c r="BC39" s="102">
        <f>BC18</f>
        <v>2030</v>
      </c>
      <c r="BF39" s="84"/>
      <c r="BG39" s="101">
        <f>BG18</f>
        <v>2026</v>
      </c>
      <c r="BH39" s="101">
        <f>BH18</f>
        <v>2027</v>
      </c>
      <c r="BI39" s="101">
        <f>BI18</f>
        <v>2028</v>
      </c>
      <c r="BJ39" s="101">
        <f>BJ18</f>
        <v>2029</v>
      </c>
      <c r="BK39" s="102">
        <f>BK18</f>
        <v>2030</v>
      </c>
      <c r="BN39" s="84"/>
      <c r="BO39" s="101">
        <f>BO18</f>
        <v>2026</v>
      </c>
      <c r="BP39" s="101">
        <f>BP18</f>
        <v>2027</v>
      </c>
      <c r="BQ39" s="101">
        <f>BQ18</f>
        <v>2028</v>
      </c>
      <c r="BR39" s="101">
        <f>BR18</f>
        <v>2029</v>
      </c>
      <c r="BS39" s="102">
        <f>BS18</f>
        <v>2030</v>
      </c>
      <c r="BV39" s="84"/>
      <c r="BW39" s="101">
        <f>BW18</f>
        <v>2026</v>
      </c>
      <c r="BX39" s="101">
        <f>BX18</f>
        <v>2027</v>
      </c>
      <c r="BY39" s="101">
        <f>BY18</f>
        <v>2028</v>
      </c>
      <c r="BZ39" s="101">
        <f>BZ18</f>
        <v>2029</v>
      </c>
      <c r="CA39" s="102">
        <f>CA18</f>
        <v>2030</v>
      </c>
      <c r="CD39" s="84"/>
      <c r="CE39" s="101">
        <f>CE18</f>
        <v>2026</v>
      </c>
      <c r="CF39" s="101">
        <f>CF18</f>
        <v>2027</v>
      </c>
      <c r="CG39" s="101">
        <f>CG18</f>
        <v>2028</v>
      </c>
      <c r="CH39" s="101">
        <f>CH18</f>
        <v>2029</v>
      </c>
      <c r="CI39" s="102">
        <f>CI18</f>
        <v>2030</v>
      </c>
      <c r="CL39" s="84"/>
      <c r="CM39" s="101">
        <f>CM18</f>
        <v>2026</v>
      </c>
      <c r="CN39" s="101">
        <f>CN18</f>
        <v>2027</v>
      </c>
      <c r="CO39" s="101">
        <f>CO18</f>
        <v>2028</v>
      </c>
      <c r="CP39" s="101">
        <f>CP18</f>
        <v>2029</v>
      </c>
      <c r="CQ39" s="102">
        <f>CQ18</f>
        <v>2030</v>
      </c>
      <c r="CT39" s="84"/>
      <c r="CU39" s="101">
        <f>CU18</f>
        <v>2026</v>
      </c>
      <c r="CV39" s="101">
        <f>CV18</f>
        <v>2027</v>
      </c>
      <c r="CW39" s="101">
        <f>CW18</f>
        <v>2028</v>
      </c>
      <c r="CX39" s="101">
        <f>CX18</f>
        <v>2029</v>
      </c>
      <c r="CY39" s="102">
        <f>CY18</f>
        <v>2030</v>
      </c>
      <c r="DB39" s="84"/>
      <c r="DC39" s="101">
        <f>DC18</f>
        <v>2026</v>
      </c>
      <c r="DD39" s="101">
        <f>DD18</f>
        <v>2027</v>
      </c>
      <c r="DE39" s="101">
        <f>DE18</f>
        <v>2028</v>
      </c>
      <c r="DF39" s="101">
        <f>DF18</f>
        <v>2029</v>
      </c>
      <c r="DG39" s="102">
        <f>DG18</f>
        <v>2030</v>
      </c>
    </row>
    <row r="40" spans="2:113" s="83" customFormat="1" ht="15" thickBot="1">
      <c r="B40" s="386"/>
      <c r="C40" s="388">
        <f ca="1">(C19*c_inicial)+(C19*c_on*12)+(C19*ci_int1)+(C19*(ct_int1+ca_int1)*'Time on treatment'!$D$12)</f>
        <v>13269140.432940962</v>
      </c>
      <c r="D40" s="388">
        <f ca="1">((D19-C19)*(c_inicial+ci_int1))+(D19*c_on*12)+(D19*(ct_int1+ca_int1)*'Time on treatment'!$E$12)</f>
        <v>13173504.914694119</v>
      </c>
      <c r="E40" s="388">
        <f ca="1">((E19-D19)*(c_inicial+ci_int1))+(E19*c_on*12)+(E19*(ct_int1+ca_int1)*'Time on treatment'!$F$12)</f>
        <v>13066184.987356208</v>
      </c>
      <c r="F40" s="388">
        <f ca="1">((F19-E19)*(c_inicial+ci_int1))+(F19*c_on*12)+(F19*(ct_int1+ca_int1)*'Time on treatment'!$D$12)</f>
        <v>12921448.958893271</v>
      </c>
      <c r="G40" s="389">
        <f ca="1">((G19-F19)*(c_inicial+ci_int1))+(G19*c_on*12)+(G19*(ct_int1+ca_int1)*'Time on treatment'!$D$12)</f>
        <v>12717235.406202339</v>
      </c>
      <c r="H40" s="77"/>
      <c r="I40" s="77"/>
      <c r="J40" s="386"/>
      <c r="K40" s="388">
        <f ca="1">(K19*c_inicial)+(K19*c_on*12)+(K19*ci_int2)+(K19*(ct_int2+ca_int2)*'Time on treatment'!$D$12)</f>
        <v>0</v>
      </c>
      <c r="L40" s="388">
        <f ca="1">((L19-K19)*(c_inicial+ci_int2))+(L19*c_on*12)+(L19*(ct_int2+ca_int2)*'Time on treatment'!$D$12)</f>
        <v>0</v>
      </c>
      <c r="M40" s="388">
        <f ca="1">(((M19-(L19-K19))-K19)*(c_inicial+ci_int2))+(M19*c_on*12)+(M19*(ct_int2+ca_int2)*'Time on treatment'!$D$12)</f>
        <v>0</v>
      </c>
      <c r="N40" s="388">
        <f ca="1">((N19-(M19-L19)-(L19-K19)-K19)*(c_inicial+ci_int2))+(N19*c_on*12)+(N19*(ct_int2+ca_int2)*'Time on treatment'!$D$12)</f>
        <v>0</v>
      </c>
      <c r="O40" s="389">
        <f ca="1">((O19-(N19-M19)-(M19-L19)-(L19-K19)-K19)*(c_inicial+ci_int2))+(O19*c_on*12)+(O19*(ct_int2+ca_int2)*'Time on treatment'!$D$12)</f>
        <v>0</v>
      </c>
      <c r="P40" s="77"/>
      <c r="Q40" s="77"/>
      <c r="R40" s="386"/>
      <c r="S40" s="388">
        <f ca="1">(S19*c_inicial)+(S19*c_on*12)+(S19*ci_int3)+(S19*(ct_int3+ca_int3)*'Time on treatment'!$D$12)</f>
        <v>0</v>
      </c>
      <c r="T40" s="388">
        <f ca="1">((T19-S19)*(c_inicial+ci_int3))+(T19*c_on*12)+(T19*(ct_int3+ca_int3)*'Time on treatment'!$D$12)</f>
        <v>0</v>
      </c>
      <c r="U40" s="388">
        <f ca="1">(((U19-(T19-S19))-S19)*(c_inicial+ci_int3))+(U19*c_on*12)+(U19*(ct_int3+ca_int3)*'Time on treatment'!$D$12)</f>
        <v>0</v>
      </c>
      <c r="V40" s="388">
        <f ca="1">((V19-(U19-T19)-(T19-S19)-S19)*(c_inicial+ci_int3))+(V19*c_on*12)+(V19*(ct_int3+ca_int3)*'Time on treatment'!$D$12)</f>
        <v>0</v>
      </c>
      <c r="W40" s="389">
        <f ca="1">((W19-(V19-U19)-(U19-T19)-(T19-S19)-S19)*(c_inicial+ci_int3))+(W19*c_on*12)+(W19*(ct_int3+ca_int3)*'Time on treatment'!$D$12)</f>
        <v>0</v>
      </c>
      <c r="X40" s="77"/>
      <c r="Y40" s="77"/>
      <c r="Z40" s="386"/>
      <c r="AA40" s="388">
        <f ca="1">(AA19*c_inicial)+(AA19*c_on*12)+(AA19*ci_int4)+(AA19*(ct_int4+ca_int4)*'Time on treatment'!$D$12)</f>
        <v>0</v>
      </c>
      <c r="AB40" s="388">
        <f ca="1">((AB19-AA19)*(c_inicial+ci_int4))+(AB19*c_on*12)+(AB19*(ct_int4+ca_int4)*'Time on treatment'!$D$12)</f>
        <v>0</v>
      </c>
      <c r="AC40" s="388">
        <f ca="1">(((AC19-(AB19-AA19))-AA19)*(c_inicial+ci_int4))+(AC19*c_on*12)+(AC19*(ct_int4+ca_int4)*'Time on treatment'!$D$12)</f>
        <v>0</v>
      </c>
      <c r="AD40" s="388">
        <f ca="1">((AD19-(AC19-AB19)-(AB19-AA19)-AA19)*(c_inicial+ci_int4))+(AD19*c_on*12)+(AD19*(ct_int4+ca_int4)*'Time on treatment'!$D$12)</f>
        <v>0</v>
      </c>
      <c r="AE40" s="389">
        <f ca="1">((AE19-(AD19-AC19)-(AC19-AB19)-(AB19-AA19)-AA19)*(c_inicial+ci_int4))+(AE19*c_on*12)+(AE19*(ct_int4+ca_int4)*'Time on treatment'!$D$12)</f>
        <v>0</v>
      </c>
      <c r="AF40" s="77"/>
      <c r="AG40" s="77"/>
      <c r="AH40" s="386"/>
      <c r="AI40" s="388">
        <f ca="1">(AI19*c_inicial)+(AI19*c_on*12)+(AI19*ci_comp1)+(AI19*(ct_comp1+ca_comp1)*'Time on treatment'!$D$19)</f>
        <v>5213087.6890217941</v>
      </c>
      <c r="AJ40" s="388">
        <f ca="1">((AJ19-AI19)*(c_inicial+ci_comp1))+(AJ19*c_on*12)+(AJ19*(ct_comp1+ca_comp1)*'Time on treatment'!$E$19)</f>
        <v>4920917.0969294868</v>
      </c>
      <c r="AK40" s="388">
        <f ca="1">(((AK19-(AJ19-AI19))-AI19)*(c_inicial+ci_comp1))+(AK19*c_on*12)+(AK19*(ct_comp1+ca_comp1)*'Time on treatment'!$F$19)</f>
        <v>4629354.917695147</v>
      </c>
      <c r="AL40" s="388">
        <f ca="1">((AL19-(AK19-AJ19)-(AJ19-AI19)-AI19)*(c_inicial+ci_comp1))+(AL19*c_on*12)+(AL19*(ct_comp1+ca_comp1)*'Time on treatment'!$F$19)</f>
        <v>4336514.4847925156</v>
      </c>
      <c r="AM40" s="389">
        <f ca="1">((AM19-(AL19-AK19)-(AK19-AJ19)-(AJ19-AI19)-AI19)*(c_inicial+ci_comp1))+(AM19*c_on*12)+(AM19*(ct_comp1+ca_comp1)*'Time on treatment'!$G$19)</f>
        <v>4041268.875780798</v>
      </c>
      <c r="AN40" s="77"/>
      <c r="AO40" s="77"/>
      <c r="AP40" s="386"/>
      <c r="AQ40" s="388">
        <f ca="1">(AQ19*c_inicial)+(AQ19*c_on*12)+(AQ19*ci_comp2)+(AQ19*(ct_comp2+ca_comp2)*'Time on treatment'!$D$12)</f>
        <v>0</v>
      </c>
      <c r="AR40" s="388">
        <f ca="1">((AR19-AQ19)*(c_inicial+ci_comp2))+(AR19*c_on*12)+(AR19*(ct_comp2+ca_comp2)*'Time on treatment'!$D$12)</f>
        <v>0</v>
      </c>
      <c r="AS40" s="388">
        <f ca="1">(((AS19-(AR19-AQ19))-AQ19)*(c_inicial+ci_comp2))+(AS19*c_on*12)+(AS19*(ct_comp2+ca_comp2)*'Time on treatment'!$D$12)</f>
        <v>0</v>
      </c>
      <c r="AT40" s="388">
        <f ca="1">((AT19-(AS19-AR19)-(AR19-AQ19)-AQ19)*(c_inicial+ci_comp2))+(AT19*c_on*12)+(AT19*(ct_comp2+ca_comp2)*'Time on treatment'!$D$12)</f>
        <v>0</v>
      </c>
      <c r="AU40" s="389">
        <f ca="1">((AU19-(AT19-AS19)-(AS19-AR19)-(AR19-AQ19)-AQ19)*(c_inicial+ci_comp2))+(AU19*c_on*12)+(AU19*(ct_comp2+ca_comp2)*'Time on treatment'!$D$12)</f>
        <v>0</v>
      </c>
      <c r="AV40" s="77"/>
      <c r="AW40" s="77"/>
      <c r="AX40" s="386"/>
      <c r="AY40" s="388">
        <f ca="1">(AY19*c_inicial)+(AY19*c_on*12)+(AY19*ci_comp3)+(AY19*(ct_comp3+ca_comp3)*'Time on treatment'!$D$12)</f>
        <v>0</v>
      </c>
      <c r="AZ40" s="388">
        <f ca="1">((AZ19-AY19)*(c_inicial+ci_comp3))+(AZ19*c_on*12)+(AZ19*(ct_comp3+ca_comp3)*'Time on treatment'!$D$12)</f>
        <v>0</v>
      </c>
      <c r="BA40" s="388">
        <f ca="1">(((BA19-(AZ19-AY19))-AY19)*(c_inicial+ci_comp3))+(BA19*c_on*12)+(BA19*(ct_comp3+ca_comp3)*'Time on treatment'!$D$12)</f>
        <v>0</v>
      </c>
      <c r="BB40" s="388">
        <f ca="1">((BB19-(BA19-AZ19)-(AZ19-AY19)-AY19)*(c_inicial+ci_comp3))+(BB19*c_on*12)+(BB19*(ct_comp3+ca_comp3)*'Time on treatment'!$D$12)</f>
        <v>0</v>
      </c>
      <c r="BC40" s="389">
        <f ca="1">((BC19-(BB19-BA19)-(BA19-AZ19)-(AZ19-AY19)-AY19)*(c_inicial+ci_comp3))+(BC19*c_on*12)+(BC19*(ct_comp3+ca_comp3)*'Time on treatment'!$D$12)</f>
        <v>0</v>
      </c>
      <c r="BD40" s="77"/>
      <c r="BE40" s="77"/>
      <c r="BF40" s="386"/>
      <c r="BG40" s="388">
        <f ca="1">(BG19*c_inicial)+(BG19*c_on*12)+(BG19*ci_comp4)+(BG19*(ct_comp4+ca_comp4)*'Time on treatment'!$D$12)</f>
        <v>0</v>
      </c>
      <c r="BH40" s="388">
        <f ca="1">((BH19-BG19)*(c_inicial+ci_comp4))+(BH19*c_on*12)+(BH19*(ct_comp4+ca_comp4)*'Time on treatment'!$D$12)</f>
        <v>0</v>
      </c>
      <c r="BI40" s="388">
        <f ca="1">(((BI19-(BH19-BG19))-BG19)*(c_inicial+ci_comp4))+(BI19*c_on*12)+(BI19*(ct_comp4+ca_comp4)*'Time on treatment'!$D$12)</f>
        <v>0</v>
      </c>
      <c r="BJ40" s="388">
        <f ca="1">((BJ19-(BI19-BH19)-(BH19-BG19)-BG19)*(c_inicial+ci_comp4))+(BJ19*c_on*12)+(BJ19*(ct_comp4+ca_comp4)*'Time on treatment'!$D$12)</f>
        <v>0</v>
      </c>
      <c r="BK40" s="389">
        <f ca="1">((BK19-(BJ19-BI19)-(BI19-BH19)-(BH19-BG19)-BG19)*(c_inicial+ci_comp4))+(BK19*c_on*12)+(BK19*(ct_comp4+ca_comp4)*'Time on treatment'!$D$12)</f>
        <v>0</v>
      </c>
      <c r="BL40" s="77"/>
      <c r="BM40" s="77"/>
      <c r="BN40" s="386"/>
      <c r="BO40" s="388">
        <f ca="1">(BO19*c_inicial)+(BO19*c_on*12)+(BO19*ci_comp5)+(BO19*(ct_comp5+ca_comp5)*'Time on treatment'!$D$12)</f>
        <v>0</v>
      </c>
      <c r="BP40" s="388">
        <f ca="1">((BP19-BO19)*(c_inicial+ci_comp5))+(BP19*c_on*12)+(BP19*(ct_comp5+ca_comp5)*'Time on treatment'!$D$12)</f>
        <v>0</v>
      </c>
      <c r="BQ40" s="388">
        <f ca="1">(((BQ19-(BP19-BO19))-BO19)*(c_inicial+ci_comp5))+(BQ19*c_on*12)+(BQ19*(ct_comp5+ca_comp5)*'Time on treatment'!$D$12)</f>
        <v>0</v>
      </c>
      <c r="BR40" s="388">
        <f ca="1">((BR19-(BQ19-BP19)-(BP19-BO19)-BO19)*(c_inicial+ci_comp5))+(BR19*c_on*12)+(BR19*(ct_comp5+ca_comp5)*'Time on treatment'!$D$12)</f>
        <v>0</v>
      </c>
      <c r="BS40" s="389">
        <f ca="1">((BS19-(BR19-BQ19)-(BQ19-BP19)-(BP19-BO19)-BO19)*(c_inicial+ci_comp5))+(BS19*c_on*12)+(BS19*(ct_comp5+ca_comp5)*'Time on treatment'!$D$12)</f>
        <v>0</v>
      </c>
      <c r="BT40" s="77"/>
      <c r="BU40" s="77"/>
      <c r="BV40" s="386"/>
      <c r="BW40" s="388">
        <f ca="1">(BW19*c_inicial)+(BW19*c_on*12)+(BW19*ci_comp6)+(BW19*(ct_comp6+ca_comp6)*'Time on treatment'!$D$12)</f>
        <v>0</v>
      </c>
      <c r="BX40" s="388">
        <f ca="1">((BX19-BW19)*(c_inicial+ci_comp6))+(BX19*c_on*12)+(BX19*(ct_comp6+ca_comp6)*'Time on treatment'!$D$12)</f>
        <v>0</v>
      </c>
      <c r="BY40" s="388">
        <f ca="1">(((BY19-(BX19-BW19))-BW19)*(c_inicial+ci_comp6))+(BY19*c_on*12)+(BY19*(ct_comp6+ca_comp6)*'Time on treatment'!$D$12)</f>
        <v>0</v>
      </c>
      <c r="BZ40" s="388">
        <f ca="1">((BZ19-(BY19-BX19)-(BX19-BW19)-BW19)*(c_inicial+ci_comp6))+(BZ19*c_on*12)+(BZ19*(ct_comp6+ca_comp6)*'Time on treatment'!$D$12)</f>
        <v>0</v>
      </c>
      <c r="CA40" s="389">
        <f ca="1">((CA19-(BZ19-BY19)-(BY19-BX19)-(BX19-BW19)-BW19)*(c_inicial+ci_comp6))+(CA19*c_on*12)+(CA19*(ct_comp6+ca_comp6)*'Time on treatment'!$D$12)</f>
        <v>0</v>
      </c>
      <c r="CB40" s="77"/>
      <c r="CC40" s="77"/>
      <c r="CD40" s="386"/>
      <c r="CE40" s="388">
        <f ca="1">(CE19*c_inicial)+(CE19*c_on*12)+(CE19*ci_comp7)+(CE19*(ct_comp7+ca_comp7)*'Time on treatment'!$D$12)</f>
        <v>0</v>
      </c>
      <c r="CF40" s="388">
        <f ca="1">((CF19-CE19)*(c_inicial+ci_comp7))+(CF19*c_on*12)+(CF19*(ct_comp7+ca_comp7)*'Time on treatment'!$D$12)</f>
        <v>0</v>
      </c>
      <c r="CG40" s="388">
        <f ca="1">(((CG19-(CF19-CE19))-CE19)*(c_inicial+ci_comp7))+(CG19*c_on*12)+(CG19*(ct_comp7+ca_comp7)*'Time on treatment'!$D$12)</f>
        <v>0</v>
      </c>
      <c r="CH40" s="388">
        <f ca="1">((CH19-(CG19-CF19)-(CF19-CE19)-CE19)*(c_inicial+ci_comp7))+(CH19*c_on*12)+(CH19*(ct_comp7+ca_comp7)*'Time on treatment'!$D$12)</f>
        <v>0</v>
      </c>
      <c r="CI40" s="389">
        <f ca="1">((CI19-(CH19-CG19)-(CG19-CF19)-(CF19-CE19)-CE19)*(c_inicial+ci_comp7))+(CI19*c_on*12)+(CI19*(ct_comp7+ca_comp7)*'Time on treatment'!$D$12)</f>
        <v>0</v>
      </c>
      <c r="CJ40" s="77"/>
      <c r="CK40" s="77"/>
      <c r="CL40" s="386"/>
      <c r="CM40" s="388">
        <f ca="1">(CM19*c_inicial)+(CM19*c_on*12)+(CM19*ci_comp8)+(CM19*(ct_comp8+ca_comp8)*'Time on treatment'!$D$12)</f>
        <v>0</v>
      </c>
      <c r="CN40" s="388">
        <f ca="1">((CN19-CM19)*(c_inicial+ci_comp8))+(CN19*c_on*12)+(CN19*(ct_comp8+ca_comp8)*'Time on treatment'!$D$12)</f>
        <v>0</v>
      </c>
      <c r="CO40" s="388">
        <f ca="1">(((CO19-(CN19-CM19))-CM19)*(c_inicial+ci_comp8))+(CO19*c_on*12)+(CO19*(ct_comp8+ca_comp8)*'Time on treatment'!$D$12)</f>
        <v>0</v>
      </c>
      <c r="CP40" s="388">
        <f ca="1">((CP19-(CO19-CN19)-(CN19-CM19)-CM19)*(c_inicial+ci_comp8))+(CP19*c_on*12)+(CP19*(ct_comp8+ca_comp8)*'Time on treatment'!$D$12)</f>
        <v>0</v>
      </c>
      <c r="CQ40" s="389">
        <f ca="1">((CQ19-(CP19-CO19)-(CO19-CN19)-(CN19-CM19)-CM19)*(c_inicial+ci_comp8))+(CQ19*c_on*12)+(CQ19*(ct_comp8+ca_comp8)*'Time on treatment'!$D$12)</f>
        <v>0</v>
      </c>
      <c r="CR40" s="77"/>
      <c r="CS40" s="77"/>
      <c r="CT40" s="386"/>
      <c r="CU40" s="388">
        <f ca="1">(CU19*c_inicial)+(CU19*c_on*12)+(CU19*ci_comp9)+(CU19*(ct_comp9+ca_comp9)*'Time on treatment'!$D$12)</f>
        <v>0</v>
      </c>
      <c r="CV40" s="388">
        <f ca="1">((CV19-CU19)*(c_inicial+ci_comp9))+(CV19*c_on*12)+(CV19*(ct_comp9+ca_comp9)*'Time on treatment'!$D$12)</f>
        <v>0</v>
      </c>
      <c r="CW40" s="388">
        <f ca="1">(((CW19-(CV19-CU19))-CU19)*(c_inicial+ci_comp9))+(CW19*c_on*12)+(CW19*(ct_comp9+ca_comp9)*'Time on treatment'!$D$12)</f>
        <v>0</v>
      </c>
      <c r="CX40" s="388">
        <f ca="1">((CX19-(CW19-CV19)-(CV19-CU19)-CU19)*(c_inicial+ci_comp9))+(CX19*c_on*12)+(CX19*(ct_comp9+ca_comp9)*'Time on treatment'!$D$12)</f>
        <v>0</v>
      </c>
      <c r="CY40" s="389">
        <f ca="1">((CY19-(CX19-CW19)-(CW19-CV19)-(CV19-CU19)-CU19)*(c_inicial+ci_comp9))+(CY19*c_on*12)+(CY19*(ct_comp9+ca_comp9)*'Time on treatment'!$D$12)</f>
        <v>0</v>
      </c>
      <c r="CZ40" s="77"/>
      <c r="DA40" s="77"/>
      <c r="DB40" s="386"/>
      <c r="DC40" s="388">
        <f ca="1">(DC19*c_inicial)+(DC19*c_on*12)+(DC19*ci_comp10)+(DC19*(ct_comp10+ca_comp10)*'Time on treatment'!$D$12)</f>
        <v>0</v>
      </c>
      <c r="DD40" s="388">
        <f ca="1">((DD19-DC19)*(c_inicial+ci_comp10))+(DD19*c_on*12)+(DD19*(ct_comp10+ca_comp10)*'Time on treatment'!$D$12)</f>
        <v>0</v>
      </c>
      <c r="DE40" s="388">
        <f ca="1">(((DE19-(DD19-DC19))-DC19)*(c_inicial+ci_comp10))+(DE19*c_on*12)+(DE19*(ct_comp10+ca_comp10)*'Time on treatment'!$D$12)</f>
        <v>0</v>
      </c>
      <c r="DF40" s="388">
        <f ca="1">((DF19-(DE19-DD19)-(DD19-DC19)-DC19)*(c_inicial+ci_comp10))+(DF19*c_on*12)+(DF19*(ct_comp10+ca_comp10)*'Time on treatment'!$D$12)</f>
        <v>0</v>
      </c>
      <c r="DG40" s="389">
        <f ca="1">((DG19-(DF19-DE19)-(DE19-DD19)-(DD19-DC19)-DC19)*(c_inicial+ci_comp10))+(DG19*c_on*12)+(DG19*(ct_comp10+ca_comp10)*'Time on treatment'!$D$12)</f>
        <v>0</v>
      </c>
      <c r="DH40" s="77"/>
      <c r="DI40" s="77"/>
    </row>
    <row r="41" spans="2:113" ht="15" thickBot="1">
      <c r="B41" s="83"/>
      <c r="C41" s="86"/>
      <c r="D41" s="86"/>
      <c r="E41" s="86"/>
      <c r="F41" s="86"/>
      <c r="G41" s="86"/>
      <c r="J41" s="83"/>
      <c r="K41" s="86"/>
      <c r="L41" s="86"/>
      <c r="M41" s="86"/>
      <c r="N41" s="86"/>
      <c r="O41" s="86"/>
      <c r="R41" s="83"/>
      <c r="S41" s="86"/>
      <c r="T41" s="86"/>
      <c r="U41" s="86"/>
      <c r="V41" s="86"/>
      <c r="W41" s="86"/>
      <c r="Z41" s="83"/>
      <c r="AA41" s="86"/>
      <c r="AB41" s="86"/>
      <c r="AC41" s="86"/>
      <c r="AD41" s="86"/>
      <c r="AE41" s="86"/>
      <c r="AH41" s="83"/>
      <c r="AI41" s="86"/>
      <c r="AJ41" s="86"/>
      <c r="AK41" s="86"/>
      <c r="AL41" s="86"/>
      <c r="AM41" s="86"/>
      <c r="AP41" s="83"/>
      <c r="AQ41" s="86"/>
      <c r="AR41" s="86"/>
      <c r="AS41" s="86"/>
      <c r="AT41" s="86"/>
      <c r="AU41" s="86"/>
      <c r="AX41" s="83"/>
      <c r="AY41" s="86"/>
      <c r="AZ41" s="86"/>
      <c r="BA41" s="86"/>
      <c r="BB41" s="86"/>
      <c r="BC41" s="86"/>
      <c r="BF41" s="83"/>
      <c r="BG41" s="86"/>
      <c r="BH41" s="86"/>
      <c r="BI41" s="86"/>
      <c r="BJ41" s="86"/>
      <c r="BK41" s="86"/>
      <c r="BN41" s="83"/>
      <c r="BO41" s="86"/>
      <c r="BP41" s="86"/>
      <c r="BQ41" s="86"/>
      <c r="BR41" s="86"/>
      <c r="BS41" s="86"/>
      <c r="BV41" s="83"/>
      <c r="BW41" s="86"/>
      <c r="BX41" s="86"/>
      <c r="BY41" s="86"/>
      <c r="BZ41" s="86"/>
      <c r="CA41" s="86"/>
      <c r="CD41" s="83"/>
      <c r="CE41" s="86"/>
      <c r="CF41" s="86"/>
      <c r="CG41" s="86"/>
      <c r="CH41" s="86"/>
      <c r="CI41" s="86"/>
      <c r="CL41" s="83"/>
      <c r="CM41" s="86"/>
      <c r="CN41" s="86"/>
      <c r="CO41" s="86"/>
      <c r="CP41" s="86"/>
      <c r="CQ41" s="86"/>
      <c r="CT41" s="83"/>
      <c r="CU41" s="86"/>
      <c r="CV41" s="86"/>
      <c r="CW41" s="86"/>
      <c r="CX41" s="86"/>
      <c r="CY41" s="86"/>
      <c r="DB41" s="83"/>
      <c r="DC41" s="86"/>
      <c r="DD41" s="86"/>
      <c r="DE41" s="86"/>
      <c r="DF41" s="86"/>
      <c r="DG41" s="86"/>
    </row>
    <row r="42" spans="2:113" ht="15" thickBot="1">
      <c r="B42" s="507" t="str">
        <f>B21</f>
        <v>With IUD-LNG 10-50%</v>
      </c>
      <c r="C42" s="505"/>
      <c r="D42" s="505"/>
      <c r="E42" s="505"/>
      <c r="F42" s="505"/>
      <c r="G42" s="506"/>
      <c r="J42" s="507" t="str">
        <f>J21</f>
        <v>With IUD-LNG 10-50%</v>
      </c>
      <c r="K42" s="505"/>
      <c r="L42" s="505"/>
      <c r="M42" s="505"/>
      <c r="N42" s="505"/>
      <c r="O42" s="506"/>
      <c r="R42" s="507" t="str">
        <f>R21</f>
        <v>With IUD-LNG 10-50%</v>
      </c>
      <c r="S42" s="505"/>
      <c r="T42" s="505"/>
      <c r="U42" s="505"/>
      <c r="V42" s="505"/>
      <c r="W42" s="506"/>
      <c r="Z42" s="507" t="str">
        <f>Z21</f>
        <v>With IUD-LNG 10-50%</v>
      </c>
      <c r="AA42" s="505"/>
      <c r="AB42" s="505"/>
      <c r="AC42" s="505"/>
      <c r="AD42" s="505"/>
      <c r="AE42" s="506"/>
      <c r="AH42" s="507" t="str">
        <f>AH21</f>
        <v>With IUD-LNG 10-50%</v>
      </c>
      <c r="AI42" s="505"/>
      <c r="AJ42" s="505"/>
      <c r="AK42" s="505"/>
      <c r="AL42" s="505"/>
      <c r="AM42" s="506"/>
      <c r="AP42" s="507" t="str">
        <f>AP21</f>
        <v>With IUD-LNG 10-50%</v>
      </c>
      <c r="AQ42" s="505"/>
      <c r="AR42" s="505"/>
      <c r="AS42" s="505"/>
      <c r="AT42" s="505"/>
      <c r="AU42" s="506"/>
      <c r="AX42" s="507" t="str">
        <f>AX21</f>
        <v>With IUD-LNG 10-50%</v>
      </c>
      <c r="AY42" s="505"/>
      <c r="AZ42" s="505"/>
      <c r="BA42" s="505"/>
      <c r="BB42" s="505"/>
      <c r="BC42" s="506"/>
      <c r="BF42" s="507" t="str">
        <f>BF21</f>
        <v>With IUD-LNG 10-50%</v>
      </c>
      <c r="BG42" s="505"/>
      <c r="BH42" s="505"/>
      <c r="BI42" s="505"/>
      <c r="BJ42" s="505"/>
      <c r="BK42" s="506"/>
      <c r="BN42" s="507" t="str">
        <f>BN21</f>
        <v>With IUD-LNG 10-50%</v>
      </c>
      <c r="BO42" s="505"/>
      <c r="BP42" s="505"/>
      <c r="BQ42" s="505"/>
      <c r="BR42" s="505"/>
      <c r="BS42" s="506"/>
      <c r="BV42" s="507" t="str">
        <f>BV21</f>
        <v>With IUD-LNG 10-50%</v>
      </c>
      <c r="BW42" s="505"/>
      <c r="BX42" s="505"/>
      <c r="BY42" s="505"/>
      <c r="BZ42" s="505"/>
      <c r="CA42" s="506"/>
      <c r="CD42" s="507" t="str">
        <f>CD21</f>
        <v>With IUD-LNG 10-50%</v>
      </c>
      <c r="CE42" s="505"/>
      <c r="CF42" s="505"/>
      <c r="CG42" s="505"/>
      <c r="CH42" s="505"/>
      <c r="CI42" s="506"/>
      <c r="CL42" s="507" t="str">
        <f>CL21</f>
        <v>With IUD-LNG 10-50%</v>
      </c>
      <c r="CM42" s="505"/>
      <c r="CN42" s="505"/>
      <c r="CO42" s="505"/>
      <c r="CP42" s="505"/>
      <c r="CQ42" s="506"/>
      <c r="CT42" s="507" t="str">
        <f>CT21</f>
        <v>With IUD-LNG 10-50%</v>
      </c>
      <c r="CU42" s="505"/>
      <c r="CV42" s="505"/>
      <c r="CW42" s="505"/>
      <c r="CX42" s="505"/>
      <c r="CY42" s="506"/>
      <c r="DB42" s="507" t="str">
        <f>DB21</f>
        <v>With IUD-LNG 10-50%</v>
      </c>
      <c r="DC42" s="505"/>
      <c r="DD42" s="505"/>
      <c r="DE42" s="505"/>
      <c r="DF42" s="505"/>
      <c r="DG42" s="506"/>
    </row>
    <row r="43" spans="2:113">
      <c r="B43" s="84"/>
      <c r="C43" s="101">
        <f>C22</f>
        <v>2026</v>
      </c>
      <c r="D43" s="101">
        <f>D22</f>
        <v>2027</v>
      </c>
      <c r="E43" s="101">
        <f>E22</f>
        <v>2028</v>
      </c>
      <c r="F43" s="101">
        <f>F22</f>
        <v>2029</v>
      </c>
      <c r="G43" s="102">
        <f>G22</f>
        <v>2030</v>
      </c>
      <c r="J43" s="84"/>
      <c r="K43" s="101">
        <f>K22</f>
        <v>2026</v>
      </c>
      <c r="L43" s="101">
        <f>L22</f>
        <v>2027</v>
      </c>
      <c r="M43" s="101">
        <f>M22</f>
        <v>2028</v>
      </c>
      <c r="N43" s="101">
        <f>N22</f>
        <v>2029</v>
      </c>
      <c r="O43" s="102">
        <f>O22</f>
        <v>2030</v>
      </c>
      <c r="R43" s="84"/>
      <c r="S43" s="101">
        <f>S22</f>
        <v>2026</v>
      </c>
      <c r="T43" s="101">
        <f>T22</f>
        <v>2027</v>
      </c>
      <c r="U43" s="101">
        <f>U22</f>
        <v>2028</v>
      </c>
      <c r="V43" s="101">
        <f>V22</f>
        <v>2029</v>
      </c>
      <c r="W43" s="102">
        <f>W22</f>
        <v>2030</v>
      </c>
      <c r="Z43" s="84"/>
      <c r="AA43" s="101">
        <f>AA22</f>
        <v>2026</v>
      </c>
      <c r="AB43" s="101">
        <f>AB22</f>
        <v>2027</v>
      </c>
      <c r="AC43" s="101">
        <f>AC22</f>
        <v>2028</v>
      </c>
      <c r="AD43" s="101">
        <f>AD22</f>
        <v>2029</v>
      </c>
      <c r="AE43" s="102">
        <f>AE22</f>
        <v>2030</v>
      </c>
      <c r="AH43" s="84"/>
      <c r="AI43" s="101">
        <f>AI22</f>
        <v>2026</v>
      </c>
      <c r="AJ43" s="101">
        <f>AJ22</f>
        <v>2027</v>
      </c>
      <c r="AK43" s="101">
        <f>AK22</f>
        <v>2028</v>
      </c>
      <c r="AL43" s="101">
        <f>AL22</f>
        <v>2029</v>
      </c>
      <c r="AM43" s="102">
        <f>AM22</f>
        <v>2030</v>
      </c>
      <c r="AP43" s="84"/>
      <c r="AQ43" s="101">
        <f>AQ22</f>
        <v>2026</v>
      </c>
      <c r="AR43" s="101">
        <f>AR22</f>
        <v>2027</v>
      </c>
      <c r="AS43" s="101">
        <f>AS22</f>
        <v>2028</v>
      </c>
      <c r="AT43" s="101">
        <f>AT22</f>
        <v>2029</v>
      </c>
      <c r="AU43" s="102">
        <f>AU22</f>
        <v>2030</v>
      </c>
      <c r="AX43" s="84"/>
      <c r="AY43" s="101">
        <f>AY22</f>
        <v>2026</v>
      </c>
      <c r="AZ43" s="101">
        <f>AZ22</f>
        <v>2027</v>
      </c>
      <c r="BA43" s="101">
        <f>BA22</f>
        <v>2028</v>
      </c>
      <c r="BB43" s="101">
        <f>BB22</f>
        <v>2029</v>
      </c>
      <c r="BC43" s="102">
        <f>BC22</f>
        <v>2030</v>
      </c>
      <c r="BF43" s="84"/>
      <c r="BG43" s="101">
        <f>BG22</f>
        <v>2026</v>
      </c>
      <c r="BH43" s="101">
        <f>BH22</f>
        <v>2027</v>
      </c>
      <c r="BI43" s="101">
        <f>BI22</f>
        <v>2028</v>
      </c>
      <c r="BJ43" s="101">
        <f>BJ22</f>
        <v>2029</v>
      </c>
      <c r="BK43" s="102">
        <f>BK22</f>
        <v>2030</v>
      </c>
      <c r="BN43" s="84"/>
      <c r="BO43" s="101">
        <f>BO22</f>
        <v>2026</v>
      </c>
      <c r="BP43" s="101">
        <f>BP22</f>
        <v>2027</v>
      </c>
      <c r="BQ43" s="101">
        <f>BQ22</f>
        <v>2028</v>
      </c>
      <c r="BR43" s="101">
        <f>BR22</f>
        <v>2029</v>
      </c>
      <c r="BS43" s="102">
        <f>BS22</f>
        <v>2030</v>
      </c>
      <c r="BV43" s="84"/>
      <c r="BW43" s="101">
        <f>BW22</f>
        <v>2026</v>
      </c>
      <c r="BX43" s="101">
        <f>BX22</f>
        <v>2027</v>
      </c>
      <c r="BY43" s="101">
        <f>BY22</f>
        <v>2028</v>
      </c>
      <c r="BZ43" s="101">
        <f>BZ22</f>
        <v>2029</v>
      </c>
      <c r="CA43" s="102">
        <f>CA22</f>
        <v>2030</v>
      </c>
      <c r="CD43" s="84"/>
      <c r="CE43" s="101">
        <f>CE22</f>
        <v>2026</v>
      </c>
      <c r="CF43" s="101">
        <f>CF22</f>
        <v>2027</v>
      </c>
      <c r="CG43" s="101">
        <f>CG22</f>
        <v>2028</v>
      </c>
      <c r="CH43" s="101">
        <f>CH22</f>
        <v>2029</v>
      </c>
      <c r="CI43" s="102">
        <f>CI22</f>
        <v>2030</v>
      </c>
      <c r="CL43" s="84"/>
      <c r="CM43" s="101">
        <f>CM22</f>
        <v>2026</v>
      </c>
      <c r="CN43" s="101">
        <f>CN22</f>
        <v>2027</v>
      </c>
      <c r="CO43" s="101">
        <f>CO22</f>
        <v>2028</v>
      </c>
      <c r="CP43" s="101">
        <f>CP22</f>
        <v>2029</v>
      </c>
      <c r="CQ43" s="102">
        <f>CQ22</f>
        <v>2030</v>
      </c>
      <c r="CT43" s="84"/>
      <c r="CU43" s="101">
        <f>CU22</f>
        <v>2026</v>
      </c>
      <c r="CV43" s="101">
        <f>CV22</f>
        <v>2027</v>
      </c>
      <c r="CW43" s="101">
        <f>CW22</f>
        <v>2028</v>
      </c>
      <c r="CX43" s="101">
        <f>CX22</f>
        <v>2029</v>
      </c>
      <c r="CY43" s="102">
        <f>CY22</f>
        <v>2030</v>
      </c>
      <c r="DB43" s="84"/>
      <c r="DC43" s="101">
        <f>DC22</f>
        <v>2026</v>
      </c>
      <c r="DD43" s="101">
        <f>DD22</f>
        <v>2027</v>
      </c>
      <c r="DE43" s="101">
        <f>DE22</f>
        <v>2028</v>
      </c>
      <c r="DF43" s="101">
        <f>DF22</f>
        <v>2029</v>
      </c>
      <c r="DG43" s="102">
        <f>DG22</f>
        <v>2030</v>
      </c>
    </row>
    <row r="44" spans="2:113" s="83" customFormat="1" ht="15" thickBot="1">
      <c r="B44" s="386"/>
      <c r="C44" s="388">
        <f ca="1">(C23*c_inicial)+(C23*c_on*12)+(C23*ci_int1)+(C23*(ct_int1+ca_int1)*'Time on treatment'!$D$12)</f>
        <v>26538280.865881924</v>
      </c>
      <c r="D44" s="388">
        <f ca="1">((D23-C23)*(c_inicial+ci_int1))+(D23*c_on*12)+(D23*(ct_int1+ca_int1)*'Time on treatment'!$D$12)</f>
        <v>26347009.829388238</v>
      </c>
      <c r="E44" s="388">
        <f ca="1">(((E23-(D23-C23))-C23)*(c_inicial+ci_int1))+(E23*c_on*12)+(E23*(ct_int1+ca_int1)*'Time on treatment'!$D$12)</f>
        <v>26132369.974712417</v>
      </c>
      <c r="F44" s="388">
        <f ca="1">((F23-(E23-D23)-(D23-C23)-C23)*(c_inicial+ci_int1))+(F23*c_on*12)+(F23*(ct_int1+ca_int1)*'Time on treatment'!$D$12)</f>
        <v>25842897.917786542</v>
      </c>
      <c r="G44" s="389">
        <f ca="1">((G23-(F23-E23)-(E23-D23)-(D23-C23)-C23)*(c_inicial+ci_int1))+(G23*c_on*12)+(G23*(ct_int1+ca_int1)*'Time on treatment'!$D$12)</f>
        <v>25434470.812404677</v>
      </c>
      <c r="H44" s="77"/>
      <c r="I44" s="77"/>
      <c r="J44" s="386"/>
      <c r="K44" s="388">
        <f ca="1">(K23*c_inicial)+(K23*c_on*12)+(K23*ci_int2)+(K23*(ct_int2+ca_int2)*'Time on treatment'!$D$12)</f>
        <v>0</v>
      </c>
      <c r="L44" s="388">
        <f ca="1">((L23-K23)*(c_inicial+ci_int2))+(L23*c_on*12)+(L23*(ct_int2+ca_int2)*'Time on treatment'!$D$12)</f>
        <v>0</v>
      </c>
      <c r="M44" s="388">
        <f ca="1">(((M23-(L23-K23))-K23)*(c_inicial+ci_int2))+(M23*c_on*12)+(M23*(ct_int2+ca_int2)*'Time on treatment'!$D$12)</f>
        <v>0</v>
      </c>
      <c r="N44" s="388">
        <f ca="1">((N23-(M23-L23)-(L23-K23)-K23)*(c_inicial+ci_int2))+(N23*c_on*12)+(N23*(ct_int2+ca_int2)*'Time on treatment'!$D$12)</f>
        <v>0</v>
      </c>
      <c r="O44" s="389">
        <f ca="1">((O23-(N23-M23)-(M23-L23)-(L23-K23)-K23)*(c_inicial+ci_int2))+(O23*c_on*12)+(O23*(ct_int2+ca_int2)*'Time on treatment'!$D$12)</f>
        <v>0</v>
      </c>
      <c r="P44" s="77"/>
      <c r="Q44" s="77"/>
      <c r="R44" s="386"/>
      <c r="S44" s="388">
        <f ca="1">(S23*c_inicial)+(S23*c_on*12)+(S23*ci_int3)+(S23*(ct_int3+ca_int3)*'Time on treatment'!$D$12)</f>
        <v>0</v>
      </c>
      <c r="T44" s="388">
        <f ca="1">((T23-S23)*(c_inicial+ci_int3))+(T23*c_on*12)+(T23*(ct_int3+ca_int3)*'Time on treatment'!$D$12)</f>
        <v>0</v>
      </c>
      <c r="U44" s="388">
        <f ca="1">(((U23-(T23-S23))-S23)*(c_inicial+ci_int3))+(U23*c_on*12)+(U23*(ct_int3+ca_int3)*'Time on treatment'!$D$12)</f>
        <v>0</v>
      </c>
      <c r="V44" s="388">
        <f ca="1">((V23-(U23-T23)-(T23-S23)-S23)*(c_inicial+ci_int3))+(V23*c_on*12)+(V23*(ct_int3+ca_int3)*'Time on treatment'!$D$12)</f>
        <v>0</v>
      </c>
      <c r="W44" s="389">
        <f ca="1">((W23-(V23-U23)-(U23-T23)-(T23-S23)-S23)*(c_inicial+ci_int3))+(W23*c_on*12)+(W23*(ct_int3+ca_int3)*'Time on treatment'!$D$12)</f>
        <v>0</v>
      </c>
      <c r="X44" s="77"/>
      <c r="Y44" s="77"/>
      <c r="Z44" s="386"/>
      <c r="AA44" s="388">
        <f ca="1">(AA23*c_inicial)+(AA23*c_on*12)+(AA23*ci_int4)+(AA23*(ct_int4+ca_int4)*'Time on treatment'!$D$12)</f>
        <v>0</v>
      </c>
      <c r="AB44" s="388">
        <f ca="1">((AB23-AA23)*(c_inicial+ci_int4))+(AB23*c_on*12)+(AB23*(ct_int4+ca_int4)*'Time on treatment'!$D$12)</f>
        <v>0</v>
      </c>
      <c r="AC44" s="388">
        <f ca="1">(((AC23-(AB23-AA23))-AA23)*(c_inicial+ci_int4))+(AC23*c_on*12)+(AC23*(ct_int4+ca_int4)*'Time on treatment'!$D$12)</f>
        <v>0</v>
      </c>
      <c r="AD44" s="388">
        <f ca="1">((AD23-(AC23-AB23)-(AB23-AA23)-AA23)*(c_inicial+ci_int4))+(AD23*c_on*12)+(AD23*(ct_int4+ca_int4)*'Time on treatment'!$D$12)</f>
        <v>0</v>
      </c>
      <c r="AE44" s="389">
        <f ca="1">((AE23-(AD23-AC23)-(AC23-AB23)-(AB23-AA23)-AA23)*(c_inicial+ci_int4))+(AE23*c_on*12)+(AE23*(ct_int4+ca_int4)*'Time on treatment'!$D$12)</f>
        <v>0</v>
      </c>
      <c r="AF44" s="77"/>
      <c r="AG44" s="77"/>
      <c r="AH44" s="386"/>
      <c r="AI44" s="388">
        <f ca="1">(AI23*c_inicial)+(AI23*c_on*12)+(AI23*ci_comp1)+(AI23*(ct_comp1+ca_comp1)*'Time on treatment'!$D$19)</f>
        <v>4938714.6527574901</v>
      </c>
      <c r="AJ44" s="388">
        <f ca="1">((AJ23-AI23)*(c_inicial+ci_comp1))+(AJ23*c_on*12)+(AJ23*(ct_comp1+ca_comp1)*'Time on treatment'!$E$19)</f>
        <v>4374148.530603989</v>
      </c>
      <c r="AK44" s="388">
        <f ca="1">(((AK23-(AJ23-AI23))-AI23)*(c_inicial+ci_comp1))+(AK23*c_on*12)+(AK23*(ct_comp1+ca_comp1)*'Time on treatment'!$F$19)</f>
        <v>3812409.9322195332</v>
      </c>
      <c r="AL44" s="388">
        <f ca="1">((AL23-(AK23-AJ23)-(AJ23-AI23)-AI23)*(c_inicial+ci_comp1))+(AL23*c_on*12)+(AL23*(ct_comp1+ca_comp1)*'Time on treatment'!$G$19)</f>
        <v>3252385.8635943867</v>
      </c>
      <c r="AM44" s="389">
        <f ca="1">((AM23-(AL23-AK23)-(AK23-AJ23)-(AJ23-AI23)-AI23)*(c_inicial+ci_comp1))+(AM23*c_on*12)+(AM23*(ct_comp1+ca_comp1)*'Time on treatment'!$H$19)</f>
        <v>2694179.250520532</v>
      </c>
      <c r="AN44" s="77"/>
      <c r="AO44" s="77"/>
      <c r="AP44" s="386"/>
      <c r="AQ44" s="388">
        <f ca="1">(AQ23*c_inicial)+(AQ23*c_on*12)+(AQ23*ci_comp2)+(AQ23*(ct_comp2+ca_comp2)*'Time on treatment'!$D$12)</f>
        <v>0</v>
      </c>
      <c r="AR44" s="388">
        <f ca="1">((AR23-AQ23)*(c_inicial+ci_comp2))+(AR23*c_on*12)+(AR23*(ct_comp2+ca_comp2)*'Time on treatment'!$D$12)</f>
        <v>0</v>
      </c>
      <c r="AS44" s="388">
        <f ca="1">(((AS23-(AR23-AQ23))-AQ23)*(c_inicial+ci_comp2))+(AS23*c_on*12)+(AS23*(ct_comp2+ca_comp2)*'Time on treatment'!$D$12)</f>
        <v>0</v>
      </c>
      <c r="AT44" s="388">
        <f ca="1">((AT23-(AS23-AR23)-(AR23-AQ23)-AQ23)*(c_inicial+ci_comp2))+(AT23*c_on*12)+(AT23*(ct_comp2+ca_comp2)*'Time on treatment'!$D$12)</f>
        <v>0</v>
      </c>
      <c r="AU44" s="389">
        <f ca="1">((AU23-(AT23-AS23)-(AS23-AR23)-(AR23-AQ23)-AQ23)*(c_inicial+ci_comp2))+(AU23*c_on*12)+(AU23*(ct_comp2+ca_comp2)*'Time on treatment'!$D$12)</f>
        <v>0</v>
      </c>
      <c r="AV44" s="77"/>
      <c r="AW44" s="77"/>
      <c r="AX44" s="386"/>
      <c r="AY44" s="388">
        <f ca="1">(AY23*c_inicial)+(AY23*c_on*12)+(AY23*ci_comp3)+(AY23*(ct_comp3+ca_comp3)*'Time on treatment'!$D$12)</f>
        <v>0</v>
      </c>
      <c r="AZ44" s="388">
        <f ca="1">((AZ23-AY23)*(c_inicial+ci_comp3))+(AZ23*c_on*12)+(AZ23*(ct_comp3+ca_comp3)*'Time on treatment'!$D$12)</f>
        <v>0</v>
      </c>
      <c r="BA44" s="388">
        <f ca="1">(((BA23-(AZ23-AY23))-AY23)*(c_inicial+ci_comp3))+(BA23*c_on*12)+(BA23*(ct_comp3+ca_comp3)*'Time on treatment'!$D$12)</f>
        <v>0</v>
      </c>
      <c r="BB44" s="388">
        <f ca="1">((BB23-(BA23-AZ23)-(AZ23-AY23)-AY23)*(c_inicial+ci_comp3))+(BB23*c_on*12)+(BB23*(ct_comp3+ca_comp3)*'Time on treatment'!$D$12)</f>
        <v>0</v>
      </c>
      <c r="BC44" s="389">
        <f ca="1">((BC23-(BB23-BA23)-(BA23-AZ23)-(AZ23-AY23)-AY23)*(c_inicial+ci_comp3))+(BC23*c_on*12)+(BC23*(ct_comp3+ca_comp3)*'Time on treatment'!$D$12)</f>
        <v>0</v>
      </c>
      <c r="BD44" s="77"/>
      <c r="BE44" s="77"/>
      <c r="BF44" s="386"/>
      <c r="BG44" s="388">
        <f ca="1">(BG23*c_inicial)+(BG23*c_on*12)+(BG23*ci_comp4)+(BG23*(ct_comp4+ca_comp4)*'Time on treatment'!$D$12)</f>
        <v>0</v>
      </c>
      <c r="BH44" s="388">
        <f ca="1">((BH23-BG23)*(c_inicial+ci_comp4))+(BH23*c_on*12)+(BH23*(ct_comp4+ca_comp4)*'Time on treatment'!$D$12)</f>
        <v>0</v>
      </c>
      <c r="BI44" s="388">
        <f ca="1">(((BI23-(BH23-BG23))-BG23)*(c_inicial+ci_comp4))+(BI23*c_on*12)+(BI23*(ct_comp4+ca_comp4)*'Time on treatment'!$D$12)</f>
        <v>0</v>
      </c>
      <c r="BJ44" s="388">
        <f ca="1">((BJ23-(BI23-BH23)-(BH23-BG23)-BG23)*(c_inicial+ci_comp4))+(BJ23*c_on*12)+(BJ23*(ct_comp4+ca_comp4)*'Time on treatment'!$D$12)</f>
        <v>0</v>
      </c>
      <c r="BK44" s="389">
        <f ca="1">((BK23-(BJ23-BI23)-(BI23-BH23)-(BH23-BG23)-BG23)*(c_inicial+ci_comp4))+(BK23*c_on*12)+(BK23*(ct_comp4+ca_comp4)*'Time on treatment'!$D$12)</f>
        <v>0</v>
      </c>
      <c r="BL44" s="77"/>
      <c r="BM44" s="77"/>
      <c r="BN44" s="386"/>
      <c r="BO44" s="388">
        <f ca="1">(BO23*c_inicial)+(BO23*c_on*12)+(BO23*ci_comp5)+(BO23*(ct_comp5+ca_comp5)*'Time on treatment'!$D$12)</f>
        <v>0</v>
      </c>
      <c r="BP44" s="388">
        <f ca="1">((BP23-BO23)*(c_inicial+ci_comp5))+(BP23*c_on*12)+(BP23*(ct_comp5+ca_comp5)*'Time on treatment'!$D$12)</f>
        <v>0</v>
      </c>
      <c r="BQ44" s="388">
        <f ca="1">(((BQ23-(BP23-BO23))-BO23)*(c_inicial+ci_comp5))+(BQ23*c_on*12)+(BQ23*(ct_comp5+ca_comp5)*'Time on treatment'!$D$12)</f>
        <v>0</v>
      </c>
      <c r="BR44" s="388">
        <f ca="1">((BR23-(BQ23-BP23)-(BP23-BO23)-BO23)*(c_inicial+ci_comp5))+(BR23*c_on*12)+(BR23*(ct_comp5+ca_comp5)*'Time on treatment'!$D$12)</f>
        <v>0</v>
      </c>
      <c r="BS44" s="389">
        <f ca="1">((BS23-(BR23-BQ23)-(BQ23-BP23)-(BP23-BO23)-BO23)*(c_inicial+ci_comp5))+(BS23*c_on*12)+(BS23*(ct_comp5+ca_comp5)*'Time on treatment'!$D$12)</f>
        <v>0</v>
      </c>
      <c r="BT44" s="77"/>
      <c r="BU44" s="77"/>
      <c r="BV44" s="386"/>
      <c r="BW44" s="388">
        <f ca="1">(BW23*c_inicial)+(BW23*c_on*12)+(BW23*ci_comp6)+(BW23*(ct_comp6+ca_comp6)*'Time on treatment'!$D$12)</f>
        <v>0</v>
      </c>
      <c r="BX44" s="388">
        <f ca="1">((BX23-BW23)*(c_inicial+ci_comp6))+(BX23*c_on*12)+(BX23*(ct_comp6+ca_comp6)*'Time on treatment'!$D$12)</f>
        <v>0</v>
      </c>
      <c r="BY44" s="388">
        <f ca="1">(((BY23-(BX23-BW23))-BW23)*(c_inicial+ci_comp6))+(BY23*c_on*12)+(BY23*(ct_comp6+ca_comp6)*'Time on treatment'!$D$12)</f>
        <v>0</v>
      </c>
      <c r="BZ44" s="388">
        <f ca="1">((BZ23-(BY23-BX23)-(BX23-BW23)-BW23)*(c_inicial+ci_comp6))+(BZ23*c_on*12)+(BZ23*(ct_comp6+ca_comp6)*'Time on treatment'!$D$12)</f>
        <v>0</v>
      </c>
      <c r="CA44" s="389">
        <f ca="1">((CA23-(BZ23-BY23)-(BY23-BX23)-(BX23-BW23)-BW23)*(c_inicial+ci_comp6))+(CA23*c_on*12)+(CA23*(ct_comp6+ca_comp6)*'Time on treatment'!$D$12)</f>
        <v>0</v>
      </c>
      <c r="CB44" s="77"/>
      <c r="CC44" s="77"/>
      <c r="CD44" s="386"/>
      <c r="CE44" s="388">
        <f ca="1">(CE23*c_inicial)+(CE23*c_on*12)+(CE23*ci_comp7)+(CE23*(ct_comp7+ca_comp7)*'Time on treatment'!$D$12)</f>
        <v>0</v>
      </c>
      <c r="CF44" s="388">
        <f ca="1">((CF23-CE23)*(c_inicial+ci_comp7))+(CF23*c_on*12)+(CF23*(ct_comp7+ca_comp7)*'Time on treatment'!$D$12)</f>
        <v>0</v>
      </c>
      <c r="CG44" s="388">
        <f ca="1">(((CG23-(CF23-CE23))-CE23)*(c_inicial+ci_comp7))+(CG23*c_on*12)+(CG23*(ct_comp7+ca_comp7)*'Time on treatment'!$D$12)</f>
        <v>0</v>
      </c>
      <c r="CH44" s="388">
        <f ca="1">((CH23-(CG23-CF23)-(CF23-CE23)-CE23)*(c_inicial+ci_comp7))+(CH23*c_on*12)+(CH23*(ct_comp7+ca_comp7)*'Time on treatment'!$D$12)</f>
        <v>0</v>
      </c>
      <c r="CI44" s="389">
        <f ca="1">((CI23-(CH23-CG23)-(CG23-CF23)-(CF23-CE23)-CE23)*(c_inicial+ci_comp7))+(CI23*c_on*12)+(CI23*(ct_comp7+ca_comp7)*'Time on treatment'!$D$12)</f>
        <v>0</v>
      </c>
      <c r="CJ44" s="77"/>
      <c r="CK44" s="77"/>
      <c r="CL44" s="386"/>
      <c r="CM44" s="388">
        <f ca="1">(CM23*c_inicial)+(CM23*c_on*12)+(CM23*ci_comp8)+(CM23*(ct_comp8+ca_comp8)*'Time on treatment'!$D$12)</f>
        <v>0</v>
      </c>
      <c r="CN44" s="388">
        <f ca="1">((CN23-CM23)*(c_inicial+ci_comp8))+(CN23*c_on*12)+(CN23*(ct_comp8+ca_comp8)*'Time on treatment'!$D$12)</f>
        <v>0</v>
      </c>
      <c r="CO44" s="388">
        <f ca="1">(((CO23-(CN23-CM23))-CM23)*(c_inicial+ci_comp8))+(CO23*c_on*12)+(CO23*(ct_comp8+ca_comp8)*'Time on treatment'!$D$12)</f>
        <v>0</v>
      </c>
      <c r="CP44" s="388">
        <f ca="1">((CP23-(CO23-CN23)-(CN23-CM23)-CM23)*(c_inicial+ci_comp8))+(CP23*c_on*12)+(CP23*(ct_comp8+ca_comp8)*'Time on treatment'!$D$12)</f>
        <v>0</v>
      </c>
      <c r="CQ44" s="389">
        <f ca="1">((CQ23-(CP23-CO23)-(CO23-CN23)-(CN23-CM23)-CM23)*(c_inicial+ci_comp8))+(CQ23*c_on*12)+(CQ23*(ct_comp8+ca_comp8)*'Time on treatment'!$D$12)</f>
        <v>0</v>
      </c>
      <c r="CR44" s="77"/>
      <c r="CS44" s="77"/>
      <c r="CT44" s="386"/>
      <c r="CU44" s="388">
        <f ca="1">(CU23*c_inicial)+(CU23*c_on*12)+(CU23*ci_comp9)+(CU23*(ct_comp9+ca_comp9)*'Time on treatment'!$D$12)</f>
        <v>0</v>
      </c>
      <c r="CV44" s="388">
        <f ca="1">((CV23-CU23)*(c_inicial+ci_comp9))+(CV23*c_on*12)+(CV23*(ct_comp9+ca_comp9)*'Time on treatment'!$D$12)</f>
        <v>0</v>
      </c>
      <c r="CW44" s="388">
        <f ca="1">(((CW23-(CV23-CU23))-CU23)*(c_inicial+ci_comp9))+(CW23*c_on*12)+(CW23*(ct_comp9+ca_comp9)*'Time on treatment'!$D$12)</f>
        <v>0</v>
      </c>
      <c r="CX44" s="388">
        <f ca="1">((CX23-(CW23-CV23)-(CV23-CU23)-CU23)*(c_inicial+ci_comp9))+(CX23*c_on*12)+(CX23*(ct_comp9+ca_comp9)*'Time on treatment'!$D$12)</f>
        <v>0</v>
      </c>
      <c r="CY44" s="389">
        <f ca="1">((CY23-(CX23-CW23)-(CW23-CV23)-(CV23-CU23)-CU23)*(c_inicial+ci_comp9))+(CY23*c_on*12)+(CY23*(ct_comp9+ca_comp9)*'Time on treatment'!$D$12)</f>
        <v>0</v>
      </c>
      <c r="CZ44" s="77"/>
      <c r="DA44" s="77"/>
      <c r="DB44" s="386"/>
      <c r="DC44" s="388">
        <f ca="1">(DC23*c_inicial)+(DC23*c_on*12)+(DC23*ci_comp10)+(DC23*(ct_comp10+ca_comp10)*'Time on treatment'!$D$12)</f>
        <v>0</v>
      </c>
      <c r="DD44" s="388">
        <f ca="1">((DD23-DC23)*(c_inicial+ci_comp10))+(DD23*c_on*12)+(DD23*(ct_comp10+ca_comp10)*'Time on treatment'!$D$12)</f>
        <v>0</v>
      </c>
      <c r="DE44" s="388">
        <f ca="1">(((DE23-(DD23-DC23))-DC23)*(c_inicial+ci_comp10))+(DE23*c_on*12)+(DE23*(ct_comp10+ca_comp10)*'Time on treatment'!$D$12)</f>
        <v>0</v>
      </c>
      <c r="DF44" s="388">
        <f ca="1">((DF23-(DE23-DD23)-(DD23-DC23)-DC23)*(c_inicial+ci_comp10))+(DF23*c_on*12)+(DF23*(ct_comp10+ca_comp10)*'Time on treatment'!$D$12)</f>
        <v>0</v>
      </c>
      <c r="DG44" s="389">
        <f ca="1">((DG23-(DF23-DE23)-(DE23-DD23)-(DD23-DC23)-DC23)*(c_inicial+ci_comp10))+(DG23*c_on*12)+(DG23*(ct_comp10+ca_comp10)*'Time on treatment'!$D$12)</f>
        <v>0</v>
      </c>
      <c r="DH44" s="77"/>
      <c r="DI44" s="77"/>
    </row>
    <row r="45" spans="2:113" ht="15" thickBot="1">
      <c r="B45" s="83"/>
      <c r="C45" s="83"/>
      <c r="D45" s="83"/>
      <c r="E45" s="83"/>
      <c r="F45" s="83"/>
      <c r="G45" s="83"/>
      <c r="J45" s="83"/>
      <c r="K45" s="83"/>
      <c r="L45" s="83"/>
      <c r="M45" s="83"/>
      <c r="N45" s="83"/>
      <c r="O45" s="83"/>
      <c r="R45" s="83"/>
      <c r="S45" s="83"/>
      <c r="T45" s="83"/>
      <c r="U45" s="83"/>
      <c r="V45" s="83"/>
      <c r="W45" s="83"/>
      <c r="Z45" s="83"/>
      <c r="AA45" s="83"/>
      <c r="AB45" s="83"/>
      <c r="AC45" s="83"/>
      <c r="AD45" s="83"/>
      <c r="AE45" s="83"/>
      <c r="AH45" s="83"/>
      <c r="AI45" s="83"/>
      <c r="AJ45" s="83"/>
      <c r="AK45" s="83"/>
      <c r="AL45" s="83"/>
      <c r="AM45" s="83"/>
      <c r="AP45" s="83"/>
      <c r="AQ45" s="83"/>
      <c r="AR45" s="83"/>
      <c r="AS45" s="83"/>
      <c r="AT45" s="83"/>
      <c r="AU45" s="83"/>
      <c r="AX45" s="83"/>
      <c r="AY45" s="83"/>
      <c r="AZ45" s="83"/>
      <c r="BA45" s="83"/>
      <c r="BB45" s="83"/>
      <c r="BC45" s="83"/>
      <c r="BF45" s="83"/>
      <c r="BG45" s="83"/>
      <c r="BH45" s="83"/>
      <c r="BI45" s="83"/>
      <c r="BJ45" s="83"/>
      <c r="BK45" s="83"/>
      <c r="BN45" s="83"/>
      <c r="BO45" s="83"/>
      <c r="BP45" s="83"/>
      <c r="BQ45" s="83"/>
      <c r="BR45" s="83"/>
      <c r="BS45" s="83"/>
      <c r="BV45" s="83"/>
      <c r="BW45" s="83"/>
      <c r="BX45" s="83"/>
      <c r="BY45" s="83"/>
      <c r="BZ45" s="83"/>
      <c r="CA45" s="83"/>
      <c r="CD45" s="83"/>
      <c r="CE45" s="83"/>
      <c r="CF45" s="83"/>
      <c r="CG45" s="83"/>
      <c r="CH45" s="83"/>
      <c r="CI45" s="83"/>
      <c r="CL45" s="83"/>
      <c r="CM45" s="83"/>
      <c r="CN45" s="83"/>
      <c r="CO45" s="83"/>
      <c r="CP45" s="83"/>
      <c r="CQ45" s="83"/>
      <c r="CT45" s="83"/>
      <c r="CU45" s="83"/>
      <c r="CV45" s="83"/>
      <c r="CW45" s="83"/>
      <c r="CX45" s="83"/>
      <c r="CY45" s="83"/>
      <c r="DB45" s="83"/>
      <c r="DC45" s="83"/>
      <c r="DD45" s="83"/>
      <c r="DE45" s="83"/>
      <c r="DF45" s="83"/>
      <c r="DG45" s="83"/>
    </row>
    <row r="46" spans="2:113" ht="15" thickBot="1">
      <c r="B46" s="507">
        <f>B25</f>
        <v>0</v>
      </c>
      <c r="C46" s="505"/>
      <c r="D46" s="505"/>
      <c r="E46" s="505"/>
      <c r="F46" s="505"/>
      <c r="G46" s="506"/>
      <c r="J46" s="507">
        <f>J25</f>
        <v>0</v>
      </c>
      <c r="K46" s="505"/>
      <c r="L46" s="505"/>
      <c r="M46" s="505"/>
      <c r="N46" s="505"/>
      <c r="O46" s="506"/>
      <c r="R46" s="507">
        <f>R25</f>
        <v>0</v>
      </c>
      <c r="S46" s="505"/>
      <c r="T46" s="505"/>
      <c r="U46" s="505"/>
      <c r="V46" s="505"/>
      <c r="W46" s="506"/>
      <c r="Z46" s="507">
        <f>Z25</f>
        <v>0</v>
      </c>
      <c r="AA46" s="505"/>
      <c r="AB46" s="505"/>
      <c r="AC46" s="505"/>
      <c r="AD46" s="505"/>
      <c r="AE46" s="506"/>
      <c r="AH46" s="507">
        <f>AH25</f>
        <v>0</v>
      </c>
      <c r="AI46" s="505"/>
      <c r="AJ46" s="505"/>
      <c r="AK46" s="505"/>
      <c r="AL46" s="505"/>
      <c r="AM46" s="506"/>
      <c r="AP46" s="507">
        <f>AP25</f>
        <v>0</v>
      </c>
      <c r="AQ46" s="505"/>
      <c r="AR46" s="505"/>
      <c r="AS46" s="505"/>
      <c r="AT46" s="505"/>
      <c r="AU46" s="506"/>
      <c r="AX46" s="507">
        <f>AX25</f>
        <v>0</v>
      </c>
      <c r="AY46" s="505"/>
      <c r="AZ46" s="505"/>
      <c r="BA46" s="505"/>
      <c r="BB46" s="505"/>
      <c r="BC46" s="506"/>
      <c r="BF46" s="507">
        <f>BF25</f>
        <v>0</v>
      </c>
      <c r="BG46" s="505"/>
      <c r="BH46" s="505"/>
      <c r="BI46" s="505"/>
      <c r="BJ46" s="505"/>
      <c r="BK46" s="506"/>
      <c r="BN46" s="507">
        <f>BN25</f>
        <v>0</v>
      </c>
      <c r="BO46" s="505"/>
      <c r="BP46" s="505"/>
      <c r="BQ46" s="505"/>
      <c r="BR46" s="505"/>
      <c r="BS46" s="506"/>
      <c r="BV46" s="507">
        <f>BV25</f>
        <v>0</v>
      </c>
      <c r="BW46" s="505"/>
      <c r="BX46" s="505"/>
      <c r="BY46" s="505"/>
      <c r="BZ46" s="505"/>
      <c r="CA46" s="506"/>
      <c r="CD46" s="507">
        <f>CD25</f>
        <v>0</v>
      </c>
      <c r="CE46" s="505"/>
      <c r="CF46" s="505"/>
      <c r="CG46" s="505"/>
      <c r="CH46" s="505"/>
      <c r="CI46" s="506"/>
      <c r="CL46" s="507">
        <f>CL25</f>
        <v>0</v>
      </c>
      <c r="CM46" s="505"/>
      <c r="CN46" s="505"/>
      <c r="CO46" s="505"/>
      <c r="CP46" s="505"/>
      <c r="CQ46" s="506"/>
      <c r="CT46" s="507">
        <f>CT25</f>
        <v>0</v>
      </c>
      <c r="CU46" s="505"/>
      <c r="CV46" s="505"/>
      <c r="CW46" s="505"/>
      <c r="CX46" s="505"/>
      <c r="CY46" s="506"/>
      <c r="DB46" s="507">
        <f>DB25</f>
        <v>0</v>
      </c>
      <c r="DC46" s="505"/>
      <c r="DD46" s="505"/>
      <c r="DE46" s="505"/>
      <c r="DF46" s="505"/>
      <c r="DG46" s="506"/>
    </row>
    <row r="47" spans="2:113">
      <c r="B47" s="84"/>
      <c r="C47" s="101">
        <f>C26</f>
        <v>2026</v>
      </c>
      <c r="D47" s="101">
        <f>D26</f>
        <v>2027</v>
      </c>
      <c r="E47" s="101">
        <f>E26</f>
        <v>2028</v>
      </c>
      <c r="F47" s="101">
        <f>F26</f>
        <v>2029</v>
      </c>
      <c r="G47" s="102">
        <f>G26</f>
        <v>2030</v>
      </c>
      <c r="J47" s="84"/>
      <c r="K47" s="101">
        <f>K26</f>
        <v>2026</v>
      </c>
      <c r="L47" s="101">
        <f>L26</f>
        <v>2027</v>
      </c>
      <c r="M47" s="101">
        <f>M26</f>
        <v>2028</v>
      </c>
      <c r="N47" s="101">
        <f>N26</f>
        <v>2029</v>
      </c>
      <c r="O47" s="102">
        <f>O26</f>
        <v>2030</v>
      </c>
      <c r="R47" s="84"/>
      <c r="S47" s="101">
        <f>S26</f>
        <v>2026</v>
      </c>
      <c r="T47" s="101">
        <f>T26</f>
        <v>2027</v>
      </c>
      <c r="U47" s="101">
        <f>U26</f>
        <v>2028</v>
      </c>
      <c r="V47" s="101">
        <f>V26</f>
        <v>2029</v>
      </c>
      <c r="W47" s="102">
        <f>W26</f>
        <v>2030</v>
      </c>
      <c r="Z47" s="84"/>
      <c r="AA47" s="101">
        <f>AA26</f>
        <v>2026</v>
      </c>
      <c r="AB47" s="101">
        <f>AB26</f>
        <v>2027</v>
      </c>
      <c r="AC47" s="101">
        <f>AC26</f>
        <v>2028</v>
      </c>
      <c r="AD47" s="101">
        <f>AD26</f>
        <v>2029</v>
      </c>
      <c r="AE47" s="102">
        <f>AE26</f>
        <v>2030</v>
      </c>
      <c r="AH47" s="84"/>
      <c r="AI47" s="101">
        <f>AI26</f>
        <v>2026</v>
      </c>
      <c r="AJ47" s="101">
        <f>AJ26</f>
        <v>2027</v>
      </c>
      <c r="AK47" s="101">
        <f>AK26</f>
        <v>2028</v>
      </c>
      <c r="AL47" s="101">
        <f>AL26</f>
        <v>2029</v>
      </c>
      <c r="AM47" s="102">
        <f>AM26</f>
        <v>2030</v>
      </c>
      <c r="AP47" s="84"/>
      <c r="AQ47" s="101">
        <f>AQ26</f>
        <v>2026</v>
      </c>
      <c r="AR47" s="101">
        <f>AR26</f>
        <v>2027</v>
      </c>
      <c r="AS47" s="101">
        <f>AS26</f>
        <v>2028</v>
      </c>
      <c r="AT47" s="101">
        <f>AT26</f>
        <v>2029</v>
      </c>
      <c r="AU47" s="102">
        <f>AU26</f>
        <v>2030</v>
      </c>
      <c r="AX47" s="84"/>
      <c r="AY47" s="101">
        <f>AY26</f>
        <v>2026</v>
      </c>
      <c r="AZ47" s="101">
        <f>AZ26</f>
        <v>2027</v>
      </c>
      <c r="BA47" s="101">
        <f>BA26</f>
        <v>2028</v>
      </c>
      <c r="BB47" s="101">
        <f>BB26</f>
        <v>2029</v>
      </c>
      <c r="BC47" s="102">
        <f>BC26</f>
        <v>2030</v>
      </c>
      <c r="BF47" s="84"/>
      <c r="BG47" s="101">
        <f>BG26</f>
        <v>2026</v>
      </c>
      <c r="BH47" s="101">
        <f>BH26</f>
        <v>2027</v>
      </c>
      <c r="BI47" s="101">
        <f>BI26</f>
        <v>2028</v>
      </c>
      <c r="BJ47" s="101">
        <f>BJ26</f>
        <v>2029</v>
      </c>
      <c r="BK47" s="102">
        <f>BK26</f>
        <v>2030</v>
      </c>
      <c r="BN47" s="84"/>
      <c r="BO47" s="101">
        <f>BO26</f>
        <v>2026</v>
      </c>
      <c r="BP47" s="101">
        <f>BP26</f>
        <v>2027</v>
      </c>
      <c r="BQ47" s="101">
        <f>BQ26</f>
        <v>2028</v>
      </c>
      <c r="BR47" s="101">
        <f>BR26</f>
        <v>2029</v>
      </c>
      <c r="BS47" s="102">
        <f>BS26</f>
        <v>2030</v>
      </c>
      <c r="BV47" s="84"/>
      <c r="BW47" s="101">
        <f>BW26</f>
        <v>2026</v>
      </c>
      <c r="BX47" s="101">
        <f>BX26</f>
        <v>2027</v>
      </c>
      <c r="BY47" s="101">
        <f>BY26</f>
        <v>2028</v>
      </c>
      <c r="BZ47" s="101">
        <f>BZ26</f>
        <v>2029</v>
      </c>
      <c r="CA47" s="102">
        <f>CA26</f>
        <v>2030</v>
      </c>
      <c r="CD47" s="84"/>
      <c r="CE47" s="101">
        <f>CE26</f>
        <v>2026</v>
      </c>
      <c r="CF47" s="101">
        <f>CF26</f>
        <v>2027</v>
      </c>
      <c r="CG47" s="101">
        <f>CG26</f>
        <v>2028</v>
      </c>
      <c r="CH47" s="101">
        <f>CH26</f>
        <v>2029</v>
      </c>
      <c r="CI47" s="102">
        <f>CI26</f>
        <v>2030</v>
      </c>
      <c r="CL47" s="84"/>
      <c r="CM47" s="101">
        <f>CM26</f>
        <v>2026</v>
      </c>
      <c r="CN47" s="101">
        <f>CN26</f>
        <v>2027</v>
      </c>
      <c r="CO47" s="101">
        <f>CO26</f>
        <v>2028</v>
      </c>
      <c r="CP47" s="101">
        <f>CP26</f>
        <v>2029</v>
      </c>
      <c r="CQ47" s="102">
        <f>CQ26</f>
        <v>2030</v>
      </c>
      <c r="CT47" s="84"/>
      <c r="CU47" s="101">
        <f>CU26</f>
        <v>2026</v>
      </c>
      <c r="CV47" s="101">
        <f>CV26</f>
        <v>2027</v>
      </c>
      <c r="CW47" s="101">
        <f>CW26</f>
        <v>2028</v>
      </c>
      <c r="CX47" s="101">
        <f>CX26</f>
        <v>2029</v>
      </c>
      <c r="CY47" s="102">
        <f>CY26</f>
        <v>2030</v>
      </c>
      <c r="DB47" s="84"/>
      <c r="DC47" s="101">
        <f>DC26</f>
        <v>2026</v>
      </c>
      <c r="DD47" s="101">
        <f>DD26</f>
        <v>2027</v>
      </c>
      <c r="DE47" s="101">
        <f>DE26</f>
        <v>2028</v>
      </c>
      <c r="DF47" s="101">
        <f>DF26</f>
        <v>2029</v>
      </c>
      <c r="DG47" s="102">
        <f>DG26</f>
        <v>2030</v>
      </c>
    </row>
    <row r="48" spans="2:113" s="83" customFormat="1" ht="15" thickBot="1">
      <c r="B48" s="386"/>
      <c r="C48" s="388">
        <f ca="1">(C27*c_inicial)+(C27*c_on*12)+(C27*ci_int1)+(C27*(ct_int1+ca_int1)*'Time on treatment'!$D$12)</f>
        <v>0</v>
      </c>
      <c r="D48" s="388">
        <f ca="1">((D27-C27)*(c_inicial+ci_int1))+(D27*c_on*12)+(D27*(ct_int1+ca_int1)*'Time on treatment'!$D$12)</f>
        <v>0</v>
      </c>
      <c r="E48" s="388">
        <f ca="1">(((E27-(D27-C27))-C27)*(c_inicial+ci_int1))+(E27*c_on*12)+(E27*(ct_int1+ca_int1)*'Time on treatment'!$D$12)</f>
        <v>0</v>
      </c>
      <c r="F48" s="388">
        <f ca="1">((F27-(E27-D27)-(D27-C27)-C27)*(c_inicial+ci_int1))+(F27*c_on*12)+(F27*(ct_int1+ca_int1)*'Time on treatment'!$D$12)</f>
        <v>0</v>
      </c>
      <c r="G48" s="389">
        <f ca="1">((G27-(F27-E27)-(E27-D27)-(D27-C27)-C27)*(c_inicial+ci_int1))+(G27*c_on*12)+(G27*(ct_int1+ca_int1)*'Time on treatment'!$D$12)</f>
        <v>0</v>
      </c>
      <c r="H48" s="77"/>
      <c r="I48" s="77"/>
      <c r="J48" s="386"/>
      <c r="K48" s="388">
        <f ca="1">(K27*c_inicial)+(K27*c_on*12)+(K27*ci_int2)+(K27*(ct_int2+ca_int2)*'Time on treatment'!$D$12)</f>
        <v>0</v>
      </c>
      <c r="L48" s="388">
        <f ca="1">((L27-K27)*(c_inicial+ci_int2))+(L27*c_on*12)+(L27*(ct_int2+ca_int2)*'Time on treatment'!$D$12)</f>
        <v>0</v>
      </c>
      <c r="M48" s="388">
        <f ca="1">(((M27-(L27-K27))-K27)*(c_inicial+ci_int2))+(M27*c_on*12)+(M27*(ct_int2+ca_int2)*'Time on treatment'!$D$12)</f>
        <v>0</v>
      </c>
      <c r="N48" s="388">
        <f ca="1">((N27-(M27-L27)-(L27-K27)-K27)*(c_inicial+ci_int2))+(N27*c_on*12)+(N27*(ct_int2+ca_int2)*'Time on treatment'!$D$12)</f>
        <v>0</v>
      </c>
      <c r="O48" s="389">
        <f ca="1">((O27-(N27-M27)-(M27-L27)-(L27-K27)-K27)*(c_inicial+ci_int2))+(O27*c_on*12)+(O27*(ct_int2+ca_int2)*'Time on treatment'!$D$12)</f>
        <v>0</v>
      </c>
      <c r="P48" s="77"/>
      <c r="Q48" s="77"/>
      <c r="R48" s="386"/>
      <c r="S48" s="388">
        <f ca="1">(S27*c_inicial)+(S27*c_on*12)+(S27*ci_int3)+(S27*(ct_int3+ca_int3)*'Time on treatment'!$D$12)</f>
        <v>0</v>
      </c>
      <c r="T48" s="388">
        <f ca="1">((T27-S27)*(c_inicial+ci_int3))+(T27*c_on*12)+(T27*(ct_int3+ca_int3)*'Time on treatment'!$D$12)</f>
        <v>0</v>
      </c>
      <c r="U48" s="388">
        <f ca="1">(((U27-(T27-S27))-S27)*(c_inicial+ci_int3))+(U27*c_on*12)+(U27*(ct_int3+ca_int3)*'Time on treatment'!$D$12)</f>
        <v>0</v>
      </c>
      <c r="V48" s="388">
        <f ca="1">((V27-(U27-T27)-(T27-S27)-S27)*(c_inicial+ci_int3))+(V27*c_on*12)+(V27*(ct_int3+ca_int3)*'Time on treatment'!$D$12)</f>
        <v>0</v>
      </c>
      <c r="W48" s="389">
        <f ca="1">((W27-(V27-U27)-(U27-T27)-(T27-S27)-S27)*(c_inicial+ci_int3))+(W27*c_on*12)+(W27*(ct_int3+ca_int3)*'Time on treatment'!$D$12)</f>
        <v>0</v>
      </c>
      <c r="X48" s="77"/>
      <c r="Y48" s="77"/>
      <c r="Z48" s="386"/>
      <c r="AA48" s="388">
        <f ca="1">(AA27*c_inicial)+(AA27*c_on*12)+(AA27*ci_int4)+(AA27*(ct_int4+ca_int4)*'Time on treatment'!$D$12)</f>
        <v>0</v>
      </c>
      <c r="AB48" s="388">
        <f ca="1">((AB27-AA27)*(c_inicial+ci_int4))+(AB27*c_on*12)+(AB27*(ct_int4+ca_int4)*'Time on treatment'!$D$12)</f>
        <v>0</v>
      </c>
      <c r="AC48" s="388">
        <f ca="1">(((AC27-(AB27-AA27))-AA27)*(c_inicial+ci_int4))+(AC27*c_on*12)+(AC27*(ct_int4+ca_int4)*'Time on treatment'!$D$12)</f>
        <v>0</v>
      </c>
      <c r="AD48" s="388">
        <f ca="1">((AD27-(AC27-AB27)-(AB27-AA27)-AA27)*(c_inicial+ci_int4))+(AD27*c_on*12)+(AD27*(ct_int4+ca_int4)*'Time on treatment'!$D$12)</f>
        <v>0</v>
      </c>
      <c r="AE48" s="389">
        <f ca="1">((AE27-(AD27-AC27)-(AC27-AB27)-(AB27-AA27)-AA27)*(c_inicial+ci_int4))+(AE27*c_on*12)+(AE27*(ct_int4+ca_int4)*'Time on treatment'!$D$12)</f>
        <v>0</v>
      </c>
      <c r="AF48" s="77"/>
      <c r="AG48" s="77"/>
      <c r="AH48" s="386"/>
      <c r="AI48" s="388">
        <f ca="1">(AI27*c_inicial)+(AI27*c_on*12)+(AI27*ci_comp1)+(AI27*(ct_comp1+ca_comp1)*'Time on treatment'!$D$12)</f>
        <v>0</v>
      </c>
      <c r="AJ48" s="388">
        <f ca="1">((AJ27-AI27)*(c_inicial+ci_comp1))+(AJ27*c_on*12)+(AJ27*(ct_comp1+ca_comp1)*'Time on treatment'!$D$12)</f>
        <v>0</v>
      </c>
      <c r="AK48" s="388">
        <f ca="1">(((AK27-(AJ27-AI27))-AI27)*(c_inicial+ci_comp1))+(AK27*c_on*12)+(AK27*(ct_comp1+ca_comp1)*'Time on treatment'!$D$12)</f>
        <v>0</v>
      </c>
      <c r="AL48" s="388">
        <f ca="1">((AL27-(AK27-AJ27)-(AJ27-AI27)-AI27)*(c_inicial+ci_comp1))+(AL27*c_on*12)+(AL27*(ct_comp1+ca_comp1)*'Time on treatment'!$D$12)</f>
        <v>0</v>
      </c>
      <c r="AM48" s="389">
        <f ca="1">((AM27-(AL27-AK27)-(AK27-AJ27)-(AJ27-AI27)-AI27)*(c_inicial+ci_comp1))+(AM27*c_on*12)+(AM27*(ct_comp1+ca_comp1)*'Time on treatment'!$D$12)</f>
        <v>0</v>
      </c>
      <c r="AN48" s="77"/>
      <c r="AO48" s="77"/>
      <c r="AP48" s="386"/>
      <c r="AQ48" s="388">
        <f ca="1">(AQ27*c_inicial)+(AQ27*c_on*12)+(AQ27*ci_comp2)+(AQ27*(ct_comp2+ca_comp2)*'Time on treatment'!$D$12)</f>
        <v>0</v>
      </c>
      <c r="AR48" s="388">
        <f ca="1">((AR27-AQ27)*(c_inicial+ci_comp2))+(AR27*c_on*12)+(AR27*(ct_comp2+ca_comp2)*'Time on treatment'!$D$12)</f>
        <v>0</v>
      </c>
      <c r="AS48" s="388">
        <f ca="1">(((AS27-(AR27-AQ27))-AQ27)*(c_inicial+ci_comp2))+(AS27*c_on*12)+(AS27*(ct_comp2+ca_comp2)*'Time on treatment'!$D$12)</f>
        <v>0</v>
      </c>
      <c r="AT48" s="388">
        <f ca="1">((AT27-(AS27-AR27)-(AR27-AQ27)-AQ27)*(c_inicial+ci_comp2))+(AT27*c_on*12)+(AT27*(ct_comp2+ca_comp2)*'Time on treatment'!$D$12)</f>
        <v>0</v>
      </c>
      <c r="AU48" s="389">
        <f ca="1">((AU27-(AT27-AS27)-(AS27-AR27)-(AR27-AQ27)-AQ27)*(c_inicial+ci_comp2))+(AU27*c_on*12)+(AU27*(ct_comp2+ca_comp2)*'Time on treatment'!$D$12)</f>
        <v>0</v>
      </c>
      <c r="AV48" s="77"/>
      <c r="AW48" s="77"/>
      <c r="AX48" s="386"/>
      <c r="AY48" s="388">
        <f ca="1">(AY27*c_inicial)+(AY27*c_on*12)+(AY27*ci_comp3)+(AY27*(ct_comp3+ca_comp3)*'Time on treatment'!$D$12)</f>
        <v>0</v>
      </c>
      <c r="AZ48" s="388">
        <f ca="1">((AZ27-AY27)*(c_inicial+ci_comp3))+(AZ27*c_on*12)+(AZ27*(ct_comp3+ca_comp3)*'Time on treatment'!$D$12)</f>
        <v>0</v>
      </c>
      <c r="BA48" s="388">
        <f ca="1">(((BA27-(AZ27-AY27))-AY27)*(c_inicial+ci_comp3))+(BA27*c_on*12)+(BA27*(ct_comp3+ca_comp3)*'Time on treatment'!$D$12)</f>
        <v>0</v>
      </c>
      <c r="BB48" s="388">
        <f ca="1">((BB27-(BA27-AZ27)-(AZ27-AY27)-AY27)*(c_inicial+ci_comp3))+(BB27*c_on*12)+(BB27*(ct_comp3+ca_comp3)*'Time on treatment'!$D$12)</f>
        <v>0</v>
      </c>
      <c r="BC48" s="389">
        <f ca="1">((BC27-(BB27-BA27)-(BA27-AZ27)-(AZ27-AY27)-AY27)*(c_inicial+ci_comp3))+(BC27*c_on*12)+(BC27*(ct_comp3+ca_comp3)*'Time on treatment'!$D$12)</f>
        <v>0</v>
      </c>
      <c r="BD48" s="77"/>
      <c r="BE48" s="77"/>
      <c r="BF48" s="386"/>
      <c r="BG48" s="388">
        <f ca="1">(BG27*c_inicial)+(BG27*c_on*12)+(BG27*ci_comp4)+(BG27*(ct_comp4+ca_comp4)*'Time on treatment'!$D$12)</f>
        <v>0</v>
      </c>
      <c r="BH48" s="388">
        <f ca="1">((BH27-BG27)*(c_inicial+ci_comp4))+(BH27*c_on*12)+(BH27*(ct_comp4+ca_comp4)*'Time on treatment'!$D$12)</f>
        <v>0</v>
      </c>
      <c r="BI48" s="388">
        <f ca="1">(((BI27-(BH27-BG27))-BG27)*(c_inicial+ci_comp4))+(BI27*c_on*12)+(BI27*(ct_comp4+ca_comp4)*'Time on treatment'!$D$12)</f>
        <v>0</v>
      </c>
      <c r="BJ48" s="388">
        <f ca="1">((BJ27-(BI27-BH27)-(BH27-BG27)-BG27)*(c_inicial+ci_comp4))+(BJ27*c_on*12)+(BJ27*(ct_comp4+ca_comp4)*'Time on treatment'!$D$12)</f>
        <v>0</v>
      </c>
      <c r="BK48" s="389">
        <f ca="1">((BK27-(BJ27-BI27)-(BI27-BH27)-(BH27-BG27)-BG27)*(c_inicial+ci_comp4))+(BK27*c_on*12)+(BK27*(ct_comp4+ca_comp4)*'Time on treatment'!$D$12)</f>
        <v>0</v>
      </c>
      <c r="BL48" s="77"/>
      <c r="BM48" s="77"/>
      <c r="BN48" s="386"/>
      <c r="BO48" s="388">
        <f ca="1">(BO27*c_inicial)+(BO27*c_on*12)+(BO27*ci_comp5)+(BO27*(ct_comp5+ca_comp5)*'Time on treatment'!$D$12)</f>
        <v>0</v>
      </c>
      <c r="BP48" s="388">
        <f ca="1">((BP27-BO27)*(c_inicial+ci_comp5))+(BP27*c_on*12)+(BP27*(ct_comp5+ca_comp5)*'Time on treatment'!$D$12)</f>
        <v>0</v>
      </c>
      <c r="BQ48" s="388">
        <f ca="1">(((BQ27-(BP27-BO27))-BO27)*(c_inicial+ci_comp5))+(BQ27*c_on*12)+(BQ27*(ct_comp5+ca_comp5)*'Time on treatment'!$D$12)</f>
        <v>0</v>
      </c>
      <c r="BR48" s="388">
        <f ca="1">((BR27-(BQ27-BP27)-(BP27-BO27)-BO27)*(c_inicial+ci_comp5))+(BR27*c_on*12)+(BR27*(ct_comp5+ca_comp5)*'Time on treatment'!$D$12)</f>
        <v>0</v>
      </c>
      <c r="BS48" s="389">
        <f ca="1">((BS27-(BR27-BQ27)-(BQ27-BP27)-(BP27-BO27)-BO27)*(c_inicial+ci_comp5))+(BS27*c_on*12)+(BS27*(ct_comp5+ca_comp5)*'Time on treatment'!$D$12)</f>
        <v>0</v>
      </c>
      <c r="BT48" s="77"/>
      <c r="BU48" s="77"/>
      <c r="BV48" s="386"/>
      <c r="BW48" s="388">
        <f ca="1">(BW27*c_inicial)+(BW27*c_on*12)+(BW27*ci_comp6)+(BW27*(ct_comp6+ca_comp6)*'Time on treatment'!$D$12)</f>
        <v>0</v>
      </c>
      <c r="BX48" s="388">
        <f ca="1">((BX27-BW27)*(c_inicial+ci_comp6))+(BX27*c_on*12)+(BX27*(ct_comp6+ca_comp6)*'Time on treatment'!$D$12)</f>
        <v>0</v>
      </c>
      <c r="BY48" s="388">
        <f ca="1">(((BY27-(BX27-BW27))-BW27)*(c_inicial+ci_comp6))+(BY27*c_on*12)+(BY27*(ct_comp6+ca_comp6)*'Time on treatment'!$D$12)</f>
        <v>0</v>
      </c>
      <c r="BZ48" s="388">
        <f ca="1">((BZ27-(BY27-BX27)-(BX27-BW27)-BW27)*(c_inicial+ci_comp6))+(BZ27*c_on*12)+(BZ27*(ct_comp6+ca_comp6)*'Time on treatment'!$D$12)</f>
        <v>0</v>
      </c>
      <c r="CA48" s="389">
        <f ca="1">((CA27-(BZ27-BY27)-(BY27-BX27)-(BX27-BW27)-BW27)*(c_inicial+ci_comp6))+(CA27*c_on*12)+(CA27*(ct_comp6+ca_comp6)*'Time on treatment'!$D$12)</f>
        <v>0</v>
      </c>
      <c r="CB48" s="77"/>
      <c r="CC48" s="77"/>
      <c r="CD48" s="386"/>
      <c r="CE48" s="388">
        <f ca="1">(CE27*c_inicial)+(CE27*c_on*12)+(CE27*ci_comp7)+(CE27*(ct_comp7+ca_comp7)*'Time on treatment'!$D$12)</f>
        <v>0</v>
      </c>
      <c r="CF48" s="388">
        <f ca="1">((CF27-CE27)*(c_inicial+ci_comp7))+(CF27*c_on*12)+(CF27*(ct_comp7+ca_comp7)*'Time on treatment'!$D$12)</f>
        <v>0</v>
      </c>
      <c r="CG48" s="388">
        <f ca="1">(((CG27-(CF27-CE27))-CE27)*(c_inicial+ci_comp7))+(CG27*c_on*12)+(CG27*(ct_comp7+ca_comp7)*'Time on treatment'!$D$12)</f>
        <v>0</v>
      </c>
      <c r="CH48" s="388">
        <f ca="1">((CH27-(CG27-CF27)-(CF27-CE27)-CE27)*(c_inicial+ci_comp7))+(CH27*c_on*12)+(CH27*(ct_comp7+ca_comp7)*'Time on treatment'!$D$12)</f>
        <v>0</v>
      </c>
      <c r="CI48" s="389">
        <f ca="1">((CI27-(CH27-CG27)-(CG27-CF27)-(CF27-CE27)-CE27)*(c_inicial+ci_comp7))+(CI27*c_on*12)+(CI27*(ct_comp7+ca_comp7)*'Time on treatment'!$D$12)</f>
        <v>0</v>
      </c>
      <c r="CJ48" s="77"/>
      <c r="CK48" s="77"/>
      <c r="CL48" s="386"/>
      <c r="CM48" s="388">
        <f ca="1">(CM27*c_inicial)+(CM27*c_on*12)+(CM27*ci_comp8)+(CM27*(ct_comp8+ca_comp8)*'Time on treatment'!$D$12)</f>
        <v>0</v>
      </c>
      <c r="CN48" s="388">
        <f ca="1">((CN27-CM27)*(c_inicial+ci_comp8))+(CN27*c_on*12)+(CN27*(ct_comp8+ca_comp8)*'Time on treatment'!$D$12)</f>
        <v>0</v>
      </c>
      <c r="CO48" s="388">
        <f ca="1">(((CO27-(CN27-CM27))-CM27)*(c_inicial+ci_comp8))+(CO27*c_on*12)+(CO27*(ct_comp8+ca_comp8)*'Time on treatment'!$D$12)</f>
        <v>0</v>
      </c>
      <c r="CP48" s="388">
        <f ca="1">((CP27-(CO27-CN27)-(CN27-CM27)-CM27)*(c_inicial+ci_comp8))+(CP27*c_on*12)+(CP27*(ct_comp8+ca_comp8)*'Time on treatment'!$D$12)</f>
        <v>0</v>
      </c>
      <c r="CQ48" s="389">
        <f ca="1">((CQ27-(CP27-CO27)-(CO27-CN27)-(CN27-CM27)-CM27)*(c_inicial+ci_comp8))+(CQ27*c_on*12)+(CQ27*(ct_comp8+ca_comp8)*'Time on treatment'!$D$12)</f>
        <v>0</v>
      </c>
      <c r="CR48" s="77"/>
      <c r="CS48" s="77"/>
      <c r="CT48" s="386"/>
      <c r="CU48" s="388">
        <f ca="1">(CU27*c_inicial)+(CU27*c_on*12)+(CU27*ci_comp9)+(CU27*(ct_comp9+ca_comp9)*'Time on treatment'!$D$12)</f>
        <v>0</v>
      </c>
      <c r="CV48" s="388">
        <f ca="1">((CV27-CU27)*(c_inicial+ci_comp9))+(CV27*c_on*12)+(CV27*(ct_comp9+ca_comp9)*'Time on treatment'!$D$12)</f>
        <v>0</v>
      </c>
      <c r="CW48" s="388">
        <f ca="1">(((CW27-(CV27-CU27))-CU27)*(c_inicial+ci_comp9))+(CW27*c_on*12)+(CW27*(ct_comp9+ca_comp9)*'Time on treatment'!$D$12)</f>
        <v>0</v>
      </c>
      <c r="CX48" s="388">
        <f ca="1">((CX27-(CW27-CV27)-(CV27-CU27)-CU27)*(c_inicial+ci_comp9))+(CX27*c_on*12)+(CX27*(ct_comp9+ca_comp9)*'Time on treatment'!$D$12)</f>
        <v>0</v>
      </c>
      <c r="CY48" s="389">
        <f ca="1">((CY27-(CX27-CW27)-(CW27-CV27)-(CV27-CU27)-CU27)*(c_inicial+ci_comp9))+(CY27*c_on*12)+(CY27*(ct_comp9+ca_comp9)*'Time on treatment'!$D$12)</f>
        <v>0</v>
      </c>
      <c r="CZ48" s="77"/>
      <c r="DA48" s="77"/>
      <c r="DB48" s="386"/>
      <c r="DC48" s="388">
        <f ca="1">(DC27*c_inicial)+(DC27*c_on*12)+(DC27*ci_comp10)+(DC27*(ct_comp10+ca_comp10)*'Time on treatment'!$D$12)</f>
        <v>0</v>
      </c>
      <c r="DD48" s="388">
        <f ca="1">((DD27-DC27)*(c_inicial+ci_comp10))+(DD27*c_on*12)+(DD27*(ct_comp10+ca_comp10)*'Time on treatment'!$D$12)</f>
        <v>0</v>
      </c>
      <c r="DE48" s="388">
        <f ca="1">(((DE27-(DD27-DC27))-DC27)*(c_inicial+ci_comp10))+(DE27*c_on*12)+(DE27*(ct_comp10+ca_comp10)*'Time on treatment'!$D$12)</f>
        <v>0</v>
      </c>
      <c r="DF48" s="388">
        <f ca="1">((DF27-(DE27-DD27)-(DD27-DC27)-DC27)*(c_inicial+ci_comp10))+(DF27*c_on*12)+(DF27*(ct_comp10+ca_comp10)*'Time on treatment'!$D$12)</f>
        <v>0</v>
      </c>
      <c r="DG48" s="389">
        <f ca="1">((DG27-(DF27-DE27)-(DE27-DD27)-(DD27-DC27)-DC27)*(c_inicial+ci_comp10))+(DG27*c_on*12)+(DG27*(ct_comp10+ca_comp10)*'Time on treatment'!$D$12)</f>
        <v>0</v>
      </c>
      <c r="DH48" s="77"/>
      <c r="DI48" s="77"/>
    </row>
    <row r="51" spans="2:113" s="81" customFormat="1">
      <c r="B51" s="120"/>
      <c r="C51" s="120"/>
      <c r="D51" s="120"/>
      <c r="E51" s="120"/>
      <c r="F51" s="120"/>
      <c r="G51" s="120"/>
      <c r="H51" s="82"/>
      <c r="I51" s="82"/>
      <c r="J51" s="120"/>
      <c r="K51" s="120"/>
      <c r="L51" s="120"/>
      <c r="M51" s="120"/>
      <c r="N51" s="120"/>
      <c r="O51" s="120"/>
      <c r="P51" s="82"/>
      <c r="Q51" s="82"/>
      <c r="R51" s="120"/>
      <c r="S51" s="120"/>
      <c r="T51" s="120"/>
      <c r="U51" s="120"/>
      <c r="V51" s="120"/>
      <c r="W51" s="120"/>
      <c r="X51" s="82"/>
      <c r="Y51" s="82"/>
      <c r="Z51" s="120"/>
      <c r="AA51" s="120"/>
      <c r="AB51" s="120"/>
      <c r="AC51" s="120"/>
      <c r="AD51" s="120"/>
      <c r="AE51" s="120"/>
      <c r="AF51" s="82"/>
      <c r="AG51" s="82"/>
      <c r="AH51" s="120"/>
      <c r="AI51" s="120"/>
      <c r="AJ51" s="120"/>
      <c r="AK51" s="120"/>
      <c r="AL51" s="120"/>
      <c r="AM51" s="120"/>
      <c r="AN51" s="82"/>
      <c r="AO51" s="82"/>
      <c r="AP51" s="120"/>
      <c r="AQ51" s="120"/>
      <c r="AR51" s="120"/>
      <c r="AS51" s="120"/>
      <c r="AT51" s="120"/>
      <c r="AU51" s="120"/>
      <c r="AV51" s="82"/>
      <c r="AW51" s="82"/>
      <c r="AX51" s="120"/>
      <c r="AY51" s="120"/>
      <c r="AZ51" s="120"/>
      <c r="BA51" s="120"/>
      <c r="BB51" s="120"/>
      <c r="BC51" s="120"/>
      <c r="BD51" s="82"/>
      <c r="BE51" s="82"/>
      <c r="BF51" s="120"/>
      <c r="BG51" s="120"/>
      <c r="BH51" s="120"/>
      <c r="BI51" s="120"/>
      <c r="BJ51" s="120"/>
      <c r="BK51" s="120"/>
      <c r="BL51" s="82"/>
      <c r="BM51" s="82"/>
      <c r="BN51" s="120"/>
      <c r="BO51" s="120"/>
      <c r="BP51" s="120"/>
      <c r="BQ51" s="120"/>
      <c r="BR51" s="120"/>
      <c r="BS51" s="120"/>
      <c r="BT51" s="82"/>
      <c r="BU51" s="82"/>
      <c r="BV51" s="120"/>
      <c r="BW51" s="120"/>
      <c r="BX51" s="120"/>
      <c r="BY51" s="120"/>
      <c r="BZ51" s="120"/>
      <c r="CA51" s="120"/>
      <c r="CB51" s="82"/>
      <c r="CC51" s="82"/>
      <c r="CD51" s="120"/>
      <c r="CE51" s="120"/>
      <c r="CF51" s="120"/>
      <c r="CG51" s="120"/>
      <c r="CH51" s="120"/>
      <c r="CI51" s="120"/>
      <c r="CJ51" s="82"/>
      <c r="CK51" s="82"/>
      <c r="CL51" s="120"/>
      <c r="CM51" s="120"/>
      <c r="CN51" s="120"/>
      <c r="CO51" s="120"/>
      <c r="CP51" s="120"/>
      <c r="CQ51" s="120"/>
      <c r="CR51" s="82"/>
      <c r="CS51" s="82"/>
      <c r="CT51" s="120"/>
      <c r="CU51" s="120"/>
      <c r="CV51" s="120"/>
      <c r="CW51" s="120"/>
      <c r="CX51" s="120"/>
      <c r="CY51" s="120"/>
      <c r="CZ51" s="82"/>
      <c r="DA51" s="82"/>
      <c r="DB51" s="120"/>
      <c r="DC51" s="120"/>
      <c r="DD51" s="120"/>
      <c r="DE51" s="120"/>
      <c r="DF51" s="120"/>
      <c r="DG51" s="120"/>
      <c r="DH51" s="82"/>
      <c r="DI51" s="82"/>
    </row>
    <row r="52" spans="2:113" s="76" customFormat="1" ht="21">
      <c r="B52" s="502" t="str">
        <f>intervencao1</f>
        <v>Intrauterine device levonorgestrel</v>
      </c>
      <c r="C52" s="502"/>
      <c r="D52" s="502"/>
      <c r="E52" s="502"/>
      <c r="F52" s="502"/>
      <c r="G52" s="502"/>
      <c r="H52" s="502"/>
      <c r="I52" s="77"/>
      <c r="J52" s="502">
        <f>intervencao2</f>
        <v>0</v>
      </c>
      <c r="K52" s="502"/>
      <c r="L52" s="502"/>
      <c r="M52" s="502"/>
      <c r="N52" s="502"/>
      <c r="O52" s="502"/>
      <c r="P52" s="502"/>
      <c r="Q52" s="77"/>
      <c r="R52" s="502">
        <f>intervencao3</f>
        <v>0</v>
      </c>
      <c r="S52" s="502"/>
      <c r="T52" s="502"/>
      <c r="U52" s="502"/>
      <c r="V52" s="502"/>
      <c r="W52" s="502"/>
      <c r="X52" s="502"/>
      <c r="Y52" s="77"/>
      <c r="Z52" s="502">
        <f>intervencao4</f>
        <v>0</v>
      </c>
      <c r="AA52" s="502"/>
      <c r="AB52" s="502"/>
      <c r="AC52" s="502"/>
      <c r="AD52" s="502"/>
      <c r="AE52" s="502"/>
      <c r="AF52" s="502"/>
      <c r="AG52" s="77"/>
      <c r="AH52" s="502" t="str">
        <f>comparador1</f>
        <v>Oral contraceptive</v>
      </c>
      <c r="AI52" s="502"/>
      <c r="AJ52" s="502"/>
      <c r="AK52" s="502"/>
      <c r="AL52" s="502"/>
      <c r="AM52" s="502"/>
      <c r="AN52" s="502"/>
      <c r="AO52" s="77"/>
      <c r="AP52" s="502">
        <f>comparador2</f>
        <v>0</v>
      </c>
      <c r="AQ52" s="502"/>
      <c r="AR52" s="502"/>
      <c r="AS52" s="502"/>
      <c r="AT52" s="502"/>
      <c r="AU52" s="502"/>
      <c r="AV52" s="502"/>
      <c r="AW52" s="77"/>
      <c r="AX52" s="502">
        <f>comparador3</f>
        <v>0</v>
      </c>
      <c r="AY52" s="502"/>
      <c r="AZ52" s="502"/>
      <c r="BA52" s="502"/>
      <c r="BB52" s="502"/>
      <c r="BC52" s="502"/>
      <c r="BD52" s="502"/>
      <c r="BE52" s="77"/>
      <c r="BF52" s="502">
        <f>comparador4</f>
        <v>0</v>
      </c>
      <c r="BG52" s="502"/>
      <c r="BH52" s="502"/>
      <c r="BI52" s="502"/>
      <c r="BJ52" s="502"/>
      <c r="BK52" s="502"/>
      <c r="BL52" s="502"/>
      <c r="BM52" s="77"/>
      <c r="BN52" s="502">
        <f>comparador5</f>
        <v>0</v>
      </c>
      <c r="BO52" s="502"/>
      <c r="BP52" s="502"/>
      <c r="BQ52" s="502"/>
      <c r="BR52" s="502"/>
      <c r="BS52" s="502"/>
      <c r="BT52" s="502"/>
      <c r="BU52" s="77"/>
      <c r="BV52" s="502">
        <f>comparador6</f>
        <v>0</v>
      </c>
      <c r="BW52" s="502"/>
      <c r="BX52" s="502"/>
      <c r="BY52" s="502"/>
      <c r="BZ52" s="502"/>
      <c r="CA52" s="502"/>
      <c r="CB52" s="502"/>
      <c r="CC52" s="77"/>
      <c r="CD52" s="502">
        <f>comparador7</f>
        <v>0</v>
      </c>
      <c r="CE52" s="502"/>
      <c r="CF52" s="502"/>
      <c r="CG52" s="502"/>
      <c r="CH52" s="502"/>
      <c r="CI52" s="502"/>
      <c r="CJ52" s="502"/>
      <c r="CK52" s="77"/>
      <c r="CL52" s="502">
        <f>comparador8</f>
        <v>0</v>
      </c>
      <c r="CM52" s="502"/>
      <c r="CN52" s="502"/>
      <c r="CO52" s="502"/>
      <c r="CP52" s="502"/>
      <c r="CQ52" s="502"/>
      <c r="CR52" s="502"/>
      <c r="CS52" s="77"/>
      <c r="CT52" s="502">
        <f>comparador9</f>
        <v>0</v>
      </c>
      <c r="CU52" s="502"/>
      <c r="CV52" s="502"/>
      <c r="CW52" s="502"/>
      <c r="CX52" s="502"/>
      <c r="CY52" s="502"/>
      <c r="CZ52" s="502"/>
      <c r="DA52" s="77"/>
      <c r="DB52" s="502">
        <f>comparador10</f>
        <v>0</v>
      </c>
      <c r="DC52" s="502"/>
      <c r="DD52" s="502"/>
      <c r="DE52" s="502"/>
      <c r="DF52" s="502"/>
      <c r="DG52" s="502"/>
      <c r="DH52" s="502"/>
      <c r="DI52" s="77"/>
    </row>
    <row r="53" spans="2:113" ht="18">
      <c r="B53" s="503" t="s">
        <v>182</v>
      </c>
      <c r="C53" s="503"/>
      <c r="D53" s="503"/>
      <c r="E53" s="503"/>
      <c r="F53" s="503"/>
      <c r="G53" s="503"/>
      <c r="H53" s="71"/>
      <c r="I53" s="71"/>
      <c r="J53" s="503" t="s">
        <v>182</v>
      </c>
      <c r="K53" s="503"/>
      <c r="L53" s="503"/>
      <c r="M53" s="503"/>
      <c r="N53" s="503"/>
      <c r="O53" s="503"/>
      <c r="P53" s="71"/>
      <c r="Q53" s="71"/>
      <c r="R53" s="503" t="s">
        <v>182</v>
      </c>
      <c r="S53" s="503"/>
      <c r="T53" s="503"/>
      <c r="U53" s="503"/>
      <c r="V53" s="503"/>
      <c r="W53" s="503"/>
      <c r="X53" s="71"/>
      <c r="Y53" s="71"/>
      <c r="Z53" s="503" t="s">
        <v>182</v>
      </c>
      <c r="AA53" s="503"/>
      <c r="AB53" s="503"/>
      <c r="AC53" s="503"/>
      <c r="AD53" s="503"/>
      <c r="AE53" s="503"/>
      <c r="AF53" s="71"/>
      <c r="AG53" s="71"/>
      <c r="AH53" s="503" t="s">
        <v>182</v>
      </c>
      <c r="AI53" s="503"/>
      <c r="AJ53" s="503"/>
      <c r="AK53" s="503"/>
      <c r="AL53" s="503"/>
      <c r="AM53" s="503"/>
      <c r="AN53" s="71"/>
      <c r="AO53" s="71"/>
      <c r="AP53" s="503" t="s">
        <v>182</v>
      </c>
      <c r="AQ53" s="503"/>
      <c r="AR53" s="503"/>
      <c r="AS53" s="503"/>
      <c r="AT53" s="503"/>
      <c r="AU53" s="503"/>
      <c r="AV53" s="71"/>
      <c r="AW53" s="71"/>
      <c r="AX53" s="503" t="s">
        <v>182</v>
      </c>
      <c r="AY53" s="503"/>
      <c r="AZ53" s="503"/>
      <c r="BA53" s="503"/>
      <c r="BB53" s="503"/>
      <c r="BC53" s="503"/>
      <c r="BD53" s="71"/>
      <c r="BE53" s="71"/>
      <c r="BF53" s="503" t="s">
        <v>182</v>
      </c>
      <c r="BG53" s="503"/>
      <c r="BH53" s="503"/>
      <c r="BI53" s="503"/>
      <c r="BJ53" s="503"/>
      <c r="BK53" s="503"/>
      <c r="BL53" s="71"/>
      <c r="BM53" s="71"/>
      <c r="BN53" s="503" t="s">
        <v>182</v>
      </c>
      <c r="BO53" s="503"/>
      <c r="BP53" s="503"/>
      <c r="BQ53" s="503"/>
      <c r="BR53" s="503"/>
      <c r="BS53" s="503"/>
      <c r="BT53" s="71"/>
      <c r="BU53" s="71"/>
      <c r="BV53" s="503" t="s">
        <v>182</v>
      </c>
      <c r="BW53" s="503"/>
      <c r="BX53" s="503"/>
      <c r="BY53" s="503"/>
      <c r="BZ53" s="503"/>
      <c r="CA53" s="503"/>
      <c r="CB53" s="71"/>
      <c r="CC53" s="71"/>
      <c r="CD53" s="503" t="s">
        <v>182</v>
      </c>
      <c r="CE53" s="503"/>
      <c r="CF53" s="503"/>
      <c r="CG53" s="503"/>
      <c r="CH53" s="503"/>
      <c r="CI53" s="503"/>
      <c r="CJ53" s="71"/>
      <c r="CK53" s="71"/>
      <c r="CL53" s="503" t="s">
        <v>182</v>
      </c>
      <c r="CM53" s="503"/>
      <c r="CN53" s="503"/>
      <c r="CO53" s="503"/>
      <c r="CP53" s="503"/>
      <c r="CQ53" s="503"/>
      <c r="CR53" s="71"/>
      <c r="CS53" s="71"/>
      <c r="CT53" s="503" t="s">
        <v>182</v>
      </c>
      <c r="CU53" s="503"/>
      <c r="CV53" s="503"/>
      <c r="CW53" s="503"/>
      <c r="CX53" s="503"/>
      <c r="CY53" s="503"/>
      <c r="CZ53" s="71"/>
      <c r="DA53" s="71"/>
      <c r="DB53" s="503" t="s">
        <v>182</v>
      </c>
      <c r="DC53" s="503"/>
      <c r="DD53" s="503"/>
      <c r="DE53" s="503"/>
      <c r="DF53" s="503"/>
      <c r="DG53" s="503"/>
      <c r="DH53" s="71"/>
    </row>
    <row r="54" spans="2:113" ht="15" thickBot="1">
      <c r="B54" s="83"/>
      <c r="C54" s="83"/>
      <c r="D54" s="83"/>
      <c r="E54" s="83"/>
      <c r="F54" s="83"/>
      <c r="G54" s="83"/>
      <c r="J54" s="83"/>
      <c r="K54" s="83"/>
      <c r="L54" s="83"/>
      <c r="M54" s="83"/>
      <c r="N54" s="83"/>
      <c r="O54" s="83"/>
      <c r="R54" s="83"/>
      <c r="S54" s="83"/>
      <c r="T54" s="83"/>
      <c r="U54" s="83"/>
      <c r="V54" s="83"/>
      <c r="W54" s="83"/>
      <c r="Z54" s="83"/>
      <c r="AA54" s="83"/>
      <c r="AB54" s="83"/>
      <c r="AC54" s="83"/>
      <c r="AD54" s="83"/>
      <c r="AE54" s="83"/>
      <c r="AH54" s="83"/>
      <c r="AI54" s="83"/>
      <c r="AJ54" s="83"/>
      <c r="AK54" s="83"/>
      <c r="AL54" s="83"/>
      <c r="AM54" s="83"/>
      <c r="AP54" s="83"/>
      <c r="AQ54" s="83"/>
      <c r="AR54" s="83"/>
      <c r="AS54" s="83"/>
      <c r="AT54" s="83"/>
      <c r="AU54" s="83"/>
      <c r="AX54" s="83"/>
      <c r="AY54" s="83"/>
      <c r="AZ54" s="83"/>
      <c r="BA54" s="83"/>
      <c r="BB54" s="83"/>
      <c r="BC54" s="83"/>
      <c r="BF54" s="83"/>
      <c r="BG54" s="83"/>
      <c r="BH54" s="83"/>
      <c r="BI54" s="83"/>
      <c r="BJ54" s="83"/>
      <c r="BK54" s="83"/>
      <c r="BN54" s="83"/>
      <c r="BO54" s="83"/>
      <c r="BP54" s="83"/>
      <c r="BQ54" s="83"/>
      <c r="BR54" s="83"/>
      <c r="BS54" s="83"/>
      <c r="BV54" s="83"/>
      <c r="BW54" s="83"/>
      <c r="BX54" s="83"/>
      <c r="BY54" s="83"/>
      <c r="BZ54" s="83"/>
      <c r="CA54" s="83"/>
      <c r="CD54" s="83"/>
      <c r="CE54" s="83"/>
      <c r="CF54" s="83"/>
      <c r="CG54" s="83"/>
      <c r="CH54" s="83"/>
      <c r="CI54" s="83"/>
      <c r="CL54" s="83"/>
      <c r="CM54" s="83"/>
      <c r="CN54" s="83"/>
      <c r="CO54" s="83"/>
      <c r="CP54" s="83"/>
      <c r="CQ54" s="83"/>
      <c r="CT54" s="83"/>
      <c r="CU54" s="83"/>
      <c r="CV54" s="83"/>
      <c r="CW54" s="83"/>
      <c r="CX54" s="83"/>
      <c r="CY54" s="83"/>
      <c r="DB54" s="83"/>
      <c r="DC54" s="83"/>
      <c r="DD54" s="83"/>
      <c r="DE54" s="83"/>
      <c r="DF54" s="83"/>
      <c r="DG54" s="83"/>
    </row>
    <row r="55" spans="2:113" ht="15" thickBot="1">
      <c r="B55" s="504" t="str">
        <f>B34</f>
        <v>Without IUD-LNG</v>
      </c>
      <c r="C55" s="505"/>
      <c r="D55" s="505"/>
      <c r="E55" s="505"/>
      <c r="F55" s="505"/>
      <c r="G55" s="506"/>
      <c r="J55" s="504" t="str">
        <f>J34</f>
        <v>Without IUD-LNG</v>
      </c>
      <c r="K55" s="505"/>
      <c r="L55" s="505"/>
      <c r="M55" s="505"/>
      <c r="N55" s="505"/>
      <c r="O55" s="506"/>
      <c r="R55" s="504" t="str">
        <f>R34</f>
        <v>Without IUD-LNG</v>
      </c>
      <c r="S55" s="505"/>
      <c r="T55" s="505"/>
      <c r="U55" s="505"/>
      <c r="V55" s="505"/>
      <c r="W55" s="506"/>
      <c r="Z55" s="504" t="str">
        <f>Z34</f>
        <v>Without IUD-LNG</v>
      </c>
      <c r="AA55" s="505"/>
      <c r="AB55" s="505"/>
      <c r="AC55" s="505"/>
      <c r="AD55" s="505"/>
      <c r="AE55" s="506"/>
      <c r="AH55" s="504" t="str">
        <f>AH34</f>
        <v>Without IUD-LNG</v>
      </c>
      <c r="AI55" s="505"/>
      <c r="AJ55" s="505"/>
      <c r="AK55" s="505"/>
      <c r="AL55" s="505"/>
      <c r="AM55" s="506"/>
      <c r="AP55" s="504" t="str">
        <f>AP34</f>
        <v>Without IUD-LNG</v>
      </c>
      <c r="AQ55" s="505"/>
      <c r="AR55" s="505"/>
      <c r="AS55" s="505"/>
      <c r="AT55" s="505"/>
      <c r="AU55" s="506"/>
      <c r="AX55" s="504" t="str">
        <f>AX34</f>
        <v>Without IUD-LNG</v>
      </c>
      <c r="AY55" s="505"/>
      <c r="AZ55" s="505"/>
      <c r="BA55" s="505"/>
      <c r="BB55" s="505"/>
      <c r="BC55" s="506"/>
      <c r="BF55" s="504" t="str">
        <f>BF34</f>
        <v>Without IUD-LNG</v>
      </c>
      <c r="BG55" s="505"/>
      <c r="BH55" s="505"/>
      <c r="BI55" s="505"/>
      <c r="BJ55" s="505"/>
      <c r="BK55" s="506"/>
      <c r="BN55" s="504" t="str">
        <f>BN34</f>
        <v>Without IUD-LNG</v>
      </c>
      <c r="BO55" s="505"/>
      <c r="BP55" s="505"/>
      <c r="BQ55" s="505"/>
      <c r="BR55" s="505"/>
      <c r="BS55" s="506"/>
      <c r="BV55" s="504" t="str">
        <f>BV34</f>
        <v>Without IUD-LNG</v>
      </c>
      <c r="BW55" s="505"/>
      <c r="BX55" s="505"/>
      <c r="BY55" s="505"/>
      <c r="BZ55" s="505"/>
      <c r="CA55" s="506"/>
      <c r="CD55" s="504" t="str">
        <f>CD34</f>
        <v>Without IUD-LNG</v>
      </c>
      <c r="CE55" s="505"/>
      <c r="CF55" s="505"/>
      <c r="CG55" s="505"/>
      <c r="CH55" s="505"/>
      <c r="CI55" s="506"/>
      <c r="CL55" s="504" t="str">
        <f>CL34</f>
        <v>Without IUD-LNG</v>
      </c>
      <c r="CM55" s="505"/>
      <c r="CN55" s="505"/>
      <c r="CO55" s="505"/>
      <c r="CP55" s="505"/>
      <c r="CQ55" s="506"/>
      <c r="CT55" s="504" t="str">
        <f>CT34</f>
        <v>Without IUD-LNG</v>
      </c>
      <c r="CU55" s="505"/>
      <c r="CV55" s="505"/>
      <c r="CW55" s="505"/>
      <c r="CX55" s="505"/>
      <c r="CY55" s="506"/>
      <c r="DB55" s="504" t="str">
        <f>DB34</f>
        <v>Without IUD-LNG</v>
      </c>
      <c r="DC55" s="505"/>
      <c r="DD55" s="505"/>
      <c r="DE55" s="505"/>
      <c r="DF55" s="505"/>
      <c r="DG55" s="506"/>
    </row>
    <row r="56" spans="2:113">
      <c r="B56" s="84"/>
      <c r="C56" s="101">
        <f>C35</f>
        <v>2026</v>
      </c>
      <c r="D56" s="101">
        <f>D35</f>
        <v>2027</v>
      </c>
      <c r="E56" s="101">
        <f>E35</f>
        <v>2028</v>
      </c>
      <c r="F56" s="101">
        <f>F35</f>
        <v>2029</v>
      </c>
      <c r="G56" s="102">
        <f>G35</f>
        <v>2030</v>
      </c>
      <c r="J56" s="84"/>
      <c r="K56" s="101">
        <f>K35</f>
        <v>2026</v>
      </c>
      <c r="L56" s="101">
        <f>L35</f>
        <v>2027</v>
      </c>
      <c r="M56" s="101">
        <f>M35</f>
        <v>2028</v>
      </c>
      <c r="N56" s="101">
        <f>N35</f>
        <v>2029</v>
      </c>
      <c r="O56" s="102">
        <f>O35</f>
        <v>2030</v>
      </c>
      <c r="R56" s="84"/>
      <c r="S56" s="101">
        <f>S35</f>
        <v>2026</v>
      </c>
      <c r="T56" s="101">
        <f>T35</f>
        <v>2027</v>
      </c>
      <c r="U56" s="101">
        <f>U35</f>
        <v>2028</v>
      </c>
      <c r="V56" s="101">
        <f>V35</f>
        <v>2029</v>
      </c>
      <c r="W56" s="102">
        <f>W35</f>
        <v>2030</v>
      </c>
      <c r="Z56" s="84"/>
      <c r="AA56" s="101">
        <f>AA35</f>
        <v>2026</v>
      </c>
      <c r="AB56" s="101">
        <f>AB35</f>
        <v>2027</v>
      </c>
      <c r="AC56" s="101">
        <f>AC35</f>
        <v>2028</v>
      </c>
      <c r="AD56" s="101">
        <f>AD35</f>
        <v>2029</v>
      </c>
      <c r="AE56" s="102">
        <f>AE35</f>
        <v>2030</v>
      </c>
      <c r="AH56" s="84"/>
      <c r="AI56" s="101">
        <f>AI35</f>
        <v>2026</v>
      </c>
      <c r="AJ56" s="101">
        <f>AJ35</f>
        <v>2027</v>
      </c>
      <c r="AK56" s="101">
        <f>AK35</f>
        <v>2028</v>
      </c>
      <c r="AL56" s="101">
        <f>AL35</f>
        <v>2029</v>
      </c>
      <c r="AM56" s="102">
        <f>AM35</f>
        <v>2030</v>
      </c>
      <c r="AP56" s="84"/>
      <c r="AQ56" s="101">
        <f>AQ35</f>
        <v>2026</v>
      </c>
      <c r="AR56" s="101">
        <f>AR35</f>
        <v>2027</v>
      </c>
      <c r="AS56" s="101">
        <f>AS35</f>
        <v>2028</v>
      </c>
      <c r="AT56" s="101">
        <f>AT35</f>
        <v>2029</v>
      </c>
      <c r="AU56" s="102">
        <f>AU35</f>
        <v>2030</v>
      </c>
      <c r="AX56" s="84"/>
      <c r="AY56" s="101">
        <f>AY35</f>
        <v>2026</v>
      </c>
      <c r="AZ56" s="101">
        <f>AZ35</f>
        <v>2027</v>
      </c>
      <c r="BA56" s="101">
        <f>BA35</f>
        <v>2028</v>
      </c>
      <c r="BB56" s="101">
        <f>BB35</f>
        <v>2029</v>
      </c>
      <c r="BC56" s="102">
        <f>BC35</f>
        <v>2030</v>
      </c>
      <c r="BF56" s="84"/>
      <c r="BG56" s="101">
        <f>BG35</f>
        <v>2026</v>
      </c>
      <c r="BH56" s="101">
        <f>BH35</f>
        <v>2027</v>
      </c>
      <c r="BI56" s="101">
        <f>BI35</f>
        <v>2028</v>
      </c>
      <c r="BJ56" s="101">
        <f>BJ35</f>
        <v>2029</v>
      </c>
      <c r="BK56" s="102">
        <f>BK35</f>
        <v>2030</v>
      </c>
      <c r="BN56" s="84"/>
      <c r="BO56" s="101">
        <f>BO35</f>
        <v>2026</v>
      </c>
      <c r="BP56" s="101">
        <f>BP35</f>
        <v>2027</v>
      </c>
      <c r="BQ56" s="101">
        <f>BQ35</f>
        <v>2028</v>
      </c>
      <c r="BR56" s="101">
        <f>BR35</f>
        <v>2029</v>
      </c>
      <c r="BS56" s="102">
        <f>BS35</f>
        <v>2030</v>
      </c>
      <c r="BV56" s="84"/>
      <c r="BW56" s="101">
        <f>BW35</f>
        <v>2026</v>
      </c>
      <c r="BX56" s="101">
        <f>BX35</f>
        <v>2027</v>
      </c>
      <c r="BY56" s="101">
        <f>BY35</f>
        <v>2028</v>
      </c>
      <c r="BZ56" s="101">
        <f>BZ35</f>
        <v>2029</v>
      </c>
      <c r="CA56" s="102">
        <f>CA35</f>
        <v>2030</v>
      </c>
      <c r="CD56" s="84"/>
      <c r="CE56" s="101">
        <f>CE35</f>
        <v>2026</v>
      </c>
      <c r="CF56" s="101">
        <f>CF35</f>
        <v>2027</v>
      </c>
      <c r="CG56" s="101">
        <f>CG35</f>
        <v>2028</v>
      </c>
      <c r="CH56" s="101">
        <f>CH35</f>
        <v>2029</v>
      </c>
      <c r="CI56" s="102">
        <f>CI35</f>
        <v>2030</v>
      </c>
      <c r="CL56" s="84"/>
      <c r="CM56" s="101">
        <f>CM35</f>
        <v>2026</v>
      </c>
      <c r="CN56" s="101">
        <f>CN35</f>
        <v>2027</v>
      </c>
      <c r="CO56" s="101">
        <f>CO35</f>
        <v>2028</v>
      </c>
      <c r="CP56" s="101">
        <f>CP35</f>
        <v>2029</v>
      </c>
      <c r="CQ56" s="102">
        <f>CQ35</f>
        <v>2030</v>
      </c>
      <c r="CT56" s="84"/>
      <c r="CU56" s="101">
        <f>CU35</f>
        <v>2026</v>
      </c>
      <c r="CV56" s="101">
        <f>CV35</f>
        <v>2027</v>
      </c>
      <c r="CW56" s="101">
        <f>CW35</f>
        <v>2028</v>
      </c>
      <c r="CX56" s="101">
        <f>CX35</f>
        <v>2029</v>
      </c>
      <c r="CY56" s="102">
        <f>CY35</f>
        <v>2030</v>
      </c>
      <c r="DB56" s="84"/>
      <c r="DC56" s="101">
        <f>DC35</f>
        <v>2026</v>
      </c>
      <c r="DD56" s="101">
        <f>DD35</f>
        <v>2027</v>
      </c>
      <c r="DE56" s="101">
        <f>DE35</f>
        <v>2028</v>
      </c>
      <c r="DF56" s="101">
        <f>DF35</f>
        <v>2029</v>
      </c>
      <c r="DG56" s="102">
        <f>DG35</f>
        <v>2030</v>
      </c>
    </row>
    <row r="57" spans="2:113" s="83" customFormat="1" ht="15" thickBot="1">
      <c r="B57" s="386"/>
      <c r="C57" s="388">
        <f ca="1">(C15*ci_int1)+(C15*ct_int1*'Time on treatment'!$D$12)</f>
        <v>0</v>
      </c>
      <c r="D57" s="388">
        <f ca="1">((D15-C15)*ci_int1)+(D15*ct_int1*'Time on treatment'!$D$12)</f>
        <v>0</v>
      </c>
      <c r="E57" s="388">
        <f ca="1">((E15-(D15-C15)-C15)*ci_int1)+(E15*ct_int1*'Time on treatment'!$D$12)</f>
        <v>0</v>
      </c>
      <c r="F57" s="388">
        <f ca="1">((F15-(E15-D15)-(D15-C15)-C15)*ci_int1)+(F15*ct_int1*'Time on treatment'!$D$12)</f>
        <v>0</v>
      </c>
      <c r="G57" s="389">
        <f ca="1">((G15-(F15-E15)-(E15-D15)-(D15-C15)-C15)*ci_int1)+(G15*ct_int1*'Time on treatment'!$D$12)</f>
        <v>0</v>
      </c>
      <c r="H57" s="77"/>
      <c r="I57" s="77"/>
      <c r="J57" s="386"/>
      <c r="K57" s="388">
        <f ca="1">(K15*ci_int2)+(K15*ct_int2*'Time on treatment'!$D$12)</f>
        <v>0</v>
      </c>
      <c r="L57" s="388">
        <f ca="1">((L15-K15)*ci_int2)+(L15*ct_int2*'Time on treatment'!$D$12)</f>
        <v>0</v>
      </c>
      <c r="M57" s="388">
        <f ca="1">((M15-(L15-K15)-K15)*ci_int2)+(M15*ct_int2*'Time on treatment'!$D$12)</f>
        <v>0</v>
      </c>
      <c r="N57" s="388">
        <f ca="1">((N15-(M15-L15)-(L15-K15)-K15)*ci_int2)+(N15*ct_int2*'Time on treatment'!$D$12)</f>
        <v>0</v>
      </c>
      <c r="O57" s="389">
        <f ca="1">((O15-(N15-M15)-(M15-L15)-(L15-K15)-K15)*ci_int2)+(O15*ct_int2*'Time on treatment'!$D$12)</f>
        <v>0</v>
      </c>
      <c r="P57" s="77"/>
      <c r="Q57" s="77"/>
      <c r="R57" s="386"/>
      <c r="S57" s="388">
        <f ca="1">(S15*ci_int3)+(S15*ct_int3*'Time on treatment'!$D$12)</f>
        <v>0</v>
      </c>
      <c r="T57" s="388">
        <f ca="1">((T15-S15)*ci_int3)+(T15*ct_int3*'Time on treatment'!$D$12)</f>
        <v>0</v>
      </c>
      <c r="U57" s="388">
        <f ca="1">((U15-(T15-S15)-S15)*ci_int3)+(U15*ct_int3*'Time on treatment'!$D$12)</f>
        <v>0</v>
      </c>
      <c r="V57" s="388">
        <f ca="1">((V15-(U15-T15)-(T15-S15)-S15)*ci_int3)+(V15*ct_int3*'Time on treatment'!$D$12)</f>
        <v>0</v>
      </c>
      <c r="W57" s="389">
        <f ca="1">((W15-(V15-U15)-(U15-T15)-(T15-S15)-S15)*ci_int3)+(W15*ct_int3*'Time on treatment'!$D$12)</f>
        <v>0</v>
      </c>
      <c r="X57" s="77"/>
      <c r="Y57" s="77"/>
      <c r="Z57" s="386"/>
      <c r="AA57" s="388">
        <f ca="1">(AA15*ci_int4)+(AA15*ct_int4*'Time on treatment'!$D$12)</f>
        <v>0</v>
      </c>
      <c r="AB57" s="388">
        <f ca="1">((AB15-AA15)*ci_int4)+(AB15*ct_int4*'Time on treatment'!$D$12)</f>
        <v>0</v>
      </c>
      <c r="AC57" s="388">
        <f ca="1">((AC15-(AB15-AA15)-AA15)*ci_int4)+(AC15*ct_int4*'Time on treatment'!$D$12)</f>
        <v>0</v>
      </c>
      <c r="AD57" s="388">
        <f ca="1">((AD15-(AC15-AB15)-(AB15-AA15)-AA15)*ci_int4)+(AD15*ct_int4*'Time on treatment'!$D$12)</f>
        <v>0</v>
      </c>
      <c r="AE57" s="389">
        <f ca="1">((AE15-(AD15-AC15)-(AC15-AB15)-(AB15-AA15)-AA15)*ci_int4)+(AE15*ct_int4*'Time on treatment'!$D$12)</f>
        <v>0</v>
      </c>
      <c r="AF57" s="77"/>
      <c r="AG57" s="77"/>
      <c r="AH57" s="386"/>
      <c r="AI57" s="388">
        <f ca="1">(AI15*ci_comp1)+(AI15*ct_comp1*'Time on treatment'!$D$12)</f>
        <v>457288.39377384161</v>
      </c>
      <c r="AJ57" s="388">
        <f ca="1">((AJ15-AI15)*ci_comp1)+(AJ15*ct_comp1*'Time on treatment'!$D$12)</f>
        <v>455640.47193791548</v>
      </c>
      <c r="AK57" s="388">
        <f ca="1">((AK15-(AJ15-AI15)-AI15)*ci_comp1)+(AK15*ct_comp1*'Time on treatment'!$D$12)</f>
        <v>453858.32526423008</v>
      </c>
      <c r="AL57" s="388">
        <f ca="1">((AL15-(AK15-AJ15)-(AJ15-AI15)-AI15)*ci_comp1)+(AL15*ct_comp1*'Time on treatment'!$D$12)</f>
        <v>451720.25883255369</v>
      </c>
      <c r="AM57" s="389">
        <f ca="1">((AM15-(AL15-AK15)-(AK15-AJ15)-(AJ15-AI15)-AI15)*ci_comp1)+(AM15*ct_comp1*'Time on treatment'!$D$12)</f>
        <v>449029.87508675538</v>
      </c>
      <c r="AN57" s="77"/>
      <c r="AO57" s="77"/>
      <c r="AP57" s="386"/>
      <c r="AQ57" s="388">
        <f ca="1">(AQ15*ci_comp2)+(AQ15*ct_comp2*'Time on treatment'!$D$12)</f>
        <v>0</v>
      </c>
      <c r="AR57" s="388">
        <f ca="1">((AR15-AQ15)*ci_comp2)+(AR15*ct_comp2*'Time on treatment'!$D$12)</f>
        <v>0</v>
      </c>
      <c r="AS57" s="388">
        <f ca="1">((AS15-(AR15-AQ15)-AQ15)*ci_comp2)+(AS15*ct_comp2*'Time on treatment'!$D$12)</f>
        <v>0</v>
      </c>
      <c r="AT57" s="388">
        <f ca="1">((AT15-(AS15-AR15)-(AR15-AQ15)-AQ15)*ci_comp2)+(AT15*ct_comp2*'Time on treatment'!$D$12)</f>
        <v>0</v>
      </c>
      <c r="AU57" s="389">
        <f ca="1">((AU15-(AT15-AS15)-(AS15-AR15)-(AR15-AQ15)-AQ15)*ci_comp2)+(AU15*ct_comp2*'Time on treatment'!$D$12)</f>
        <v>0</v>
      </c>
      <c r="AV57" s="77"/>
      <c r="AW57" s="77"/>
      <c r="AX57" s="386"/>
      <c r="AY57" s="388">
        <f ca="1">(AY15*ci_comp3)+(AY15*ct_comp3*'Time on treatment'!$D$12)</f>
        <v>0</v>
      </c>
      <c r="AZ57" s="388">
        <f ca="1">((AZ15-AY15)*ci_comp3)+(AZ15*ct_comp3*'Time on treatment'!$D$12)</f>
        <v>0</v>
      </c>
      <c r="BA57" s="388">
        <f ca="1">((BA15-(AZ15-AY15)-AY15)*ci_comp3)+(BA15*ct_comp3*'Time on treatment'!$D$12)</f>
        <v>0</v>
      </c>
      <c r="BB57" s="388">
        <f ca="1">((BB15-(BA15-AZ15)-(AZ15-AY15)-AY15)*ci_comp3)+(BB15*ct_comp3*'Time on treatment'!$D$12)</f>
        <v>0</v>
      </c>
      <c r="BC57" s="389">
        <f ca="1">((BC15-(BB15-BA15)-(BA15-AZ15)-(AZ15-AY15)-AY15)*ci_comp3)+(BC15*ct_comp3*'Time on treatment'!$D$12)</f>
        <v>0</v>
      </c>
      <c r="BD57" s="77"/>
      <c r="BE57" s="77"/>
      <c r="BF57" s="386"/>
      <c r="BG57" s="388">
        <f ca="1">(BG15*ci_comp4)+(BG15*ct_comp4*'Time on treatment'!$D$12)</f>
        <v>0</v>
      </c>
      <c r="BH57" s="388">
        <f ca="1">((BH15-BG15)*ci_comp4)+(BH15*ct_comp4*'Time on treatment'!$D$12)</f>
        <v>0</v>
      </c>
      <c r="BI57" s="388">
        <f ca="1">((BI15-(BH15-BG15)-BG15)*ci_comp4)+(BI15*ct_comp4*'Time on treatment'!$D$12)</f>
        <v>0</v>
      </c>
      <c r="BJ57" s="388">
        <f ca="1">((BJ15-(BI15-BH15)-(BH15-BG15)-BG15)*ci_comp4)+(BJ15*ct_comp4*'Time on treatment'!$D$12)</f>
        <v>0</v>
      </c>
      <c r="BK57" s="389">
        <f ca="1">((BK15-(BJ15-BI15)-(BI15-BH15)-(BH15-BG15)-BG15)*ci_comp4)+(BK15*ct_comp4*'Time on treatment'!$D$12)</f>
        <v>0</v>
      </c>
      <c r="BL57" s="77"/>
      <c r="BM57" s="77"/>
      <c r="BN57" s="386"/>
      <c r="BO57" s="388">
        <f ca="1">(BO15*ci_comp5)+(BO15*ct_comp5*'Time on treatment'!$D$12)</f>
        <v>0</v>
      </c>
      <c r="BP57" s="388">
        <f ca="1">((BP15-BO15)*ci_comp5)+(BP15*ct_comp5*'Time on treatment'!$D$12)</f>
        <v>0</v>
      </c>
      <c r="BQ57" s="388">
        <f ca="1">((BQ15-(BP15-BO15)-BO15)*ci_comp5)+(BQ15*ct_comp5*'Time on treatment'!$D$12)</f>
        <v>0</v>
      </c>
      <c r="BR57" s="388">
        <f ca="1">((BR15-(BQ15-BP15)-(BP15-BO15)-BO15)*ci_comp5)+(BR15*ct_comp5*'Time on treatment'!$D$12)</f>
        <v>0</v>
      </c>
      <c r="BS57" s="389">
        <f ca="1">((BS15-(BR15-BQ15)-(BQ15-BP15)-(BP15-BO15)-BO15)*ci_comp5)+(BS15*ct_comp5*'Time on treatment'!$D$12)</f>
        <v>0</v>
      </c>
      <c r="BT57" s="77"/>
      <c r="BU57" s="77"/>
      <c r="BV57" s="386"/>
      <c r="BW57" s="388">
        <f ca="1">(BW15*ci_comp6)+(BW15*ct_comp6*'Time on treatment'!$D$12)</f>
        <v>0</v>
      </c>
      <c r="BX57" s="388">
        <f ca="1">((BX15-BW15)*ci_comp6)+(BX15*ct_comp6*'Time on treatment'!$D$12)</f>
        <v>0</v>
      </c>
      <c r="BY57" s="388">
        <f ca="1">((BY15-(BX15-BW15)-BW15)*ci_comp6)+(BY15*ct_comp6*'Time on treatment'!$D$12)</f>
        <v>0</v>
      </c>
      <c r="BZ57" s="388">
        <f ca="1">((BZ15-(BY15-BX15)-(BX15-BW15)-BW15)*ci_comp6)+(BZ15*ct_comp6*'Time on treatment'!$D$12)</f>
        <v>0</v>
      </c>
      <c r="CA57" s="389">
        <f ca="1">((CA15-(BZ15-BY15)-(BY15-BX15)-(BX15-BW15)-BW15)*ci_comp6)+(CA15*ct_comp6*'Time on treatment'!$D$12)</f>
        <v>0</v>
      </c>
      <c r="CB57" s="77"/>
      <c r="CC57" s="77"/>
      <c r="CD57" s="386"/>
      <c r="CE57" s="388">
        <f ca="1">(CE15*ci_comp7)+(CE15*ct_comp7*'Time on treatment'!$D$12)</f>
        <v>0</v>
      </c>
      <c r="CF57" s="388">
        <f ca="1">((CF15-CE15)*ci_comp7)+(CF15*ct_comp7*'Time on treatment'!$D$12)</f>
        <v>0</v>
      </c>
      <c r="CG57" s="388">
        <f ca="1">((CG15-(CF15-CE15)-CE15)*ci_comp7)+(CG15*ct_comp7*'Time on treatment'!$D$12)</f>
        <v>0</v>
      </c>
      <c r="CH57" s="388">
        <f ca="1">((CH15-(CG15-CF15)-(CF15-CE15)-CE15)*ci_comp7)+(CH15*ct_comp7*'Time on treatment'!$D$12)</f>
        <v>0</v>
      </c>
      <c r="CI57" s="389">
        <f ca="1">((CI15-(CH15-CG15)-(CG15-CF15)-(CF15-CE15)-CE15)*ci_comp7)+(CI15*ct_comp7*'Time on treatment'!$D$12)</f>
        <v>0</v>
      </c>
      <c r="CJ57" s="77"/>
      <c r="CK57" s="77"/>
      <c r="CL57" s="386"/>
      <c r="CM57" s="388">
        <f ca="1">(CM15*ci_comp8)+(CM15*ct_comp8*'Time on treatment'!$D$12)</f>
        <v>0</v>
      </c>
      <c r="CN57" s="388">
        <f ca="1">((CN15-CM15)*ci_comp8)+(CN15*ct_comp8*'Time on treatment'!$D$12)</f>
        <v>0</v>
      </c>
      <c r="CO57" s="388">
        <f ca="1">((CO15-(CN15-CM15)-CM15)*ci_comp8)+(CO15*ct_comp8*'Time on treatment'!$D$12)</f>
        <v>0</v>
      </c>
      <c r="CP57" s="388">
        <f ca="1">((CP15-(CO15-CN15)-(CN15-CM15)-CM15)*ci_comp8)+(CP15*ct_comp8*'Time on treatment'!$D$12)</f>
        <v>0</v>
      </c>
      <c r="CQ57" s="389">
        <f ca="1">((CQ15-(CP15-CO15)-(CO15-CN15)-(CN15-CM15)-CM15)*ci_comp8)+(CQ15*ct_comp8*'Time on treatment'!$D$12)</f>
        <v>0</v>
      </c>
      <c r="CR57" s="77"/>
      <c r="CS57" s="77"/>
      <c r="CT57" s="386"/>
      <c r="CU57" s="388">
        <f ca="1">(CU15*ci_comp9)+(CU15*ct_comp9*'Time on treatment'!$D$12)</f>
        <v>0</v>
      </c>
      <c r="CV57" s="388">
        <f ca="1">((CV15-CU15)*ci_comp9)+(CV15*ct_comp9*'Time on treatment'!$D$12)</f>
        <v>0</v>
      </c>
      <c r="CW57" s="388">
        <f ca="1">((CW15-(CV15-CU15)-CU15)*ci_comp9)+(CW15*ct_comp9*'Time on treatment'!$D$12)</f>
        <v>0</v>
      </c>
      <c r="CX57" s="388">
        <f ca="1">((CX15-(CW15-CV15)-(CV15-CU15)-CU15)*ci_comp9)+(CX15*ct_comp9*'Time on treatment'!$D$12)</f>
        <v>0</v>
      </c>
      <c r="CY57" s="389">
        <f ca="1">((CY15-(CX15-CW15)-(CW15-CV15)-(CV15-CU15)-CU15)*ci_comp9)+(CY15*ct_comp9*'Time on treatment'!$D$12)</f>
        <v>0</v>
      </c>
      <c r="CZ57" s="77"/>
      <c r="DA57" s="77"/>
      <c r="DB57" s="386"/>
      <c r="DC57" s="388">
        <f ca="1">(DC15*ci_comp10)+(DC15*ct_comp10*'Time on treatment'!$D$12)</f>
        <v>0</v>
      </c>
      <c r="DD57" s="388">
        <f ca="1">((DD15-DC15)*ci_comp10)+(DD15*ct_comp10*'Time on treatment'!$D$12)</f>
        <v>0</v>
      </c>
      <c r="DE57" s="388">
        <f ca="1">((DE15-(DD15-DC15)-DC15)*ci_comp10)+(DE15*ct_comp10*'Time on treatment'!$D$12)</f>
        <v>0</v>
      </c>
      <c r="DF57" s="388">
        <f ca="1">((DF15-(DE15-DD15)-(DD15-DC15)-DC15)*ci_comp10)+(DF15*ct_comp10*'Time on treatment'!$D$12)</f>
        <v>0</v>
      </c>
      <c r="DG57" s="389">
        <f ca="1">((DG15-(DF15-DE15)-(DE15-DD15)-(DD15-DC15)-DC15)*ci_comp10)+(DG15*ct_comp10*'Time on treatment'!$D$12)</f>
        <v>0</v>
      </c>
      <c r="DH57" s="77"/>
      <c r="DI57" s="77"/>
    </row>
    <row r="58" spans="2:113" ht="15" thickBot="1">
      <c r="B58" s="83"/>
      <c r="C58" s="86"/>
      <c r="D58" s="86"/>
      <c r="E58" s="86"/>
      <c r="F58" s="86"/>
      <c r="G58" s="86"/>
      <c r="J58" s="83"/>
      <c r="K58" s="86"/>
      <c r="L58" s="86"/>
      <c r="M58" s="86"/>
      <c r="N58" s="86"/>
      <c r="O58" s="86"/>
      <c r="R58" s="83"/>
      <c r="S58" s="86"/>
      <c r="T58" s="86"/>
      <c r="U58" s="86"/>
      <c r="V58" s="86"/>
      <c r="W58" s="86"/>
      <c r="Z58" s="83"/>
      <c r="AA58" s="86"/>
      <c r="AB58" s="86"/>
      <c r="AC58" s="86"/>
      <c r="AD58" s="86"/>
      <c r="AE58" s="86"/>
      <c r="AH58" s="83"/>
      <c r="AI58" s="86"/>
      <c r="AJ58" s="86"/>
      <c r="AK58" s="86"/>
      <c r="AL58" s="86"/>
      <c r="AM58" s="86"/>
      <c r="AP58" s="83"/>
      <c r="AQ58" s="86"/>
      <c r="AR58" s="86"/>
      <c r="AS58" s="86"/>
      <c r="AT58" s="86"/>
      <c r="AU58" s="86"/>
      <c r="AX58" s="83"/>
      <c r="AY58" s="86"/>
      <c r="AZ58" s="86"/>
      <c r="BA58" s="86"/>
      <c r="BB58" s="86"/>
      <c r="BC58" s="86"/>
      <c r="BF58" s="83"/>
      <c r="BG58" s="86"/>
      <c r="BH58" s="86"/>
      <c r="BI58" s="86"/>
      <c r="BJ58" s="86"/>
      <c r="BK58" s="86"/>
      <c r="BN58" s="83"/>
      <c r="BO58" s="86"/>
      <c r="BP58" s="86"/>
      <c r="BQ58" s="86"/>
      <c r="BR58" s="86"/>
      <c r="BS58" s="86"/>
      <c r="BV58" s="83"/>
      <c r="BW58" s="86"/>
      <c r="BX58" s="86"/>
      <c r="BY58" s="86"/>
      <c r="BZ58" s="86"/>
      <c r="CA58" s="86"/>
      <c r="CD58" s="83"/>
      <c r="CE58" s="86"/>
      <c r="CF58" s="86"/>
      <c r="CG58" s="86"/>
      <c r="CH58" s="86"/>
      <c r="CI58" s="86"/>
      <c r="CL58" s="83"/>
      <c r="CM58" s="86"/>
      <c r="CN58" s="86"/>
      <c r="CO58" s="86"/>
      <c r="CP58" s="86"/>
      <c r="CQ58" s="86"/>
      <c r="CT58" s="83"/>
      <c r="CU58" s="86"/>
      <c r="CV58" s="86"/>
      <c r="CW58" s="86"/>
      <c r="CX58" s="86"/>
      <c r="CY58" s="86"/>
      <c r="DB58" s="83"/>
      <c r="DC58" s="86"/>
      <c r="DD58" s="86"/>
      <c r="DE58" s="86"/>
      <c r="DF58" s="86"/>
      <c r="DG58" s="86"/>
    </row>
    <row r="59" spans="2:113" ht="15" thickBot="1">
      <c r="B59" s="507" t="str">
        <f>B38</f>
        <v>With IUD-LNG 5-25%</v>
      </c>
      <c r="C59" s="505"/>
      <c r="D59" s="505"/>
      <c r="E59" s="505"/>
      <c r="F59" s="505"/>
      <c r="G59" s="506"/>
      <c r="J59" s="507" t="str">
        <f>J38</f>
        <v>With IUD-LNG 5-25%</v>
      </c>
      <c r="K59" s="505"/>
      <c r="L59" s="505"/>
      <c r="M59" s="505"/>
      <c r="N59" s="505"/>
      <c r="O59" s="506"/>
      <c r="R59" s="507" t="str">
        <f>R38</f>
        <v>With IUD-LNG 5-25%</v>
      </c>
      <c r="S59" s="505"/>
      <c r="T59" s="505"/>
      <c r="U59" s="505"/>
      <c r="V59" s="505"/>
      <c r="W59" s="506"/>
      <c r="Z59" s="507" t="str">
        <f>Z38</f>
        <v>With IUD-LNG 5-25%</v>
      </c>
      <c r="AA59" s="505"/>
      <c r="AB59" s="505"/>
      <c r="AC59" s="505"/>
      <c r="AD59" s="505"/>
      <c r="AE59" s="506"/>
      <c r="AH59" s="507" t="str">
        <f>AH38</f>
        <v>With IUD-LNG 5-25%</v>
      </c>
      <c r="AI59" s="505"/>
      <c r="AJ59" s="505"/>
      <c r="AK59" s="505"/>
      <c r="AL59" s="505"/>
      <c r="AM59" s="506"/>
      <c r="AP59" s="507" t="str">
        <f>AP38</f>
        <v>With IUD-LNG 5-25%</v>
      </c>
      <c r="AQ59" s="505"/>
      <c r="AR59" s="505"/>
      <c r="AS59" s="505"/>
      <c r="AT59" s="505"/>
      <c r="AU59" s="506"/>
      <c r="AX59" s="507" t="str">
        <f>AX38</f>
        <v>With IUD-LNG 5-25%</v>
      </c>
      <c r="AY59" s="505"/>
      <c r="AZ59" s="505"/>
      <c r="BA59" s="505"/>
      <c r="BB59" s="505"/>
      <c r="BC59" s="506"/>
      <c r="BF59" s="507" t="str">
        <f>BF38</f>
        <v>With IUD-LNG 5-25%</v>
      </c>
      <c r="BG59" s="505"/>
      <c r="BH59" s="505"/>
      <c r="BI59" s="505"/>
      <c r="BJ59" s="505"/>
      <c r="BK59" s="506"/>
      <c r="BN59" s="507" t="str">
        <f>BN38</f>
        <v>With IUD-LNG 5-25%</v>
      </c>
      <c r="BO59" s="505"/>
      <c r="BP59" s="505"/>
      <c r="BQ59" s="505"/>
      <c r="BR59" s="505"/>
      <c r="BS59" s="506"/>
      <c r="BV59" s="507" t="str">
        <f>BV38</f>
        <v>With IUD-LNG 5-25%</v>
      </c>
      <c r="BW59" s="505"/>
      <c r="BX59" s="505"/>
      <c r="BY59" s="505"/>
      <c r="BZ59" s="505"/>
      <c r="CA59" s="506"/>
      <c r="CD59" s="507" t="str">
        <f>CD38</f>
        <v>With IUD-LNG 5-25%</v>
      </c>
      <c r="CE59" s="505"/>
      <c r="CF59" s="505"/>
      <c r="CG59" s="505"/>
      <c r="CH59" s="505"/>
      <c r="CI59" s="506"/>
      <c r="CL59" s="507" t="str">
        <f>CL38</f>
        <v>With IUD-LNG 5-25%</v>
      </c>
      <c r="CM59" s="505"/>
      <c r="CN59" s="505"/>
      <c r="CO59" s="505"/>
      <c r="CP59" s="505"/>
      <c r="CQ59" s="506"/>
      <c r="CT59" s="507" t="str">
        <f>CT38</f>
        <v>With IUD-LNG 5-25%</v>
      </c>
      <c r="CU59" s="505"/>
      <c r="CV59" s="505"/>
      <c r="CW59" s="505"/>
      <c r="CX59" s="505"/>
      <c r="CY59" s="506"/>
      <c r="DB59" s="507" t="str">
        <f>DB38</f>
        <v>With IUD-LNG 5-25%</v>
      </c>
      <c r="DC59" s="505"/>
      <c r="DD59" s="505"/>
      <c r="DE59" s="505"/>
      <c r="DF59" s="505"/>
      <c r="DG59" s="506"/>
    </row>
    <row r="60" spans="2:113">
      <c r="B60" s="84"/>
      <c r="C60" s="101">
        <f>C39</f>
        <v>2026</v>
      </c>
      <c r="D60" s="101">
        <f>D39</f>
        <v>2027</v>
      </c>
      <c r="E60" s="101">
        <f>E39</f>
        <v>2028</v>
      </c>
      <c r="F60" s="101">
        <f>F39</f>
        <v>2029</v>
      </c>
      <c r="G60" s="102">
        <f>G39</f>
        <v>2030</v>
      </c>
      <c r="J60" s="84"/>
      <c r="K60" s="101">
        <f>K39</f>
        <v>2026</v>
      </c>
      <c r="L60" s="101">
        <f>L39</f>
        <v>2027</v>
      </c>
      <c r="M60" s="101">
        <f>M39</f>
        <v>2028</v>
      </c>
      <c r="N60" s="101">
        <f>N39</f>
        <v>2029</v>
      </c>
      <c r="O60" s="102">
        <f>O39</f>
        <v>2030</v>
      </c>
      <c r="R60" s="84"/>
      <c r="S60" s="101">
        <f>S39</f>
        <v>2026</v>
      </c>
      <c r="T60" s="101">
        <f>T39</f>
        <v>2027</v>
      </c>
      <c r="U60" s="101">
        <f>U39</f>
        <v>2028</v>
      </c>
      <c r="V60" s="101">
        <f>V39</f>
        <v>2029</v>
      </c>
      <c r="W60" s="102">
        <f>W39</f>
        <v>2030</v>
      </c>
      <c r="Z60" s="84"/>
      <c r="AA60" s="101">
        <f>AA39</f>
        <v>2026</v>
      </c>
      <c r="AB60" s="101">
        <f>AB39</f>
        <v>2027</v>
      </c>
      <c r="AC60" s="101">
        <f>AC39</f>
        <v>2028</v>
      </c>
      <c r="AD60" s="101">
        <f>AD39</f>
        <v>2029</v>
      </c>
      <c r="AE60" s="102">
        <f>AE39</f>
        <v>2030</v>
      </c>
      <c r="AH60" s="84"/>
      <c r="AI60" s="101">
        <f>AI39</f>
        <v>2026</v>
      </c>
      <c r="AJ60" s="101">
        <f>AJ39</f>
        <v>2027</v>
      </c>
      <c r="AK60" s="101">
        <f>AK39</f>
        <v>2028</v>
      </c>
      <c r="AL60" s="101">
        <f>AL39</f>
        <v>2029</v>
      </c>
      <c r="AM60" s="102">
        <f>AM39</f>
        <v>2030</v>
      </c>
      <c r="AP60" s="84"/>
      <c r="AQ60" s="101">
        <f>AQ39</f>
        <v>2026</v>
      </c>
      <c r="AR60" s="101">
        <f>AR39</f>
        <v>2027</v>
      </c>
      <c r="AS60" s="101">
        <f>AS39</f>
        <v>2028</v>
      </c>
      <c r="AT60" s="101">
        <f>AT39</f>
        <v>2029</v>
      </c>
      <c r="AU60" s="102">
        <f>AU39</f>
        <v>2030</v>
      </c>
      <c r="AX60" s="84"/>
      <c r="AY60" s="101">
        <f>AY39</f>
        <v>2026</v>
      </c>
      <c r="AZ60" s="101">
        <f>AZ39</f>
        <v>2027</v>
      </c>
      <c r="BA60" s="101">
        <f>BA39</f>
        <v>2028</v>
      </c>
      <c r="BB60" s="101">
        <f>BB39</f>
        <v>2029</v>
      </c>
      <c r="BC60" s="102">
        <f>BC39</f>
        <v>2030</v>
      </c>
      <c r="BF60" s="84"/>
      <c r="BG60" s="101">
        <f>BG39</f>
        <v>2026</v>
      </c>
      <c r="BH60" s="101">
        <f>BH39</f>
        <v>2027</v>
      </c>
      <c r="BI60" s="101">
        <f>BI39</f>
        <v>2028</v>
      </c>
      <c r="BJ60" s="101">
        <f>BJ39</f>
        <v>2029</v>
      </c>
      <c r="BK60" s="102">
        <f>BK39</f>
        <v>2030</v>
      </c>
      <c r="BN60" s="84"/>
      <c r="BO60" s="101">
        <f>BO39</f>
        <v>2026</v>
      </c>
      <c r="BP60" s="101">
        <f>BP39</f>
        <v>2027</v>
      </c>
      <c r="BQ60" s="101">
        <f>BQ39</f>
        <v>2028</v>
      </c>
      <c r="BR60" s="101">
        <f>BR39</f>
        <v>2029</v>
      </c>
      <c r="BS60" s="102">
        <f>BS39</f>
        <v>2030</v>
      </c>
      <c r="BV60" s="84"/>
      <c r="BW60" s="101">
        <f>BW39</f>
        <v>2026</v>
      </c>
      <c r="BX60" s="101">
        <f>BX39</f>
        <v>2027</v>
      </c>
      <c r="BY60" s="101">
        <f>BY39</f>
        <v>2028</v>
      </c>
      <c r="BZ60" s="101">
        <f>BZ39</f>
        <v>2029</v>
      </c>
      <c r="CA60" s="102">
        <f>CA39</f>
        <v>2030</v>
      </c>
      <c r="CD60" s="84"/>
      <c r="CE60" s="101">
        <f>CE39</f>
        <v>2026</v>
      </c>
      <c r="CF60" s="101">
        <f>CF39</f>
        <v>2027</v>
      </c>
      <c r="CG60" s="101">
        <f>CG39</f>
        <v>2028</v>
      </c>
      <c r="CH60" s="101">
        <f>CH39</f>
        <v>2029</v>
      </c>
      <c r="CI60" s="102">
        <f>CI39</f>
        <v>2030</v>
      </c>
      <c r="CL60" s="84"/>
      <c r="CM60" s="101">
        <f>CM39</f>
        <v>2026</v>
      </c>
      <c r="CN60" s="101">
        <f>CN39</f>
        <v>2027</v>
      </c>
      <c r="CO60" s="101">
        <f>CO39</f>
        <v>2028</v>
      </c>
      <c r="CP60" s="101">
        <f>CP39</f>
        <v>2029</v>
      </c>
      <c r="CQ60" s="102">
        <f>CQ39</f>
        <v>2030</v>
      </c>
      <c r="CT60" s="84"/>
      <c r="CU60" s="101">
        <f>CU39</f>
        <v>2026</v>
      </c>
      <c r="CV60" s="101">
        <f>CV39</f>
        <v>2027</v>
      </c>
      <c r="CW60" s="101">
        <f>CW39</f>
        <v>2028</v>
      </c>
      <c r="CX60" s="101">
        <f>CX39</f>
        <v>2029</v>
      </c>
      <c r="CY60" s="102">
        <f>CY39</f>
        <v>2030</v>
      </c>
      <c r="DB60" s="84"/>
      <c r="DC60" s="101">
        <f>DC39</f>
        <v>2026</v>
      </c>
      <c r="DD60" s="101">
        <f>DD39</f>
        <v>2027</v>
      </c>
      <c r="DE60" s="101">
        <f>DE39</f>
        <v>2028</v>
      </c>
      <c r="DF60" s="101">
        <f>DF39</f>
        <v>2029</v>
      </c>
      <c r="DG60" s="102">
        <f>DG39</f>
        <v>2030</v>
      </c>
    </row>
    <row r="61" spans="2:113" s="83" customFormat="1" ht="15" thickBot="1">
      <c r="B61" s="386"/>
      <c r="C61" s="388">
        <f ca="1">(C19*ci_int1)+(C19*ct_int1*'Time on treatment'!$D$12)</f>
        <v>13269140.432940962</v>
      </c>
      <c r="D61" s="388">
        <f ca="1">((D19-C19)*ci_int1)+(D19*ct_int1*'Time on treatment'!$D$12)</f>
        <v>13173504.914694119</v>
      </c>
      <c r="E61" s="388">
        <f ca="1">((E19-(D19-C19)-C19)*ci_int1)+(E19*ct_int1*'Time on treatment'!$D$12)</f>
        <v>13066184.987356208</v>
      </c>
      <c r="F61" s="388">
        <f ca="1">((F19-(E19-D19)-(D19-C19)-C19)*ci_int1)+(F19*ct_int1*'Time on treatment'!$D$12)</f>
        <v>12921448.958893271</v>
      </c>
      <c r="G61" s="389">
        <f ca="1">((G19-(F19-E19)-(E19-D19)-(D19-C19)-C19)*ci_int1)+(G19*ct_int1*'Time on treatment'!$D$12)</f>
        <v>12717235.406202339</v>
      </c>
      <c r="H61" s="77"/>
      <c r="I61" s="77"/>
      <c r="J61" s="386"/>
      <c r="K61" s="388">
        <f ca="1">(K19*ci_int2)+(K19*ct_int2*'Time on treatment'!$D$12)</f>
        <v>0</v>
      </c>
      <c r="L61" s="388">
        <f ca="1">((L19-K19)*ci_int2)+(L19*ct_int2*'Time on treatment'!$D$12)</f>
        <v>0</v>
      </c>
      <c r="M61" s="388">
        <f ca="1">((M19-(L19-K19)-K19)*ci_int2)+(M19*ct_int2*'Time on treatment'!$D$12)</f>
        <v>0</v>
      </c>
      <c r="N61" s="388">
        <f ca="1">((N19-(M19-L19)-(L19-K19)-K19)*ci_int2)+(N19*ct_int2*'Time on treatment'!$D$12)</f>
        <v>0</v>
      </c>
      <c r="O61" s="389">
        <f ca="1">((O19-(N19-M19)-(M19-L19)-(L19-K19)-K19)*ci_int2)+(O19*ct_int2*'Time on treatment'!$D$12)</f>
        <v>0</v>
      </c>
      <c r="P61" s="77"/>
      <c r="Q61" s="77"/>
      <c r="R61" s="386"/>
      <c r="S61" s="388">
        <f ca="1">(S19*ci_int3)+(S19*ct_int3*'Time on treatment'!$D$12)</f>
        <v>0</v>
      </c>
      <c r="T61" s="388">
        <f ca="1">((T19-S19)*ci_int3)+(T19*ct_int3*'Time on treatment'!$D$12)</f>
        <v>0</v>
      </c>
      <c r="U61" s="388">
        <f ca="1">((U19-(T19-S19)-S19)*ci_int3)+(U19*ct_int3*'Time on treatment'!$D$12)</f>
        <v>0</v>
      </c>
      <c r="V61" s="388">
        <f ca="1">((V19-(U19-T19)-(T19-S19)-S19)*ci_int3)+(V19*ct_int3*'Time on treatment'!$D$12)</f>
        <v>0</v>
      </c>
      <c r="W61" s="389">
        <f ca="1">((W19-(V19-U19)-(U19-T19)-(T19-S19)-S19)*ci_int3)+(W19*ct_int3*'Time on treatment'!$D$12)</f>
        <v>0</v>
      </c>
      <c r="X61" s="77"/>
      <c r="Y61" s="77"/>
      <c r="Z61" s="386"/>
      <c r="AA61" s="388">
        <f ca="1">(AA19*ci_int4)+(AA19*ct_int4*'Time on treatment'!$D$12)</f>
        <v>0</v>
      </c>
      <c r="AB61" s="388">
        <f ca="1">((AB19-AA19)*ci_int4)+(AB19*ct_int4*'Time on treatment'!$D$12)</f>
        <v>0</v>
      </c>
      <c r="AC61" s="388">
        <f ca="1">((AC19-(AB19-AA19)-AA19)*ci_int4)+(AC19*ct_int4*'Time on treatment'!$D$12)</f>
        <v>0</v>
      </c>
      <c r="AD61" s="388">
        <f ca="1">((AD19-(AC19-AB19)-(AB19-AA19)-AA19)*ci_int4)+(AD19*ct_int4*'Time on treatment'!$D$12)</f>
        <v>0</v>
      </c>
      <c r="AE61" s="389">
        <f ca="1">((AE19-(AD19-AC19)-(AC19-AB19)-(AB19-AA19)-AA19)*ci_int4)+(AE19*ct_int4*'Time on treatment'!$D$12)</f>
        <v>0</v>
      </c>
      <c r="AF61" s="77"/>
      <c r="AG61" s="77"/>
      <c r="AH61" s="386"/>
      <c r="AI61" s="388">
        <f ca="1">(AI19*ci_comp1)+(AI19*ct_comp1*'Time on treatment'!$D$12)</f>
        <v>434423.97408514947</v>
      </c>
      <c r="AJ61" s="388">
        <f ca="1">((AJ19-AI19)*ci_comp1)+(AJ19*ct_comp1*'Time on treatment'!$D$12)</f>
        <v>410076.42474412388</v>
      </c>
      <c r="AK61" s="388">
        <f ca="1">((AK19-(AJ19-AI19)-AI19)*ci_comp1)+(AK19*ct_comp1*'Time on treatment'!$D$12)</f>
        <v>385779.57647459558</v>
      </c>
      <c r="AL61" s="388">
        <f ca="1">((AL19-(AK19-AJ19)-(AJ19-AI19)-AI19)*ci_comp1)+(AL19*ct_comp1*'Time on treatment'!$D$12)</f>
        <v>361376.20706604293</v>
      </c>
      <c r="AM61" s="389">
        <f ca="1">((AM19-(AL19-AK19)-(AK19-AJ19)-(AJ19-AI19)-AI19)*ci_comp1)+(AM19*ct_comp1*'Time on treatment'!$D$12)</f>
        <v>336772.4063150665</v>
      </c>
      <c r="AN61" s="77"/>
      <c r="AO61" s="77"/>
      <c r="AP61" s="386"/>
      <c r="AQ61" s="388">
        <f ca="1">(AQ19*ci_comp2)+(AQ19*ct_comp2*'Time on treatment'!$D$12)</f>
        <v>0</v>
      </c>
      <c r="AR61" s="388">
        <f ca="1">((AR19-AQ19)*ci_comp2)+(AR19*ct_comp2*'Time on treatment'!$D$12)</f>
        <v>0</v>
      </c>
      <c r="AS61" s="388">
        <f ca="1">((AS19-(AR19-AQ19)-AQ19)*ci_comp2)+(AS19*ct_comp2*'Time on treatment'!$D$12)</f>
        <v>0</v>
      </c>
      <c r="AT61" s="388">
        <f ca="1">((AT19-(AS19-AR19)-(AR19-AQ19)-AQ19)*ci_comp2)+(AT19*ct_comp2*'Time on treatment'!$D$12)</f>
        <v>0</v>
      </c>
      <c r="AU61" s="389">
        <f ca="1">((AU19-(AT19-AS19)-(AS19-AR19)-(AR19-AQ19)-AQ19)*ci_comp2)+(AU19*ct_comp2*'Time on treatment'!$D$12)</f>
        <v>0</v>
      </c>
      <c r="AV61" s="77"/>
      <c r="AW61" s="77"/>
      <c r="AX61" s="386"/>
      <c r="AY61" s="388">
        <f ca="1">(AY19*ci_comp3)+(AY19*ct_comp3*'Time on treatment'!$D$12)</f>
        <v>0</v>
      </c>
      <c r="AZ61" s="388">
        <f ca="1">((AZ19-AY19)*ci_comp3)+(AZ19*ct_comp3*'Time on treatment'!$D$12)</f>
        <v>0</v>
      </c>
      <c r="BA61" s="388">
        <f ca="1">((BA19-(AZ19-AY19)-AY19)*ci_comp3)+(BA19*ct_comp3*'Time on treatment'!$D$12)</f>
        <v>0</v>
      </c>
      <c r="BB61" s="388">
        <f ca="1">((BB19-(BA19-AZ19)-(AZ19-AY19)-AY19)*ci_comp3)+(BB19*ct_comp3*'Time on treatment'!$D$12)</f>
        <v>0</v>
      </c>
      <c r="BC61" s="389">
        <f ca="1">((BC19-(BB19-BA19)-(BA19-AZ19)-(AZ19-AY19)-AY19)*ci_comp3)+(BC19*ct_comp3*'Time on treatment'!$D$12)</f>
        <v>0</v>
      </c>
      <c r="BD61" s="77"/>
      <c r="BE61" s="77"/>
      <c r="BF61" s="386"/>
      <c r="BG61" s="388">
        <f ca="1">(BG19*ci_comp4)+(BG19*ct_comp4*'Time on treatment'!$D$12)</f>
        <v>0</v>
      </c>
      <c r="BH61" s="388">
        <f ca="1">((BH19-BG19)*ci_comp4)+(BH19*ct_comp4*'Time on treatment'!$D$12)</f>
        <v>0</v>
      </c>
      <c r="BI61" s="388">
        <f ca="1">((BI19-(BH19-BG19)-BG19)*ci_comp4)+(BI19*ct_comp4*'Time on treatment'!$D$12)</f>
        <v>0</v>
      </c>
      <c r="BJ61" s="388">
        <f ca="1">((BJ19-(BI19-BH19)-(BH19-BG19)-BG19)*ci_comp4)+(BJ19*ct_comp4*'Time on treatment'!$D$12)</f>
        <v>0</v>
      </c>
      <c r="BK61" s="389">
        <f ca="1">((BK19-(BJ19-BI19)-(BI19-BH19)-(BH19-BG19)-BG19)*ci_comp4)+(BK19*ct_comp4*'Time on treatment'!$D$12)</f>
        <v>0</v>
      </c>
      <c r="BL61" s="77"/>
      <c r="BM61" s="77"/>
      <c r="BN61" s="386"/>
      <c r="BO61" s="388">
        <f ca="1">(BO19*ci_comp5)+(BO19*ct_comp5*'Time on treatment'!$D$12)</f>
        <v>0</v>
      </c>
      <c r="BP61" s="388">
        <f ca="1">((BP19-BO19)*ci_comp5)+(BP19*ct_comp5*'Time on treatment'!$D$12)</f>
        <v>0</v>
      </c>
      <c r="BQ61" s="388">
        <f ca="1">((BQ19-(BP19-BO19)-BO19)*ci_comp5)+(BQ19*ct_comp5*'Time on treatment'!$D$12)</f>
        <v>0</v>
      </c>
      <c r="BR61" s="388">
        <f ca="1">((BR19-(BQ19-BP19)-(BP19-BO19)-BO19)*ci_comp5)+(BR19*ct_comp5*'Time on treatment'!$D$12)</f>
        <v>0</v>
      </c>
      <c r="BS61" s="389">
        <f ca="1">((BS19-(BR19-BQ19)-(BQ19-BP19)-(BP19-BO19)-BO19)*ci_comp5)+(BS19*ct_comp5*'Time on treatment'!$D$12)</f>
        <v>0</v>
      </c>
      <c r="BT61" s="77"/>
      <c r="BU61" s="77"/>
      <c r="BV61" s="386"/>
      <c r="BW61" s="388">
        <f ca="1">(BW19*ci_comp6)+(BW19*ct_comp6*'Time on treatment'!$D$12)</f>
        <v>0</v>
      </c>
      <c r="BX61" s="388">
        <f ca="1">((BX19-BW19)*ci_comp6)+(BX19*ct_comp6*'Time on treatment'!$D$12)</f>
        <v>0</v>
      </c>
      <c r="BY61" s="388">
        <f ca="1">((BY19-(BX19-BW19)-BW19)*ci_comp6)+(BY19*ct_comp6*'Time on treatment'!$D$12)</f>
        <v>0</v>
      </c>
      <c r="BZ61" s="388">
        <f ca="1">((BZ19-(BY19-BX19)-(BX19-BW19)-BW19)*ci_comp6)+(BZ19*ct_comp6*'Time on treatment'!$D$12)</f>
        <v>0</v>
      </c>
      <c r="CA61" s="389">
        <f ca="1">((CA19-(BZ19-BY19)-(BY19-BX19)-(BX19-BW19)-BW19)*ci_comp6)+(CA19*ct_comp6*'Time on treatment'!$D$12)</f>
        <v>0</v>
      </c>
      <c r="CB61" s="77"/>
      <c r="CC61" s="77"/>
      <c r="CD61" s="386"/>
      <c r="CE61" s="388">
        <f ca="1">(CE19*ci_comp7)+(CE19*ct_comp7*'Time on treatment'!$D$12)</f>
        <v>0</v>
      </c>
      <c r="CF61" s="388">
        <f ca="1">((CF19-CE19)*ci_comp7)+(CF19*ct_comp7*'Time on treatment'!$D$12)</f>
        <v>0</v>
      </c>
      <c r="CG61" s="388">
        <f ca="1">((CG19-(CF19-CE19)-CE19)*ci_comp7)+(CG19*ct_comp7*'Time on treatment'!$D$12)</f>
        <v>0</v>
      </c>
      <c r="CH61" s="388">
        <f ca="1">((CH19-(CG19-CF19)-(CF19-CE19)-CE19)*ci_comp7)+(CH19*ct_comp7*'Time on treatment'!$D$12)</f>
        <v>0</v>
      </c>
      <c r="CI61" s="389">
        <f ca="1">((CI19-(CH19-CG19)-(CG19-CF19)-(CF19-CE19)-CE19)*ci_comp7)+(CI19*ct_comp7*'Time on treatment'!$D$12)</f>
        <v>0</v>
      </c>
      <c r="CJ61" s="77"/>
      <c r="CK61" s="77"/>
      <c r="CL61" s="386"/>
      <c r="CM61" s="388">
        <f ca="1">(CM19*ci_comp8)+(CM19*ct_comp8*'Time on treatment'!$D$12)</f>
        <v>0</v>
      </c>
      <c r="CN61" s="388">
        <f ca="1">((CN19-CM19)*ci_comp8)+(CN19*ct_comp8*'Time on treatment'!$D$12)</f>
        <v>0</v>
      </c>
      <c r="CO61" s="388">
        <f ca="1">((CO19-(CN19-CM19)-CM19)*ci_comp8)+(CO19*ct_comp8*'Time on treatment'!$D$12)</f>
        <v>0</v>
      </c>
      <c r="CP61" s="388">
        <f ca="1">((CP19-(CO19-CN19)-(CN19-CM19)-CM19)*ci_comp8)+(CP19*ct_comp8*'Time on treatment'!$D$12)</f>
        <v>0</v>
      </c>
      <c r="CQ61" s="389">
        <f ca="1">((CQ19-(CP19-CO19)-(CO19-CN19)-(CN19-CM19)-CM19)*ci_comp8)+(CQ19*ct_comp8*'Time on treatment'!$D$12)</f>
        <v>0</v>
      </c>
      <c r="CR61" s="77"/>
      <c r="CS61" s="77"/>
      <c r="CT61" s="386"/>
      <c r="CU61" s="388">
        <f ca="1">(CU19*ci_comp9)+(CU19*ct_comp9*'Time on treatment'!$D$12)</f>
        <v>0</v>
      </c>
      <c r="CV61" s="388">
        <f ca="1">((CV19-CU19)*ci_comp9)+(CV19*ct_comp9*'Time on treatment'!$D$12)</f>
        <v>0</v>
      </c>
      <c r="CW61" s="388">
        <f ca="1">((CW19-(CV19-CU19)-CU19)*ci_comp9)+(CW19*ct_comp9*'Time on treatment'!$D$12)</f>
        <v>0</v>
      </c>
      <c r="CX61" s="388">
        <f ca="1">((CX19-(CW19-CV19)-(CV19-CU19)-CU19)*ci_comp9)+(CX19*ct_comp9*'Time on treatment'!$D$12)</f>
        <v>0</v>
      </c>
      <c r="CY61" s="389">
        <f ca="1">((CY19-(CX19-CW19)-(CW19-CV19)-(CV19-CU19)-CU19)*ci_comp9)+(CY19*ct_comp9*'Time on treatment'!$D$12)</f>
        <v>0</v>
      </c>
      <c r="CZ61" s="77"/>
      <c r="DA61" s="77"/>
      <c r="DB61" s="386"/>
      <c r="DC61" s="388">
        <f ca="1">(DC19*ci_comp10)+(DC19*ct_comp10*'Time on treatment'!$D$12)</f>
        <v>0</v>
      </c>
      <c r="DD61" s="388">
        <f ca="1">((DD19-DC19)*ci_comp10)+(DD19*ct_comp10*'Time on treatment'!$D$12)</f>
        <v>0</v>
      </c>
      <c r="DE61" s="388">
        <f ca="1">((DE19-(DD19-DC19)-DC19)*ci_comp10)+(DE19*ct_comp10*'Time on treatment'!$D$12)</f>
        <v>0</v>
      </c>
      <c r="DF61" s="388">
        <f ca="1">((DF19-(DE19-DD19)-(DD19-DC19)-DC19)*ci_comp10)+(DF19*ct_comp10*'Time on treatment'!$D$12)</f>
        <v>0</v>
      </c>
      <c r="DG61" s="389">
        <f ca="1">((DG19-(DF19-DE19)-(DE19-DD19)-(DD19-DC19)-DC19)*ci_comp10)+(DG19*ct_comp10*'Time on treatment'!$D$12)</f>
        <v>0</v>
      </c>
      <c r="DH61" s="77"/>
      <c r="DI61" s="77"/>
    </row>
    <row r="62" spans="2:113" ht="15" thickBot="1">
      <c r="B62" s="83"/>
      <c r="C62" s="86"/>
      <c r="D62" s="86"/>
      <c r="E62" s="86"/>
      <c r="F62" s="86"/>
      <c r="G62" s="86"/>
      <c r="J62" s="83"/>
      <c r="K62" s="86"/>
      <c r="L62" s="86"/>
      <c r="M62" s="86"/>
      <c r="N62" s="86"/>
      <c r="O62" s="86"/>
      <c r="R62" s="83"/>
      <c r="S62" s="86"/>
      <c r="T62" s="86"/>
      <c r="U62" s="86"/>
      <c r="V62" s="86"/>
      <c r="W62" s="86"/>
      <c r="Z62" s="83"/>
      <c r="AA62" s="86"/>
      <c r="AB62" s="86"/>
      <c r="AC62" s="86"/>
      <c r="AD62" s="86"/>
      <c r="AE62" s="86"/>
      <c r="AH62" s="83"/>
      <c r="AI62" s="86"/>
      <c r="AJ62" s="86"/>
      <c r="AK62" s="86"/>
      <c r="AL62" s="86"/>
      <c r="AM62" s="86"/>
      <c r="AP62" s="83"/>
      <c r="AQ62" s="86"/>
      <c r="AR62" s="86"/>
      <c r="AS62" s="86"/>
      <c r="AT62" s="86"/>
      <c r="AU62" s="86"/>
      <c r="AX62" s="83"/>
      <c r="AY62" s="86"/>
      <c r="AZ62" s="86"/>
      <c r="BA62" s="86"/>
      <c r="BB62" s="86"/>
      <c r="BC62" s="86"/>
      <c r="BF62" s="83"/>
      <c r="BG62" s="86"/>
      <c r="BH62" s="86"/>
      <c r="BI62" s="86"/>
      <c r="BJ62" s="86"/>
      <c r="BK62" s="86"/>
      <c r="BN62" s="83"/>
      <c r="BO62" s="86"/>
      <c r="BP62" s="86"/>
      <c r="BQ62" s="86"/>
      <c r="BR62" s="86"/>
      <c r="BS62" s="86"/>
      <c r="BV62" s="83"/>
      <c r="BW62" s="86"/>
      <c r="BX62" s="86"/>
      <c r="BY62" s="86"/>
      <c r="BZ62" s="86"/>
      <c r="CA62" s="86"/>
      <c r="CD62" s="83"/>
      <c r="CE62" s="86"/>
      <c r="CF62" s="86"/>
      <c r="CG62" s="86"/>
      <c r="CH62" s="86"/>
      <c r="CI62" s="86"/>
      <c r="CL62" s="83"/>
      <c r="CM62" s="86"/>
      <c r="CN62" s="86"/>
      <c r="CO62" s="86"/>
      <c r="CP62" s="86"/>
      <c r="CQ62" s="86"/>
      <c r="CT62" s="83"/>
      <c r="CU62" s="86"/>
      <c r="CV62" s="86"/>
      <c r="CW62" s="86"/>
      <c r="CX62" s="86"/>
      <c r="CY62" s="86"/>
      <c r="DB62" s="83"/>
      <c r="DC62" s="86"/>
      <c r="DD62" s="86"/>
      <c r="DE62" s="86"/>
      <c r="DF62" s="86"/>
      <c r="DG62" s="86"/>
    </row>
    <row r="63" spans="2:113" ht="15" thickBot="1">
      <c r="B63" s="507" t="str">
        <f>B42</f>
        <v>With IUD-LNG 10-50%</v>
      </c>
      <c r="C63" s="505"/>
      <c r="D63" s="505"/>
      <c r="E63" s="505"/>
      <c r="F63" s="505"/>
      <c r="G63" s="506"/>
      <c r="J63" s="507" t="str">
        <f>J42</f>
        <v>With IUD-LNG 10-50%</v>
      </c>
      <c r="K63" s="505"/>
      <c r="L63" s="505"/>
      <c r="M63" s="505"/>
      <c r="N63" s="505"/>
      <c r="O63" s="506"/>
      <c r="R63" s="507" t="str">
        <f>R42</f>
        <v>With IUD-LNG 10-50%</v>
      </c>
      <c r="S63" s="505"/>
      <c r="T63" s="505"/>
      <c r="U63" s="505"/>
      <c r="V63" s="505"/>
      <c r="W63" s="506"/>
      <c r="Z63" s="507" t="str">
        <f>Z42</f>
        <v>With IUD-LNG 10-50%</v>
      </c>
      <c r="AA63" s="505"/>
      <c r="AB63" s="505"/>
      <c r="AC63" s="505"/>
      <c r="AD63" s="505"/>
      <c r="AE63" s="506"/>
      <c r="AH63" s="507" t="str">
        <f>AH42</f>
        <v>With IUD-LNG 10-50%</v>
      </c>
      <c r="AI63" s="505"/>
      <c r="AJ63" s="505"/>
      <c r="AK63" s="505"/>
      <c r="AL63" s="505"/>
      <c r="AM63" s="506"/>
      <c r="AP63" s="507" t="str">
        <f>AP42</f>
        <v>With IUD-LNG 10-50%</v>
      </c>
      <c r="AQ63" s="505"/>
      <c r="AR63" s="505"/>
      <c r="AS63" s="505"/>
      <c r="AT63" s="505"/>
      <c r="AU63" s="506"/>
      <c r="AX63" s="507" t="str">
        <f>AX42</f>
        <v>With IUD-LNG 10-50%</v>
      </c>
      <c r="AY63" s="505"/>
      <c r="AZ63" s="505"/>
      <c r="BA63" s="505"/>
      <c r="BB63" s="505"/>
      <c r="BC63" s="506"/>
      <c r="BF63" s="507" t="str">
        <f>BF42</f>
        <v>With IUD-LNG 10-50%</v>
      </c>
      <c r="BG63" s="505"/>
      <c r="BH63" s="505"/>
      <c r="BI63" s="505"/>
      <c r="BJ63" s="505"/>
      <c r="BK63" s="506"/>
      <c r="BN63" s="507" t="str">
        <f>BN42</f>
        <v>With IUD-LNG 10-50%</v>
      </c>
      <c r="BO63" s="505"/>
      <c r="BP63" s="505"/>
      <c r="BQ63" s="505"/>
      <c r="BR63" s="505"/>
      <c r="BS63" s="506"/>
      <c r="BV63" s="507" t="str">
        <f>BV42</f>
        <v>With IUD-LNG 10-50%</v>
      </c>
      <c r="BW63" s="505"/>
      <c r="BX63" s="505"/>
      <c r="BY63" s="505"/>
      <c r="BZ63" s="505"/>
      <c r="CA63" s="506"/>
      <c r="CD63" s="507" t="str">
        <f>CD42</f>
        <v>With IUD-LNG 10-50%</v>
      </c>
      <c r="CE63" s="505"/>
      <c r="CF63" s="505"/>
      <c r="CG63" s="505"/>
      <c r="CH63" s="505"/>
      <c r="CI63" s="506"/>
      <c r="CL63" s="507" t="str">
        <f>CL42</f>
        <v>With IUD-LNG 10-50%</v>
      </c>
      <c r="CM63" s="505"/>
      <c r="CN63" s="505"/>
      <c r="CO63" s="505"/>
      <c r="CP63" s="505"/>
      <c r="CQ63" s="506"/>
      <c r="CT63" s="507" t="str">
        <f>CT42</f>
        <v>With IUD-LNG 10-50%</v>
      </c>
      <c r="CU63" s="505"/>
      <c r="CV63" s="505"/>
      <c r="CW63" s="505"/>
      <c r="CX63" s="505"/>
      <c r="CY63" s="506"/>
      <c r="DB63" s="507" t="str">
        <f>DB42</f>
        <v>With IUD-LNG 10-50%</v>
      </c>
      <c r="DC63" s="505"/>
      <c r="DD63" s="505"/>
      <c r="DE63" s="505"/>
      <c r="DF63" s="505"/>
      <c r="DG63" s="506"/>
    </row>
    <row r="64" spans="2:113">
      <c r="B64" s="84"/>
      <c r="C64" s="101">
        <f>C43</f>
        <v>2026</v>
      </c>
      <c r="D64" s="101">
        <f>D43</f>
        <v>2027</v>
      </c>
      <c r="E64" s="101">
        <f>E43</f>
        <v>2028</v>
      </c>
      <c r="F64" s="101">
        <f>F43</f>
        <v>2029</v>
      </c>
      <c r="G64" s="102">
        <f>G43</f>
        <v>2030</v>
      </c>
      <c r="J64" s="84"/>
      <c r="K64" s="101">
        <f>K43</f>
        <v>2026</v>
      </c>
      <c r="L64" s="101">
        <f>L43</f>
        <v>2027</v>
      </c>
      <c r="M64" s="101">
        <f>M43</f>
        <v>2028</v>
      </c>
      <c r="N64" s="101">
        <f>N43</f>
        <v>2029</v>
      </c>
      <c r="O64" s="102">
        <f>O43</f>
        <v>2030</v>
      </c>
      <c r="R64" s="84"/>
      <c r="S64" s="101">
        <f>S43</f>
        <v>2026</v>
      </c>
      <c r="T64" s="101">
        <f>T43</f>
        <v>2027</v>
      </c>
      <c r="U64" s="101">
        <f>U43</f>
        <v>2028</v>
      </c>
      <c r="V64" s="101">
        <f>V43</f>
        <v>2029</v>
      </c>
      <c r="W64" s="102">
        <f>W43</f>
        <v>2030</v>
      </c>
      <c r="Z64" s="84"/>
      <c r="AA64" s="101">
        <f>AA43</f>
        <v>2026</v>
      </c>
      <c r="AB64" s="101">
        <f>AB43</f>
        <v>2027</v>
      </c>
      <c r="AC64" s="101">
        <f>AC43</f>
        <v>2028</v>
      </c>
      <c r="AD64" s="101">
        <f>AD43</f>
        <v>2029</v>
      </c>
      <c r="AE64" s="102">
        <f>AE43</f>
        <v>2030</v>
      </c>
      <c r="AH64" s="84"/>
      <c r="AI64" s="101">
        <f>AI43</f>
        <v>2026</v>
      </c>
      <c r="AJ64" s="101">
        <f>AJ43</f>
        <v>2027</v>
      </c>
      <c r="AK64" s="101">
        <f>AK43</f>
        <v>2028</v>
      </c>
      <c r="AL64" s="101">
        <f>AL43</f>
        <v>2029</v>
      </c>
      <c r="AM64" s="102">
        <f>AM43</f>
        <v>2030</v>
      </c>
      <c r="AP64" s="84"/>
      <c r="AQ64" s="101">
        <f>AQ43</f>
        <v>2026</v>
      </c>
      <c r="AR64" s="101">
        <f>AR43</f>
        <v>2027</v>
      </c>
      <c r="AS64" s="101">
        <f>AS43</f>
        <v>2028</v>
      </c>
      <c r="AT64" s="101">
        <f>AT43</f>
        <v>2029</v>
      </c>
      <c r="AU64" s="102">
        <f>AU43</f>
        <v>2030</v>
      </c>
      <c r="AX64" s="84"/>
      <c r="AY64" s="101">
        <f>AY43</f>
        <v>2026</v>
      </c>
      <c r="AZ64" s="101">
        <f>AZ43</f>
        <v>2027</v>
      </c>
      <c r="BA64" s="101">
        <f>BA43</f>
        <v>2028</v>
      </c>
      <c r="BB64" s="101">
        <f>BB43</f>
        <v>2029</v>
      </c>
      <c r="BC64" s="102">
        <f>BC43</f>
        <v>2030</v>
      </c>
      <c r="BF64" s="84"/>
      <c r="BG64" s="101">
        <f>BG43</f>
        <v>2026</v>
      </c>
      <c r="BH64" s="101">
        <f>BH43</f>
        <v>2027</v>
      </c>
      <c r="BI64" s="101">
        <f>BI43</f>
        <v>2028</v>
      </c>
      <c r="BJ64" s="101">
        <f>BJ43</f>
        <v>2029</v>
      </c>
      <c r="BK64" s="102">
        <f>BK43</f>
        <v>2030</v>
      </c>
      <c r="BN64" s="84"/>
      <c r="BO64" s="101">
        <f>BO43</f>
        <v>2026</v>
      </c>
      <c r="BP64" s="101">
        <f>BP43</f>
        <v>2027</v>
      </c>
      <c r="BQ64" s="101">
        <f>BQ43</f>
        <v>2028</v>
      </c>
      <c r="BR64" s="101">
        <f>BR43</f>
        <v>2029</v>
      </c>
      <c r="BS64" s="102">
        <f>BS43</f>
        <v>2030</v>
      </c>
      <c r="BV64" s="84"/>
      <c r="BW64" s="101">
        <f>BW43</f>
        <v>2026</v>
      </c>
      <c r="BX64" s="101">
        <f>BX43</f>
        <v>2027</v>
      </c>
      <c r="BY64" s="101">
        <f>BY43</f>
        <v>2028</v>
      </c>
      <c r="BZ64" s="101">
        <f>BZ43</f>
        <v>2029</v>
      </c>
      <c r="CA64" s="102">
        <f>CA43</f>
        <v>2030</v>
      </c>
      <c r="CD64" s="84"/>
      <c r="CE64" s="101">
        <f>CE43</f>
        <v>2026</v>
      </c>
      <c r="CF64" s="101">
        <f>CF43</f>
        <v>2027</v>
      </c>
      <c r="CG64" s="101">
        <f>CG43</f>
        <v>2028</v>
      </c>
      <c r="CH64" s="101">
        <f>CH43</f>
        <v>2029</v>
      </c>
      <c r="CI64" s="102">
        <f>CI43</f>
        <v>2030</v>
      </c>
      <c r="CL64" s="84"/>
      <c r="CM64" s="101">
        <f>CM43</f>
        <v>2026</v>
      </c>
      <c r="CN64" s="101">
        <f>CN43</f>
        <v>2027</v>
      </c>
      <c r="CO64" s="101">
        <f>CO43</f>
        <v>2028</v>
      </c>
      <c r="CP64" s="101">
        <f>CP43</f>
        <v>2029</v>
      </c>
      <c r="CQ64" s="102">
        <f>CQ43</f>
        <v>2030</v>
      </c>
      <c r="CT64" s="84"/>
      <c r="CU64" s="101">
        <f>CU43</f>
        <v>2026</v>
      </c>
      <c r="CV64" s="101">
        <f>CV43</f>
        <v>2027</v>
      </c>
      <c r="CW64" s="101">
        <f>CW43</f>
        <v>2028</v>
      </c>
      <c r="CX64" s="101">
        <f>CX43</f>
        <v>2029</v>
      </c>
      <c r="CY64" s="102">
        <f>CY43</f>
        <v>2030</v>
      </c>
      <c r="DB64" s="84"/>
      <c r="DC64" s="101">
        <f>DC43</f>
        <v>2026</v>
      </c>
      <c r="DD64" s="101">
        <f>DD43</f>
        <v>2027</v>
      </c>
      <c r="DE64" s="101">
        <f>DE43</f>
        <v>2028</v>
      </c>
      <c r="DF64" s="101">
        <f>DF43</f>
        <v>2029</v>
      </c>
      <c r="DG64" s="102">
        <f>DG43</f>
        <v>2030</v>
      </c>
    </row>
    <row r="65" spans="2:113" s="83" customFormat="1" ht="15" thickBot="1">
      <c r="B65" s="386"/>
      <c r="C65" s="388">
        <f ca="1">(C23*ci_int1)+(C23*ct_int1*'Time on treatment'!$D$12)</f>
        <v>26538280.865881924</v>
      </c>
      <c r="D65" s="388">
        <f ca="1">((D23-C23)*ci_int1)+(D23*ct_int1*'Time on treatment'!$D$12)</f>
        <v>26347009.829388238</v>
      </c>
      <c r="E65" s="388">
        <f ca="1">((E23-(D23-C23)-C23)*ci_int1)+(E23*ct_int1*'Time on treatment'!$D$12)</f>
        <v>26132369.974712417</v>
      </c>
      <c r="F65" s="388">
        <f ca="1">((F23-(E23-D23)-(D23-C23)-C23)*ci_int1)+(F23*ct_int1*'Time on treatment'!$D$12)</f>
        <v>25842897.917786542</v>
      </c>
      <c r="G65" s="389">
        <f ca="1">((G23-(F23-E23)-(E23-D23)-(D23-C23)-C23)*ci_int1)+(G23*ct_int1*'Time on treatment'!$D$12)</f>
        <v>25434470.812404677</v>
      </c>
      <c r="H65" s="77"/>
      <c r="I65" s="77"/>
      <c r="J65" s="386"/>
      <c r="K65" s="388">
        <f ca="1">(K23*ci_int2)+(K23*ct_int2*'Time on treatment'!$D$12)</f>
        <v>0</v>
      </c>
      <c r="L65" s="388">
        <f ca="1">((L23-K23)*ci_int2)+(L23*ct_int2*'Time on treatment'!$D$12)</f>
        <v>0</v>
      </c>
      <c r="M65" s="388">
        <f ca="1">((M23-(L23-K23)-K23)*ci_int2)+(M23*ct_int2*'Time on treatment'!$D$12)</f>
        <v>0</v>
      </c>
      <c r="N65" s="388">
        <f ca="1">((N23-(M23-L23)-(L23-K23)-K23)*ci_int2)+(N23*ct_int2*'Time on treatment'!$D$12)</f>
        <v>0</v>
      </c>
      <c r="O65" s="389">
        <f ca="1">((O23-(N23-M23)-(M23-L23)-(L23-K23)-K23)*ci_int2)+(O23*ct_int2*'Time on treatment'!$D$12)</f>
        <v>0</v>
      </c>
      <c r="P65" s="77"/>
      <c r="Q65" s="77"/>
      <c r="R65" s="386"/>
      <c r="S65" s="388">
        <f ca="1">(S23*ci_int3)+(S23*ct_int3*'Time on treatment'!$D$12)</f>
        <v>0</v>
      </c>
      <c r="T65" s="388">
        <f ca="1">((T23-S23)*ci_int3)+(T23*ct_int3*'Time on treatment'!$D$12)</f>
        <v>0</v>
      </c>
      <c r="U65" s="388">
        <f ca="1">((U23-(T23-S23)-S23)*ci_int3)+(U23*ct_int3*'Time on treatment'!$D$12)</f>
        <v>0</v>
      </c>
      <c r="V65" s="388">
        <f ca="1">((V23-(U23-T23)-(T23-S23)-S23)*ci_int3)+(V23*ct_int3*'Time on treatment'!$D$12)</f>
        <v>0</v>
      </c>
      <c r="W65" s="389">
        <f ca="1">((W23-(V23-U23)-(U23-T23)-(T23-S23)-S23)*ci_int3)+(W23*ct_int3*'Time on treatment'!$D$12)</f>
        <v>0</v>
      </c>
      <c r="X65" s="77"/>
      <c r="Y65" s="77"/>
      <c r="Z65" s="386"/>
      <c r="AA65" s="388">
        <f ca="1">(AA23*ci_int4)+(AA23*ct_int4*'Time on treatment'!$D$12)</f>
        <v>0</v>
      </c>
      <c r="AB65" s="388">
        <f ca="1">((AB23-AA23)*ci_int4)+(AB23*ct_int4*'Time on treatment'!$D$12)</f>
        <v>0</v>
      </c>
      <c r="AC65" s="388">
        <f ca="1">((AC23-(AB23-AA23)-AA23)*ci_int4)+(AC23*ct_int4*'Time on treatment'!$D$12)</f>
        <v>0</v>
      </c>
      <c r="AD65" s="388">
        <f ca="1">((AD23-(AC23-AB23)-(AB23-AA23)-AA23)*ci_int4)+(AD23*ct_int4*'Time on treatment'!$D$12)</f>
        <v>0</v>
      </c>
      <c r="AE65" s="389">
        <f ca="1">((AE23-(AD23-AC23)-(AC23-AB23)-(AB23-AA23)-AA23)*ci_int4)+(AE23*ct_int4*'Time on treatment'!$D$12)</f>
        <v>0</v>
      </c>
      <c r="AF65" s="77"/>
      <c r="AG65" s="77"/>
      <c r="AH65" s="386"/>
      <c r="AI65" s="388">
        <f ca="1">(AI23*ci_comp1)+(AI23*ct_comp1*'Time on treatment'!$D$12)</f>
        <v>411559.5543964575</v>
      </c>
      <c r="AJ65" s="388">
        <f ca="1">((AJ23-AI23)*ci_comp1)+(AJ23*ct_comp1*'Time on treatment'!$D$12)</f>
        <v>364512.3775503324</v>
      </c>
      <c r="AK65" s="388">
        <f ca="1">((AK23-(AJ23-AI23)-AI23)*ci_comp1)+(AK23*ct_comp1*'Time on treatment'!$D$12)</f>
        <v>317700.82768496108</v>
      </c>
      <c r="AL65" s="388">
        <f ca="1">((AL23-(AK23-AJ23)-(AJ23-AI23)-AI23)*ci_comp1)+(AL23*ct_comp1*'Time on treatment'!$D$12)</f>
        <v>271032.15529953223</v>
      </c>
      <c r="AM65" s="389">
        <f ca="1">((AM23-(AL23-AK23)-(AK23-AJ23)-(AJ23-AI23)-AI23)*ci_comp1)+(AM23*ct_comp1*'Time on treatment'!$D$12)</f>
        <v>224514.93754337769</v>
      </c>
      <c r="AN65" s="77"/>
      <c r="AO65" s="77"/>
      <c r="AP65" s="386"/>
      <c r="AQ65" s="388">
        <f ca="1">(AQ23*ci_comp2)+(AQ23*ct_comp2*'Time on treatment'!$D$12)</f>
        <v>0</v>
      </c>
      <c r="AR65" s="388">
        <f ca="1">((AR23-AQ23)*ci_comp2)+(AR23*ct_comp2*'Time on treatment'!$D$12)</f>
        <v>0</v>
      </c>
      <c r="AS65" s="388">
        <f ca="1">((AS23-(AR23-AQ23)-AQ23)*ci_comp2)+(AS23*ct_comp2*'Time on treatment'!$D$12)</f>
        <v>0</v>
      </c>
      <c r="AT65" s="388">
        <f ca="1">((AT23-(AS23-AR23)-(AR23-AQ23)-AQ23)*ci_comp2)+(AT23*ct_comp2*'Time on treatment'!$D$12)</f>
        <v>0</v>
      </c>
      <c r="AU65" s="389">
        <f ca="1">((AU23-(AT23-AS23)-(AS23-AR23)-(AR23-AQ23)-AQ23)*ci_comp2)+(AU23*ct_comp2*'Time on treatment'!$D$12)</f>
        <v>0</v>
      </c>
      <c r="AV65" s="77"/>
      <c r="AW65" s="77"/>
      <c r="AX65" s="386"/>
      <c r="AY65" s="388">
        <f ca="1">(AY23*ci_comp3)+(AY23*ct_comp3*'Time on treatment'!$D$12)</f>
        <v>0</v>
      </c>
      <c r="AZ65" s="388">
        <f ca="1">((AZ23-AY23)*ci_comp3)+(AZ23*ct_comp3*'Time on treatment'!$D$12)</f>
        <v>0</v>
      </c>
      <c r="BA65" s="388">
        <f ca="1">((BA23-(AZ23-AY23)-AY23)*ci_comp3)+(BA23*ct_comp3*'Time on treatment'!$D$12)</f>
        <v>0</v>
      </c>
      <c r="BB65" s="388">
        <f ca="1">((BB23-(BA23-AZ23)-(AZ23-AY23)-AY23)*ci_comp3)+(BB23*ct_comp3*'Time on treatment'!$D$12)</f>
        <v>0</v>
      </c>
      <c r="BC65" s="389">
        <f ca="1">((BC23-(BB23-BA23)-(BA23-AZ23)-(AZ23-AY23)-AY23)*ci_comp3)+(BC23*ct_comp3*'Time on treatment'!$D$12)</f>
        <v>0</v>
      </c>
      <c r="BD65" s="77"/>
      <c r="BE65" s="77"/>
      <c r="BF65" s="386"/>
      <c r="BG65" s="388">
        <f ca="1">(BG23*ci_comp4)+(BG23*ct_comp4*'Time on treatment'!$D$12)</f>
        <v>0</v>
      </c>
      <c r="BH65" s="388">
        <f ca="1">((BH23-BG23)*ci_comp4)+(BH23*ct_comp4*'Time on treatment'!$D$12)</f>
        <v>0</v>
      </c>
      <c r="BI65" s="388">
        <f ca="1">((BI23-(BH23-BG23)-BG23)*ci_comp4)+(BI23*ct_comp4*'Time on treatment'!$D$12)</f>
        <v>0</v>
      </c>
      <c r="BJ65" s="388">
        <f ca="1">((BJ23-(BI23-BH23)-(BH23-BG23)-BG23)*ci_comp4)+(BJ23*ct_comp4*'Time on treatment'!$D$12)</f>
        <v>0</v>
      </c>
      <c r="BK65" s="389">
        <f ca="1">((BK23-(BJ23-BI23)-(BI23-BH23)-(BH23-BG23)-BG23)*ci_comp4)+(BK23*ct_comp4*'Time on treatment'!$D$12)</f>
        <v>0</v>
      </c>
      <c r="BL65" s="77"/>
      <c r="BM65" s="77"/>
      <c r="BN65" s="386"/>
      <c r="BO65" s="388">
        <f ca="1">(BO23*ci_comp5)+(BO23*ct_comp5*'Time on treatment'!$D$12)</f>
        <v>0</v>
      </c>
      <c r="BP65" s="388">
        <f ca="1">((BP23-BO23)*ci_comp5)+(BP23*ct_comp5*'Time on treatment'!$D$12)</f>
        <v>0</v>
      </c>
      <c r="BQ65" s="388">
        <f ca="1">((BQ23-(BP23-BO23)-BO23)*ci_comp5)+(BQ23*ct_comp5*'Time on treatment'!$D$12)</f>
        <v>0</v>
      </c>
      <c r="BR65" s="388">
        <f ca="1">((BR23-(BQ23-BP23)-(BP23-BO23)-BO23)*ci_comp5)+(BR23*ct_comp5*'Time on treatment'!$D$12)</f>
        <v>0</v>
      </c>
      <c r="BS65" s="389">
        <f ca="1">((BS23-(BR23-BQ23)-(BQ23-BP23)-(BP23-BO23)-BO23)*ci_comp5)+(BS23*ct_comp5*'Time on treatment'!$D$12)</f>
        <v>0</v>
      </c>
      <c r="BT65" s="77"/>
      <c r="BU65" s="77"/>
      <c r="BV65" s="386"/>
      <c r="BW65" s="388">
        <f ca="1">(BW23*ci_comp6)+(BW23*ct_comp6*'Time on treatment'!$D$12)</f>
        <v>0</v>
      </c>
      <c r="BX65" s="388">
        <f ca="1">((BX23-BW23)*ci_comp6)+(BX23*ct_comp6*'Time on treatment'!$D$12)</f>
        <v>0</v>
      </c>
      <c r="BY65" s="388">
        <f ca="1">((BY23-(BX23-BW23)-BW23)*ci_comp6)+(BY23*ct_comp6*'Time on treatment'!$D$12)</f>
        <v>0</v>
      </c>
      <c r="BZ65" s="388">
        <f ca="1">((BZ23-(BY23-BX23)-(BX23-BW23)-BW23)*ci_comp6)+(BZ23*ct_comp6*'Time on treatment'!$D$12)</f>
        <v>0</v>
      </c>
      <c r="CA65" s="389">
        <f ca="1">((CA23-(BZ23-BY23)-(BY23-BX23)-(BX23-BW23)-BW23)*ci_comp6)+(CA23*ct_comp6*'Time on treatment'!$D$12)</f>
        <v>0</v>
      </c>
      <c r="CB65" s="77"/>
      <c r="CC65" s="77"/>
      <c r="CD65" s="386"/>
      <c r="CE65" s="388">
        <f ca="1">(CE23*ci_comp7)+(CE23*ct_comp7*'Time on treatment'!$D$12)</f>
        <v>0</v>
      </c>
      <c r="CF65" s="388">
        <f ca="1">((CF23-CE23)*ci_comp7)+(CF23*ct_comp7*'Time on treatment'!$D$12)</f>
        <v>0</v>
      </c>
      <c r="CG65" s="388">
        <f ca="1">((CG23-(CF23-CE23)-CE23)*ci_comp7)+(CG23*ct_comp7*'Time on treatment'!$D$12)</f>
        <v>0</v>
      </c>
      <c r="CH65" s="388">
        <f ca="1">((CH23-(CG23-CF23)-(CF23-CE23)-CE23)*ci_comp7)+(CH23*ct_comp7*'Time on treatment'!$D$12)</f>
        <v>0</v>
      </c>
      <c r="CI65" s="389">
        <f ca="1">((CI23-(CH23-CG23)-(CG23-CF23)-(CF23-CE23)-CE23)*ci_comp7)+(CI23*ct_comp7*'Time on treatment'!$D$12)</f>
        <v>0</v>
      </c>
      <c r="CJ65" s="77"/>
      <c r="CK65" s="77"/>
      <c r="CL65" s="386"/>
      <c r="CM65" s="388">
        <f ca="1">(CM23*ci_comp8)+(CM23*ct_comp8*'Time on treatment'!$D$12)</f>
        <v>0</v>
      </c>
      <c r="CN65" s="388">
        <f ca="1">((CN23-CM23)*ci_comp8)+(CN23*ct_comp8*'Time on treatment'!$D$12)</f>
        <v>0</v>
      </c>
      <c r="CO65" s="388">
        <f ca="1">((CO23-(CN23-CM23)-CM23)*ci_comp8)+(CO23*ct_comp8*'Time on treatment'!$D$12)</f>
        <v>0</v>
      </c>
      <c r="CP65" s="388">
        <f ca="1">((CP23-(CO23-CN23)-(CN23-CM23)-CM23)*ci_comp8)+(CP23*ct_comp8*'Time on treatment'!$D$12)</f>
        <v>0</v>
      </c>
      <c r="CQ65" s="389">
        <f ca="1">((CQ23-(CP23-CO23)-(CO23-CN23)-(CN23-CM23)-CM23)*ci_comp8)+(CQ23*ct_comp8*'Time on treatment'!$D$12)</f>
        <v>0</v>
      </c>
      <c r="CR65" s="77"/>
      <c r="CS65" s="77"/>
      <c r="CT65" s="386"/>
      <c r="CU65" s="388">
        <f ca="1">(CU23*ci_comp9)+(CU23*ct_comp9*'Time on treatment'!$D$12)</f>
        <v>0</v>
      </c>
      <c r="CV65" s="388">
        <f ca="1">((CV23-CU23)*ci_comp9)+(CV23*ct_comp9*'Time on treatment'!$D$12)</f>
        <v>0</v>
      </c>
      <c r="CW65" s="388">
        <f ca="1">((CW23-(CV23-CU23)-CU23)*ci_comp9)+(CW23*ct_comp9*'Time on treatment'!$D$12)</f>
        <v>0</v>
      </c>
      <c r="CX65" s="388">
        <f ca="1">((CX23-(CW23-CV23)-(CV23-CU23)-CU23)*ci_comp9)+(CX23*ct_comp9*'Time on treatment'!$D$12)</f>
        <v>0</v>
      </c>
      <c r="CY65" s="389">
        <f ca="1">((CY23-(CX23-CW23)-(CW23-CV23)-(CV23-CU23)-CU23)*ci_comp9)+(CY23*ct_comp9*'Time on treatment'!$D$12)</f>
        <v>0</v>
      </c>
      <c r="CZ65" s="77"/>
      <c r="DA65" s="77"/>
      <c r="DB65" s="386"/>
      <c r="DC65" s="388">
        <f ca="1">(DC23*ci_comp10)+(DC23*ct_comp10*'Time on treatment'!$D$12)</f>
        <v>0</v>
      </c>
      <c r="DD65" s="388">
        <f ca="1">((DD23-DC23)*ci_comp10)+(DD23*ct_comp10*'Time on treatment'!$D$12)</f>
        <v>0</v>
      </c>
      <c r="DE65" s="388">
        <f ca="1">((DE23-(DD23-DC23)-DC23)*ci_comp10)+(DE23*ct_comp10*'Time on treatment'!$D$12)</f>
        <v>0</v>
      </c>
      <c r="DF65" s="388">
        <f ca="1">((DF23-(DE23-DD23)-(DD23-DC23)-DC23)*ci_comp10)+(DF23*ct_comp10*'Time on treatment'!$D$12)</f>
        <v>0</v>
      </c>
      <c r="DG65" s="389">
        <f ca="1">((DG23-(DF23-DE23)-(DE23-DD23)-(DD23-DC23)-DC23)*ci_comp10)+(DG23*ct_comp10*'Time on treatment'!$D$12)</f>
        <v>0</v>
      </c>
      <c r="DH65" s="77"/>
      <c r="DI65" s="77"/>
    </row>
    <row r="66" spans="2:113" ht="15" thickBot="1">
      <c r="B66" s="83"/>
      <c r="C66" s="83"/>
      <c r="D66" s="83"/>
      <c r="E66" s="83"/>
      <c r="F66" s="83"/>
      <c r="G66" s="83"/>
      <c r="J66" s="83"/>
      <c r="K66" s="83"/>
      <c r="L66" s="83"/>
      <c r="M66" s="83"/>
      <c r="N66" s="83"/>
      <c r="O66" s="83"/>
      <c r="R66" s="83"/>
      <c r="S66" s="83"/>
      <c r="T66" s="83"/>
      <c r="U66" s="83"/>
      <c r="V66" s="83"/>
      <c r="W66" s="83"/>
      <c r="Z66" s="83"/>
      <c r="AA66" s="83"/>
      <c r="AB66" s="83"/>
      <c r="AC66" s="83"/>
      <c r="AD66" s="83"/>
      <c r="AE66" s="83"/>
      <c r="AH66" s="83"/>
      <c r="AI66" s="83"/>
      <c r="AJ66" s="83"/>
      <c r="AK66" s="83"/>
      <c r="AL66" s="83"/>
      <c r="AM66" s="83"/>
      <c r="AP66" s="83"/>
      <c r="AQ66" s="83"/>
      <c r="AR66" s="83"/>
      <c r="AS66" s="83"/>
      <c r="AT66" s="83"/>
      <c r="AU66" s="83"/>
      <c r="AX66" s="83"/>
      <c r="AY66" s="83"/>
      <c r="AZ66" s="83"/>
      <c r="BA66" s="83"/>
      <c r="BB66" s="83"/>
      <c r="BC66" s="83"/>
      <c r="BF66" s="83"/>
      <c r="BG66" s="83"/>
      <c r="BH66" s="83"/>
      <c r="BI66" s="83"/>
      <c r="BJ66" s="83"/>
      <c r="BK66" s="83"/>
      <c r="BN66" s="83"/>
      <c r="BO66" s="83"/>
      <c r="BP66" s="83"/>
      <c r="BQ66" s="83"/>
      <c r="BR66" s="83"/>
      <c r="BS66" s="83"/>
      <c r="BV66" s="83"/>
      <c r="BW66" s="83"/>
      <c r="BX66" s="83"/>
      <c r="BY66" s="83"/>
      <c r="BZ66" s="83"/>
      <c r="CA66" s="83"/>
      <c r="CD66" s="83"/>
      <c r="CE66" s="83"/>
      <c r="CF66" s="83"/>
      <c r="CG66" s="83"/>
      <c r="CH66" s="83"/>
      <c r="CI66" s="83"/>
      <c r="CL66" s="83"/>
      <c r="CM66" s="83"/>
      <c r="CN66" s="83"/>
      <c r="CO66" s="83"/>
      <c r="CP66" s="83"/>
      <c r="CQ66" s="83"/>
      <c r="CT66" s="83"/>
      <c r="CU66" s="83"/>
      <c r="CV66" s="83"/>
      <c r="CW66" s="83"/>
      <c r="CX66" s="83"/>
      <c r="CY66" s="83"/>
      <c r="DB66" s="83"/>
      <c r="DC66" s="83"/>
      <c r="DD66" s="83"/>
      <c r="DE66" s="83"/>
      <c r="DF66" s="83"/>
      <c r="DG66" s="83"/>
    </row>
    <row r="67" spans="2:113" ht="15" thickBot="1">
      <c r="B67" s="507">
        <f>B46</f>
        <v>0</v>
      </c>
      <c r="C67" s="505"/>
      <c r="D67" s="505"/>
      <c r="E67" s="505"/>
      <c r="F67" s="505"/>
      <c r="G67" s="506"/>
      <c r="J67" s="507">
        <f>J46</f>
        <v>0</v>
      </c>
      <c r="K67" s="505"/>
      <c r="L67" s="505"/>
      <c r="M67" s="505"/>
      <c r="N67" s="505"/>
      <c r="O67" s="506"/>
      <c r="R67" s="507">
        <f>R46</f>
        <v>0</v>
      </c>
      <c r="S67" s="505"/>
      <c r="T67" s="505"/>
      <c r="U67" s="505"/>
      <c r="V67" s="505"/>
      <c r="W67" s="506"/>
      <c r="Z67" s="507">
        <f>Z46</f>
        <v>0</v>
      </c>
      <c r="AA67" s="505"/>
      <c r="AB67" s="505"/>
      <c r="AC67" s="505"/>
      <c r="AD67" s="505"/>
      <c r="AE67" s="506"/>
      <c r="AH67" s="507">
        <f>AH46</f>
        <v>0</v>
      </c>
      <c r="AI67" s="505"/>
      <c r="AJ67" s="505"/>
      <c r="AK67" s="505"/>
      <c r="AL67" s="505"/>
      <c r="AM67" s="506"/>
      <c r="AP67" s="507">
        <f>AP46</f>
        <v>0</v>
      </c>
      <c r="AQ67" s="505"/>
      <c r="AR67" s="505"/>
      <c r="AS67" s="505"/>
      <c r="AT67" s="505"/>
      <c r="AU67" s="506"/>
      <c r="AX67" s="507">
        <f>AX46</f>
        <v>0</v>
      </c>
      <c r="AY67" s="505"/>
      <c r="AZ67" s="505"/>
      <c r="BA67" s="505"/>
      <c r="BB67" s="505"/>
      <c r="BC67" s="506"/>
      <c r="BF67" s="507">
        <f>BF46</f>
        <v>0</v>
      </c>
      <c r="BG67" s="505"/>
      <c r="BH67" s="505"/>
      <c r="BI67" s="505"/>
      <c r="BJ67" s="505"/>
      <c r="BK67" s="506"/>
      <c r="BN67" s="507">
        <f>BN46</f>
        <v>0</v>
      </c>
      <c r="BO67" s="505"/>
      <c r="BP67" s="505"/>
      <c r="BQ67" s="505"/>
      <c r="BR67" s="505"/>
      <c r="BS67" s="506"/>
      <c r="BV67" s="507">
        <f>BV46</f>
        <v>0</v>
      </c>
      <c r="BW67" s="505"/>
      <c r="BX67" s="505"/>
      <c r="BY67" s="505"/>
      <c r="BZ67" s="505"/>
      <c r="CA67" s="506"/>
      <c r="CD67" s="507">
        <f>CD46</f>
        <v>0</v>
      </c>
      <c r="CE67" s="505"/>
      <c r="CF67" s="505"/>
      <c r="CG67" s="505"/>
      <c r="CH67" s="505"/>
      <c r="CI67" s="506"/>
      <c r="CL67" s="507">
        <f>CL46</f>
        <v>0</v>
      </c>
      <c r="CM67" s="505"/>
      <c r="CN67" s="505"/>
      <c r="CO67" s="505"/>
      <c r="CP67" s="505"/>
      <c r="CQ67" s="506"/>
      <c r="CT67" s="507">
        <f>CT46</f>
        <v>0</v>
      </c>
      <c r="CU67" s="505"/>
      <c r="CV67" s="505"/>
      <c r="CW67" s="505"/>
      <c r="CX67" s="505"/>
      <c r="CY67" s="506"/>
      <c r="DB67" s="507">
        <f>DB46</f>
        <v>0</v>
      </c>
      <c r="DC67" s="505"/>
      <c r="DD67" s="505"/>
      <c r="DE67" s="505"/>
      <c r="DF67" s="505"/>
      <c r="DG67" s="506"/>
    </row>
    <row r="68" spans="2:113">
      <c r="B68" s="84"/>
      <c r="C68" s="101">
        <f>C47</f>
        <v>2026</v>
      </c>
      <c r="D68" s="101">
        <f t="shared" ref="D68:F68" si="70">D47</f>
        <v>2027</v>
      </c>
      <c r="E68" s="101">
        <f t="shared" si="70"/>
        <v>2028</v>
      </c>
      <c r="F68" s="101">
        <f t="shared" si="70"/>
        <v>2029</v>
      </c>
      <c r="G68" s="102">
        <f>G47</f>
        <v>2030</v>
      </c>
      <c r="J68" s="84"/>
      <c r="K68" s="101">
        <f>K47</f>
        <v>2026</v>
      </c>
      <c r="L68" s="101">
        <f t="shared" ref="L68:N68" si="71">L47</f>
        <v>2027</v>
      </c>
      <c r="M68" s="101">
        <f t="shared" si="71"/>
        <v>2028</v>
      </c>
      <c r="N68" s="101">
        <f t="shared" si="71"/>
        <v>2029</v>
      </c>
      <c r="O68" s="102">
        <f>O47</f>
        <v>2030</v>
      </c>
      <c r="R68" s="84"/>
      <c r="S68" s="101">
        <f>S47</f>
        <v>2026</v>
      </c>
      <c r="T68" s="101">
        <f t="shared" ref="T68:V68" si="72">T47</f>
        <v>2027</v>
      </c>
      <c r="U68" s="101">
        <f t="shared" si="72"/>
        <v>2028</v>
      </c>
      <c r="V68" s="101">
        <f t="shared" si="72"/>
        <v>2029</v>
      </c>
      <c r="W68" s="102">
        <f>W47</f>
        <v>2030</v>
      </c>
      <c r="Z68" s="84"/>
      <c r="AA68" s="101">
        <f>AA47</f>
        <v>2026</v>
      </c>
      <c r="AB68" s="101">
        <f t="shared" ref="AB68:AD68" si="73">AB47</f>
        <v>2027</v>
      </c>
      <c r="AC68" s="101">
        <f t="shared" si="73"/>
        <v>2028</v>
      </c>
      <c r="AD68" s="101">
        <f t="shared" si="73"/>
        <v>2029</v>
      </c>
      <c r="AE68" s="102">
        <f>AE47</f>
        <v>2030</v>
      </c>
      <c r="AH68" s="84"/>
      <c r="AI68" s="101">
        <f>AI47</f>
        <v>2026</v>
      </c>
      <c r="AJ68" s="101">
        <f t="shared" ref="AJ68:AL68" si="74">AJ47</f>
        <v>2027</v>
      </c>
      <c r="AK68" s="101">
        <f t="shared" si="74"/>
        <v>2028</v>
      </c>
      <c r="AL68" s="101">
        <f t="shared" si="74"/>
        <v>2029</v>
      </c>
      <c r="AM68" s="102">
        <f>AM47</f>
        <v>2030</v>
      </c>
      <c r="AP68" s="84"/>
      <c r="AQ68" s="101">
        <f>AQ47</f>
        <v>2026</v>
      </c>
      <c r="AR68" s="101">
        <f t="shared" ref="AR68:AT68" si="75">AR47</f>
        <v>2027</v>
      </c>
      <c r="AS68" s="101">
        <f t="shared" si="75"/>
        <v>2028</v>
      </c>
      <c r="AT68" s="101">
        <f t="shared" si="75"/>
        <v>2029</v>
      </c>
      <c r="AU68" s="102">
        <f>AU47</f>
        <v>2030</v>
      </c>
      <c r="AX68" s="84"/>
      <c r="AY68" s="101">
        <f>AY47</f>
        <v>2026</v>
      </c>
      <c r="AZ68" s="101">
        <f t="shared" ref="AZ68:BB68" si="76">AZ47</f>
        <v>2027</v>
      </c>
      <c r="BA68" s="101">
        <f t="shared" si="76"/>
        <v>2028</v>
      </c>
      <c r="BB68" s="101">
        <f t="shared" si="76"/>
        <v>2029</v>
      </c>
      <c r="BC68" s="102">
        <f>BC47</f>
        <v>2030</v>
      </c>
      <c r="BF68" s="84"/>
      <c r="BG68" s="101">
        <f>BG47</f>
        <v>2026</v>
      </c>
      <c r="BH68" s="101">
        <f t="shared" ref="BH68:BJ68" si="77">BH47</f>
        <v>2027</v>
      </c>
      <c r="BI68" s="101">
        <f t="shared" si="77"/>
        <v>2028</v>
      </c>
      <c r="BJ68" s="101">
        <f t="shared" si="77"/>
        <v>2029</v>
      </c>
      <c r="BK68" s="102">
        <f>BK47</f>
        <v>2030</v>
      </c>
      <c r="BN68" s="84"/>
      <c r="BO68" s="101">
        <f>BO47</f>
        <v>2026</v>
      </c>
      <c r="BP68" s="101">
        <f t="shared" ref="BP68:BR68" si="78">BP47</f>
        <v>2027</v>
      </c>
      <c r="BQ68" s="101">
        <f t="shared" si="78"/>
        <v>2028</v>
      </c>
      <c r="BR68" s="101">
        <f t="shared" si="78"/>
        <v>2029</v>
      </c>
      <c r="BS68" s="102">
        <f>BS47</f>
        <v>2030</v>
      </c>
      <c r="BV68" s="84"/>
      <c r="BW68" s="101">
        <f>BW47</f>
        <v>2026</v>
      </c>
      <c r="BX68" s="101">
        <f t="shared" ref="BX68:BZ68" si="79">BX47</f>
        <v>2027</v>
      </c>
      <c r="BY68" s="101">
        <f t="shared" si="79"/>
        <v>2028</v>
      </c>
      <c r="BZ68" s="101">
        <f t="shared" si="79"/>
        <v>2029</v>
      </c>
      <c r="CA68" s="102">
        <f>CA47</f>
        <v>2030</v>
      </c>
      <c r="CD68" s="84"/>
      <c r="CE68" s="101">
        <f>CE47</f>
        <v>2026</v>
      </c>
      <c r="CF68" s="101">
        <f t="shared" ref="CF68:CH68" si="80">CF47</f>
        <v>2027</v>
      </c>
      <c r="CG68" s="101">
        <f t="shared" si="80"/>
        <v>2028</v>
      </c>
      <c r="CH68" s="101">
        <f t="shared" si="80"/>
        <v>2029</v>
      </c>
      <c r="CI68" s="102">
        <f>CI47</f>
        <v>2030</v>
      </c>
      <c r="CL68" s="84"/>
      <c r="CM68" s="101">
        <f>CM47</f>
        <v>2026</v>
      </c>
      <c r="CN68" s="101">
        <f t="shared" ref="CN68:CP68" si="81">CN47</f>
        <v>2027</v>
      </c>
      <c r="CO68" s="101">
        <f t="shared" si="81"/>
        <v>2028</v>
      </c>
      <c r="CP68" s="101">
        <f t="shared" si="81"/>
        <v>2029</v>
      </c>
      <c r="CQ68" s="102">
        <f>CQ47</f>
        <v>2030</v>
      </c>
      <c r="CT68" s="84"/>
      <c r="CU68" s="101">
        <f>CU47</f>
        <v>2026</v>
      </c>
      <c r="CV68" s="101">
        <f t="shared" ref="CV68:CX68" si="82">CV47</f>
        <v>2027</v>
      </c>
      <c r="CW68" s="101">
        <f t="shared" si="82"/>
        <v>2028</v>
      </c>
      <c r="CX68" s="101">
        <f t="shared" si="82"/>
        <v>2029</v>
      </c>
      <c r="CY68" s="102">
        <f>CY47</f>
        <v>2030</v>
      </c>
      <c r="DB68" s="84"/>
      <c r="DC68" s="101">
        <f>DC47</f>
        <v>2026</v>
      </c>
      <c r="DD68" s="101">
        <f t="shared" ref="DD68:DF68" si="83">DD47</f>
        <v>2027</v>
      </c>
      <c r="DE68" s="101">
        <f t="shared" si="83"/>
        <v>2028</v>
      </c>
      <c r="DF68" s="101">
        <f t="shared" si="83"/>
        <v>2029</v>
      </c>
      <c r="DG68" s="102">
        <f>DG47</f>
        <v>2030</v>
      </c>
    </row>
    <row r="69" spans="2:113" s="83" customFormat="1" ht="15" thickBot="1">
      <c r="B69" s="386"/>
      <c r="C69" s="388">
        <f ca="1">(C27*ci_int1)+(C27*ct_int1*'Time on treatment'!$D$12)</f>
        <v>0</v>
      </c>
      <c r="D69" s="388">
        <f ca="1">((D27-C27)*ci_int1)+(D27*ct_int1*'Time on treatment'!$D$12)</f>
        <v>0</v>
      </c>
      <c r="E69" s="388">
        <f ca="1">((E27-(D27-C27)-C27)*ci_int1)+(E27*ct_int1*'Time on treatment'!$D$12)</f>
        <v>0</v>
      </c>
      <c r="F69" s="388">
        <f ca="1">((F27-(E27-D27)-(D27-C27)-C27)*ci_int1)+(F27*ct_int1*'Time on treatment'!$D$12)</f>
        <v>0</v>
      </c>
      <c r="G69" s="389">
        <f ca="1">((G27-(F27-E27)-(E27-D27)-(D27-C27)-C27)*ci_int1)+(G27*ct_int1*'Time on treatment'!$D$12)</f>
        <v>0</v>
      </c>
      <c r="H69" s="77"/>
      <c r="I69" s="77"/>
      <c r="J69" s="386"/>
      <c r="K69" s="388">
        <f ca="1">(K27*ci_int2)+(K27*ct_int2*'Time on treatment'!$D$12)</f>
        <v>0</v>
      </c>
      <c r="L69" s="388">
        <f ca="1">((L27-K27)*ci_int2)+(L27*ct_int2*'Time on treatment'!$D$12)</f>
        <v>0</v>
      </c>
      <c r="M69" s="388">
        <f ca="1">((M27-(L27-K27)-K27)*ci_int2)+(M27*ct_int2*'Time on treatment'!$D$12)</f>
        <v>0</v>
      </c>
      <c r="N69" s="388">
        <f ca="1">((N27-(M27-L27)-(L27-K27)-K27)*ci_int2)+(N27*ct_int2*'Time on treatment'!$D$12)</f>
        <v>0</v>
      </c>
      <c r="O69" s="389">
        <f ca="1">((O27-(N27-M27)-(M27-L27)-(L27-K27)-K27)*ci_int2)+(O27*ct_int2*'Time on treatment'!$D$12)</f>
        <v>0</v>
      </c>
      <c r="P69" s="77"/>
      <c r="Q69" s="77"/>
      <c r="R69" s="386"/>
      <c r="S69" s="388">
        <f ca="1">(S27*ci_int3)+(S27*ct_int3*'Time on treatment'!$D$12)</f>
        <v>0</v>
      </c>
      <c r="T69" s="388">
        <f ca="1">((T27-S27)*ci_int3)+(T27*ct_int3*'Time on treatment'!$D$12)</f>
        <v>0</v>
      </c>
      <c r="U69" s="388">
        <f ca="1">((U27-(T27-S27)-S27)*ci_int3)+(U27*ct_int3*'Time on treatment'!$D$12)</f>
        <v>0</v>
      </c>
      <c r="V69" s="388">
        <f ca="1">((V27-(U27-T27)-(T27-S27)-S27)*ci_int3)+(V27*ct_int3*'Time on treatment'!$D$12)</f>
        <v>0</v>
      </c>
      <c r="W69" s="389">
        <f ca="1">((W27-(V27-U27)-(U27-T27)-(T27-S27)-S27)*ci_int3)+(W27*ct_int3*'Time on treatment'!$D$12)</f>
        <v>0</v>
      </c>
      <c r="X69" s="77"/>
      <c r="Y69" s="77"/>
      <c r="Z69" s="386"/>
      <c r="AA69" s="388">
        <f ca="1">(AA27*ci_int4)+(AA27*ct_int4*'Time on treatment'!$D$12)</f>
        <v>0</v>
      </c>
      <c r="AB69" s="388">
        <f ca="1">((AB27-AA27)*ci_int4)+(AB27*ct_int4*'Time on treatment'!$D$12)</f>
        <v>0</v>
      </c>
      <c r="AC69" s="388">
        <f ca="1">((AC27-(AB27-AA27)-AA27)*ci_int4)+(AC27*ct_int4*'Time on treatment'!$D$12)</f>
        <v>0</v>
      </c>
      <c r="AD69" s="388">
        <f ca="1">((AD27-(AC27-AB27)-(AB27-AA27)-AA27)*ci_int4)+(AD27*ct_int4*'Time on treatment'!$D$12)</f>
        <v>0</v>
      </c>
      <c r="AE69" s="389">
        <f ca="1">((AE27-(AD27-AC27)-(AC27-AB27)-(AB27-AA27)-AA27)*ci_int4)+(AE27*ct_int4*'Time on treatment'!$D$12)</f>
        <v>0</v>
      </c>
      <c r="AF69" s="77"/>
      <c r="AG69" s="77"/>
      <c r="AH69" s="386"/>
      <c r="AI69" s="388">
        <f ca="1">(AI27*ci_comp1)+(AI27*ct_comp1*'Time on treatment'!$D$12)</f>
        <v>0</v>
      </c>
      <c r="AJ69" s="388">
        <f ca="1">((AJ27-AI27)*ci_comp1)+(AJ27*ct_comp1*'Time on treatment'!$D$12)</f>
        <v>0</v>
      </c>
      <c r="AK69" s="388">
        <f ca="1">((AK27-(AJ27-AI27)-AI27)*ci_comp1)+(AK27*ct_comp1*'Time on treatment'!$D$12)</f>
        <v>0</v>
      </c>
      <c r="AL69" s="388">
        <f ca="1">((AL27-(AK27-AJ27)-(AJ27-AI27)-AI27)*ci_comp1)+(AL27*ct_comp1*'Time on treatment'!$D$12)</f>
        <v>0</v>
      </c>
      <c r="AM69" s="389">
        <f ca="1">((AM27-(AL27-AK27)-(AK27-AJ27)-(AJ27-AI27)-AI27)*ci_comp1)+(AM27*ct_comp1*'Time on treatment'!$D$12)</f>
        <v>0</v>
      </c>
      <c r="AN69" s="77"/>
      <c r="AO69" s="77"/>
      <c r="AP69" s="386"/>
      <c r="AQ69" s="388">
        <f ca="1">(AQ27*ci_comp2)+(AQ27*ct_comp2*'Time on treatment'!$D$12)</f>
        <v>0</v>
      </c>
      <c r="AR69" s="388">
        <f ca="1">((AR27-AQ27)*ci_comp2)+(AR27*ct_comp2*'Time on treatment'!$D$12)</f>
        <v>0</v>
      </c>
      <c r="AS69" s="388">
        <f ca="1">((AS27-(AR27-AQ27)-AQ27)*ci_comp2)+(AS27*ct_comp2*'Time on treatment'!$D$12)</f>
        <v>0</v>
      </c>
      <c r="AT69" s="388">
        <f ca="1">((AT27-(AS27-AR27)-(AR27-AQ27)-AQ27)*ci_comp2)+(AT27*ct_comp2*'Time on treatment'!$D$12)</f>
        <v>0</v>
      </c>
      <c r="AU69" s="389">
        <f ca="1">((AU27-(AT27-AS27)-(AS27-AR27)-(AR27-AQ27)-AQ27)*ci_comp2)+(AU27*ct_comp2*'Time on treatment'!$D$12)</f>
        <v>0</v>
      </c>
      <c r="AV69" s="77"/>
      <c r="AW69" s="77"/>
      <c r="AX69" s="386"/>
      <c r="AY69" s="388">
        <f ca="1">(AY27*ci_comp3)+(AY27*ct_comp3*'Time on treatment'!$D$12)</f>
        <v>0</v>
      </c>
      <c r="AZ69" s="388">
        <f ca="1">((AZ27-AY27)*ci_comp3)+(AZ27*ct_comp3*'Time on treatment'!$D$12)</f>
        <v>0</v>
      </c>
      <c r="BA69" s="388">
        <f ca="1">((BA27-(AZ27-AY27)-AY27)*ci_comp3)+(BA27*ct_comp3*'Time on treatment'!$D$12)</f>
        <v>0</v>
      </c>
      <c r="BB69" s="388">
        <f ca="1">((BB27-(BA27-AZ27)-(AZ27-AY27)-AY27)*ci_comp3)+(BB27*ct_comp3*'Time on treatment'!$D$12)</f>
        <v>0</v>
      </c>
      <c r="BC69" s="389">
        <f ca="1">((BC27-(BB27-BA27)-(BA27-AZ27)-(AZ27-AY27)-AY27)*ci_comp3)+(BC27*ct_comp3*'Time on treatment'!$D$12)</f>
        <v>0</v>
      </c>
      <c r="BD69" s="77"/>
      <c r="BE69" s="77"/>
      <c r="BF69" s="386"/>
      <c r="BG69" s="388">
        <f ca="1">(BG27*ci_comp4)+(BG27*ct_comp4*'Time on treatment'!$D$12)</f>
        <v>0</v>
      </c>
      <c r="BH69" s="388">
        <f ca="1">((BH27-BG27)*ci_comp4)+(BH27*ct_comp4*'Time on treatment'!$D$12)</f>
        <v>0</v>
      </c>
      <c r="BI69" s="388">
        <f ca="1">((BI27-(BH27-BG27)-BG27)*ci_comp4)+(BI27*ct_comp4*'Time on treatment'!$D$12)</f>
        <v>0</v>
      </c>
      <c r="BJ69" s="388">
        <f ca="1">((BJ27-(BI27-BH27)-(BH27-BG27)-BG27)*ci_comp4)+(BJ27*ct_comp4*'Time on treatment'!$D$12)</f>
        <v>0</v>
      </c>
      <c r="BK69" s="389">
        <f ca="1">((BK27-(BJ27-BI27)-(BI27-BH27)-(BH27-BG27)-BG27)*ci_comp4)+(BK27*ct_comp4*'Time on treatment'!$D$12)</f>
        <v>0</v>
      </c>
      <c r="BL69" s="77"/>
      <c r="BM69" s="77"/>
      <c r="BN69" s="386"/>
      <c r="BO69" s="388">
        <f ca="1">(BO27*ci_comp5)+(BO27*ct_comp5*'Time on treatment'!$D$12)</f>
        <v>0</v>
      </c>
      <c r="BP69" s="388">
        <f ca="1">((BP27-BO27)*ci_comp5)+(BP27*ct_comp5*'Time on treatment'!$D$12)</f>
        <v>0</v>
      </c>
      <c r="BQ69" s="388">
        <f ca="1">((BQ27-(BP27-BO27)-BO27)*ci_comp5)+(BQ27*ct_comp5*'Time on treatment'!$D$12)</f>
        <v>0</v>
      </c>
      <c r="BR69" s="388">
        <f ca="1">((BR27-(BQ27-BP27)-(BP27-BO27)-BO27)*ci_comp5)+(BR27*ct_comp5*'Time on treatment'!$D$12)</f>
        <v>0</v>
      </c>
      <c r="BS69" s="389">
        <f ca="1">((BS27-(BR27-BQ27)-(BQ27-BP27)-(BP27-BO27)-BO27)*ci_comp5)+(BS27*ct_comp5*'Time on treatment'!$D$12)</f>
        <v>0</v>
      </c>
      <c r="BT69" s="77"/>
      <c r="BU69" s="77"/>
      <c r="BV69" s="386"/>
      <c r="BW69" s="388">
        <f ca="1">(BW27*ci_comp6)+(BW27*ct_comp6*'Time on treatment'!$D$12)</f>
        <v>0</v>
      </c>
      <c r="BX69" s="388">
        <f ca="1">((BX27-BW27)*ci_comp6)+(BX27*ct_comp6*'Time on treatment'!$D$12)</f>
        <v>0</v>
      </c>
      <c r="BY69" s="388">
        <f ca="1">((BY27-(BX27-BW27)-BW27)*ci_comp6)+(BY27*ct_comp6*'Time on treatment'!$D$12)</f>
        <v>0</v>
      </c>
      <c r="BZ69" s="388">
        <f ca="1">((BZ27-(BY27-BX27)-(BX27-BW27)-BW27)*ci_comp6)+(BZ27*ct_comp6*'Time on treatment'!$D$12)</f>
        <v>0</v>
      </c>
      <c r="CA69" s="389">
        <f ca="1">((CA27-(BZ27-BY27)-(BY27-BX27)-(BX27-BW27)-BW27)*ci_comp6)+(CA27*ct_comp6*'Time on treatment'!$D$12)</f>
        <v>0</v>
      </c>
      <c r="CB69" s="77"/>
      <c r="CC69" s="77"/>
      <c r="CD69" s="386"/>
      <c r="CE69" s="388">
        <f ca="1">(CE27*ci_comp7)+(CE27*ct_comp7*'Time on treatment'!$D$12)</f>
        <v>0</v>
      </c>
      <c r="CF69" s="388">
        <f ca="1">((CF27-CE27)*ci_comp7)+(CF27*ct_comp7*'Time on treatment'!$D$12)</f>
        <v>0</v>
      </c>
      <c r="CG69" s="388">
        <f ca="1">((CG27-(CF27-CE27)-CE27)*ci_comp7)+(CG27*ct_comp7*'Time on treatment'!$D$12)</f>
        <v>0</v>
      </c>
      <c r="CH69" s="388">
        <f ca="1">((CH27-(CG27-CF27)-(CF27-CE27)-CE27)*ci_comp7)+(CH27*ct_comp7*'Time on treatment'!$D$12)</f>
        <v>0</v>
      </c>
      <c r="CI69" s="389">
        <f ca="1">((CI27-(CH27-CG27)-(CG27-CF27)-(CF27-CE27)-CE27)*ci_comp7)+(CI27*ct_comp7*'Time on treatment'!$D$12)</f>
        <v>0</v>
      </c>
      <c r="CJ69" s="77"/>
      <c r="CK69" s="77"/>
      <c r="CL69" s="386"/>
      <c r="CM69" s="388">
        <f ca="1">(CM27*ci_comp8)+(CM27*ct_comp8*'Time on treatment'!$D$12)</f>
        <v>0</v>
      </c>
      <c r="CN69" s="388">
        <f ca="1">((CN27-CM27)*ci_comp8)+(CN27*ct_comp8*'Time on treatment'!$D$12)</f>
        <v>0</v>
      </c>
      <c r="CO69" s="388">
        <f ca="1">((CO27-(CN27-CM27)-CM27)*ci_comp8)+(CO27*ct_comp8*'Time on treatment'!$D$12)</f>
        <v>0</v>
      </c>
      <c r="CP69" s="388">
        <f ca="1">((CP27-(CO27-CN27)-(CN27-CM27)-CM27)*ci_comp8)+(CP27*ct_comp8*'Time on treatment'!$D$12)</f>
        <v>0</v>
      </c>
      <c r="CQ69" s="389">
        <f ca="1">((CQ27-(CP27-CO27)-(CO27-CN27)-(CN27-CM27)-CM27)*ci_comp8)+(CQ27*ct_comp8*'Time on treatment'!$D$12)</f>
        <v>0</v>
      </c>
      <c r="CR69" s="77"/>
      <c r="CS69" s="77"/>
      <c r="CT69" s="386"/>
      <c r="CU69" s="388">
        <f ca="1">(CU27*ci_comp9)+(CU27*ct_comp9*'Time on treatment'!$D$12)</f>
        <v>0</v>
      </c>
      <c r="CV69" s="388">
        <f ca="1">((CV27-CU27)*ci_comp9)+(CV27*ct_comp9*'Time on treatment'!$D$12)</f>
        <v>0</v>
      </c>
      <c r="CW69" s="388">
        <f ca="1">((CW27-(CV27-CU27)-CU27)*ci_comp9)+(CW27*ct_comp9*'Time on treatment'!$D$12)</f>
        <v>0</v>
      </c>
      <c r="CX69" s="388">
        <f ca="1">((CX27-(CW27-CV27)-(CV27-CU27)-CU27)*ci_comp9)+(CX27*ct_comp9*'Time on treatment'!$D$12)</f>
        <v>0</v>
      </c>
      <c r="CY69" s="389">
        <f ca="1">((CY27-(CX27-CW27)-(CW27-CV27)-(CV27-CU27)-CU27)*ci_comp9)+(CY27*ct_comp9*'Time on treatment'!$D$12)</f>
        <v>0</v>
      </c>
      <c r="CZ69" s="77"/>
      <c r="DA69" s="77"/>
      <c r="DB69" s="386"/>
      <c r="DC69" s="388">
        <f ca="1">(DC27*ci_comp10)+(DC27*ct_comp10*'Time on treatment'!$D$12)</f>
        <v>0</v>
      </c>
      <c r="DD69" s="388">
        <f ca="1">((DD27-DC27)*ci_comp10)+(DD27*ct_comp10*'Time on treatment'!$D$12)</f>
        <v>0</v>
      </c>
      <c r="DE69" s="388">
        <f ca="1">((DE27-(DD27-DC27)-DC27)*ci_comp10)+(DE27*ct_comp10*'Time on treatment'!$D$12)</f>
        <v>0</v>
      </c>
      <c r="DF69" s="388">
        <f ca="1">((DF27-(DE27-DD27)-(DD27-DC27)-DC27)*ci_comp10)+(DF27*ct_comp10*'Time on treatment'!$D$12)</f>
        <v>0</v>
      </c>
      <c r="DG69" s="389">
        <f ca="1">((DG27-(DF27-DE27)-(DE27-DD27)-(DD27-DC27)-DC27)*ci_comp10)+(DG27*ct_comp10*'Time on treatment'!$D$12)</f>
        <v>0</v>
      </c>
      <c r="DH69" s="77"/>
      <c r="DI69" s="77"/>
    </row>
    <row r="70" spans="2:113">
      <c r="B70" s="80"/>
      <c r="C70" s="109"/>
      <c r="D70" s="109"/>
      <c r="E70" s="109"/>
      <c r="F70" s="109"/>
      <c r="G70" s="109"/>
      <c r="J70" s="80"/>
      <c r="K70" s="109"/>
      <c r="L70" s="109"/>
      <c r="M70" s="109"/>
      <c r="N70" s="109"/>
      <c r="O70" s="109"/>
      <c r="R70" s="80"/>
      <c r="S70" s="109"/>
      <c r="T70" s="109"/>
      <c r="U70" s="109"/>
      <c r="V70" s="109"/>
      <c r="W70" s="109"/>
      <c r="Z70" s="80"/>
      <c r="AA70" s="109"/>
      <c r="AB70" s="109"/>
      <c r="AC70" s="109"/>
      <c r="AD70" s="109"/>
      <c r="AE70" s="109"/>
      <c r="AH70" s="80"/>
      <c r="AI70" s="109"/>
      <c r="AJ70" s="109"/>
      <c r="AK70" s="109"/>
      <c r="AL70" s="109"/>
      <c r="AM70" s="109"/>
      <c r="AP70" s="80"/>
      <c r="AQ70" s="109"/>
      <c r="AR70" s="109"/>
      <c r="AS70" s="109"/>
      <c r="AT70" s="109"/>
      <c r="AU70" s="109"/>
      <c r="AX70" s="80"/>
      <c r="AY70" s="109"/>
      <c r="AZ70" s="109"/>
      <c r="BA70" s="109"/>
      <c r="BB70" s="109"/>
      <c r="BC70" s="109"/>
      <c r="BF70" s="80"/>
      <c r="BG70" s="109"/>
      <c r="BH70" s="109"/>
      <c r="BI70" s="109"/>
      <c r="BJ70" s="109"/>
      <c r="BK70" s="109"/>
      <c r="BN70" s="80"/>
      <c r="BO70" s="109"/>
      <c r="BP70" s="109"/>
      <c r="BQ70" s="109"/>
      <c r="BR70" s="109"/>
      <c r="BS70" s="109"/>
      <c r="BV70" s="80"/>
      <c r="BW70" s="109"/>
      <c r="BX70" s="109"/>
      <c r="BY70" s="109"/>
      <c r="BZ70" s="109"/>
      <c r="CA70" s="109"/>
      <c r="CD70" s="80"/>
      <c r="CE70" s="109"/>
      <c r="CF70" s="109"/>
      <c r="CG70" s="109"/>
      <c r="CH70" s="109"/>
      <c r="CI70" s="109"/>
      <c r="CL70" s="80"/>
      <c r="CM70" s="109"/>
      <c r="CN70" s="109"/>
      <c r="CO70" s="109"/>
      <c r="CP70" s="109"/>
      <c r="CQ70" s="109"/>
      <c r="CT70" s="80"/>
      <c r="CU70" s="109"/>
      <c r="CV70" s="109"/>
      <c r="CW70" s="109"/>
      <c r="CX70" s="109"/>
      <c r="CY70" s="109"/>
      <c r="DB70" s="80"/>
      <c r="DC70" s="109"/>
      <c r="DD70" s="109"/>
      <c r="DE70" s="109"/>
      <c r="DF70" s="109"/>
      <c r="DG70" s="109"/>
    </row>
    <row r="73" spans="2:113" s="3" customFormat="1" ht="13.95" customHeight="1">
      <c r="B73" s="7"/>
      <c r="C73" s="7"/>
      <c r="D73" s="7"/>
      <c r="E73" s="7"/>
      <c r="F73" s="7"/>
      <c r="G73" s="7"/>
      <c r="H73" s="7"/>
      <c r="I73" s="7"/>
      <c r="J73" s="7"/>
      <c r="K73" s="7"/>
      <c r="L73" s="142"/>
      <c r="M73" s="142"/>
      <c r="N73" s="9"/>
      <c r="O73" s="9"/>
      <c r="P73" s="9"/>
      <c r="Q73" s="9"/>
      <c r="R73" s="9"/>
      <c r="S73" s="9"/>
      <c r="T73" s="9"/>
      <c r="U73" s="9"/>
      <c r="V73" s="9"/>
      <c r="W73" s="9"/>
      <c r="X73" s="9"/>
    </row>
    <row r="74" spans="2:113" s="3" customFormat="1">
      <c r="B74" s="65"/>
      <c r="C74" s="65"/>
      <c r="D74" s="65"/>
      <c r="E74" s="65"/>
      <c r="F74" s="65"/>
      <c r="G74" s="65"/>
      <c r="H74" s="65"/>
      <c r="I74" s="65"/>
      <c r="J74" s="65"/>
      <c r="K74" s="65"/>
      <c r="L74" s="65"/>
      <c r="M74" s="65"/>
    </row>
    <row r="75" spans="2:113" s="3" customFormat="1">
      <c r="B75" s="406" t="s">
        <v>77</v>
      </c>
      <c r="C75" s="406"/>
      <c r="D75" s="406"/>
      <c r="E75" s="406"/>
      <c r="F75" s="406"/>
      <c r="G75" s="406"/>
      <c r="H75" s="406"/>
      <c r="I75" s="406"/>
      <c r="J75" s="406"/>
      <c r="K75" s="406"/>
      <c r="L75" s="406"/>
      <c r="M75" s="406"/>
    </row>
    <row r="76" spans="2:113" s="3" customFormat="1">
      <c r="B76" s="406"/>
      <c r="C76" s="406"/>
      <c r="D76" s="406"/>
      <c r="E76" s="406"/>
      <c r="F76" s="406"/>
      <c r="G76" s="406"/>
      <c r="H76" s="406"/>
      <c r="I76" s="406"/>
      <c r="J76" s="406"/>
      <c r="K76" s="406"/>
      <c r="L76" s="406"/>
      <c r="M76" s="406"/>
    </row>
    <row r="77" spans="2:113" s="1" customFormat="1" ht="85.95" customHeight="1">
      <c r="B77" s="405" t="e" vm="1">
        <v>#VALUE!</v>
      </c>
      <c r="C77" s="405"/>
      <c r="D77" s="405"/>
      <c r="E77" s="405"/>
      <c r="F77" s="405"/>
      <c r="G77" s="405"/>
      <c r="H77" s="405"/>
      <c r="I77" s="405"/>
      <c r="J77" s="405"/>
      <c r="K77" s="405"/>
      <c r="L77" s="405"/>
      <c r="M77" s="405"/>
    </row>
  </sheetData>
  <sheetProtection algorithmName="SHA-512" hashValue="j5qWRHJk3PbBdQUb1mvKmwBmKsKMkdP/RjF2yNMd65XN8DuB4pn408WNrQGp+G6+h+wqJUtdLR9Tqyw0oDnQlg==" saltValue="rUPQNzAKSpwPBOh4tur9Xg==" spinCount="100000" sheet="1" formatColumns="0"/>
  <mergeCells count="276">
    <mergeCell ref="B75:M76"/>
    <mergeCell ref="B77:M77"/>
    <mergeCell ref="BN67:BS67"/>
    <mergeCell ref="BV67:CA67"/>
    <mergeCell ref="CD67:CI67"/>
    <mergeCell ref="CL67:CQ67"/>
    <mergeCell ref="CT67:CY67"/>
    <mergeCell ref="DB67:DG67"/>
    <mergeCell ref="CT63:CY63"/>
    <mergeCell ref="DB63:DG63"/>
    <mergeCell ref="B67:G67"/>
    <mergeCell ref="J67:O67"/>
    <mergeCell ref="R67:W67"/>
    <mergeCell ref="Z67:AE67"/>
    <mergeCell ref="AH67:AM67"/>
    <mergeCell ref="AP67:AU67"/>
    <mergeCell ref="AX67:BC67"/>
    <mergeCell ref="BF67:BK67"/>
    <mergeCell ref="AX63:BC63"/>
    <mergeCell ref="BF63:BK63"/>
    <mergeCell ref="BN63:BS63"/>
    <mergeCell ref="BV63:CA63"/>
    <mergeCell ref="CD63:CI63"/>
    <mergeCell ref="CL63:CQ63"/>
    <mergeCell ref="B63:G63"/>
    <mergeCell ref="J63:O63"/>
    <mergeCell ref="R63:W63"/>
    <mergeCell ref="Z63:AE63"/>
    <mergeCell ref="AH63:AM63"/>
    <mergeCell ref="AP63:AU63"/>
    <mergeCell ref="BN59:BS59"/>
    <mergeCell ref="BV59:CA59"/>
    <mergeCell ref="CD59:CI59"/>
    <mergeCell ref="CL59:CQ59"/>
    <mergeCell ref="CT59:CY59"/>
    <mergeCell ref="DB59:DG59"/>
    <mergeCell ref="CT55:CY55"/>
    <mergeCell ref="DB55:DG55"/>
    <mergeCell ref="B59:G59"/>
    <mergeCell ref="J59:O59"/>
    <mergeCell ref="R59:W59"/>
    <mergeCell ref="Z59:AE59"/>
    <mergeCell ref="AH59:AM59"/>
    <mergeCell ref="AP59:AU59"/>
    <mergeCell ref="AX59:BC59"/>
    <mergeCell ref="BF59:BK59"/>
    <mergeCell ref="AX55:BC55"/>
    <mergeCell ref="BF55:BK55"/>
    <mergeCell ref="BN55:BS55"/>
    <mergeCell ref="BV55:CA55"/>
    <mergeCell ref="CD55:CI55"/>
    <mergeCell ref="CL55:CQ55"/>
    <mergeCell ref="B55:G55"/>
    <mergeCell ref="J55:O55"/>
    <mergeCell ref="R55:W55"/>
    <mergeCell ref="Z55:AE55"/>
    <mergeCell ref="AH55:AM55"/>
    <mergeCell ref="AP55:AU55"/>
    <mergeCell ref="BN53:BS53"/>
    <mergeCell ref="BV53:CA53"/>
    <mergeCell ref="CD53:CI53"/>
    <mergeCell ref="CL53:CQ53"/>
    <mergeCell ref="CT53:CY53"/>
    <mergeCell ref="DB53:DG53"/>
    <mergeCell ref="CT52:CZ52"/>
    <mergeCell ref="DB52:DH52"/>
    <mergeCell ref="BN52:BT52"/>
    <mergeCell ref="BV52:CB52"/>
    <mergeCell ref="CD52:CJ52"/>
    <mergeCell ref="CL52:CR52"/>
    <mergeCell ref="B53:G53"/>
    <mergeCell ref="J53:O53"/>
    <mergeCell ref="R53:W53"/>
    <mergeCell ref="Z53:AE53"/>
    <mergeCell ref="AH53:AM53"/>
    <mergeCell ref="AP53:AU53"/>
    <mergeCell ref="AX53:BC53"/>
    <mergeCell ref="BF53:BK53"/>
    <mergeCell ref="AX52:BD52"/>
    <mergeCell ref="BF52:BL52"/>
    <mergeCell ref="B52:H52"/>
    <mergeCell ref="J52:P52"/>
    <mergeCell ref="R52:X52"/>
    <mergeCell ref="Z52:AF52"/>
    <mergeCell ref="AH52:AN52"/>
    <mergeCell ref="AP52:AV52"/>
    <mergeCell ref="BN46:BS46"/>
    <mergeCell ref="BV46:CA46"/>
    <mergeCell ref="CD46:CI46"/>
    <mergeCell ref="CL46:CQ46"/>
    <mergeCell ref="CT46:CY46"/>
    <mergeCell ref="DB46:DG46"/>
    <mergeCell ref="CT42:CY42"/>
    <mergeCell ref="DB42:DG42"/>
    <mergeCell ref="B46:G46"/>
    <mergeCell ref="J46:O46"/>
    <mergeCell ref="R46:W46"/>
    <mergeCell ref="Z46:AE46"/>
    <mergeCell ref="AH46:AM46"/>
    <mergeCell ref="AP46:AU46"/>
    <mergeCell ref="AX46:BC46"/>
    <mergeCell ref="BF46:BK46"/>
    <mergeCell ref="AX42:BC42"/>
    <mergeCell ref="BF42:BK42"/>
    <mergeCell ref="BN42:BS42"/>
    <mergeCell ref="BV42:CA42"/>
    <mergeCell ref="CD42:CI42"/>
    <mergeCell ref="CL42:CQ42"/>
    <mergeCell ref="B42:G42"/>
    <mergeCell ref="J42:O42"/>
    <mergeCell ref="R42:W42"/>
    <mergeCell ref="Z42:AE42"/>
    <mergeCell ref="AH42:AM42"/>
    <mergeCell ref="AP42:AU42"/>
    <mergeCell ref="BN38:BS38"/>
    <mergeCell ref="BV38:CA38"/>
    <mergeCell ref="CD38:CI38"/>
    <mergeCell ref="CL38:CQ38"/>
    <mergeCell ref="CT38:CY38"/>
    <mergeCell ref="DB38:DG38"/>
    <mergeCell ref="CT34:CY34"/>
    <mergeCell ref="DB34:DG34"/>
    <mergeCell ref="B38:G38"/>
    <mergeCell ref="J38:O38"/>
    <mergeCell ref="R38:W38"/>
    <mergeCell ref="Z38:AE38"/>
    <mergeCell ref="AH38:AM38"/>
    <mergeCell ref="AP38:AU38"/>
    <mergeCell ref="AX38:BC38"/>
    <mergeCell ref="BF38:BK38"/>
    <mergeCell ref="AX34:BC34"/>
    <mergeCell ref="BF34:BK34"/>
    <mergeCell ref="BN34:BS34"/>
    <mergeCell ref="BV34:CA34"/>
    <mergeCell ref="CD34:CI34"/>
    <mergeCell ref="CL34:CQ34"/>
    <mergeCell ref="B34:G34"/>
    <mergeCell ref="J34:O34"/>
    <mergeCell ref="R34:W34"/>
    <mergeCell ref="Z34:AE34"/>
    <mergeCell ref="AH34:AM34"/>
    <mergeCell ref="AP34:AU34"/>
    <mergeCell ref="BN32:BS32"/>
    <mergeCell ref="BV32:CA32"/>
    <mergeCell ref="CD32:CI32"/>
    <mergeCell ref="CL32:CQ32"/>
    <mergeCell ref="CT32:CY32"/>
    <mergeCell ref="DB32:DG32"/>
    <mergeCell ref="CT31:CZ31"/>
    <mergeCell ref="DB31:DH31"/>
    <mergeCell ref="B32:G32"/>
    <mergeCell ref="J32:O32"/>
    <mergeCell ref="R32:W32"/>
    <mergeCell ref="Z32:AE32"/>
    <mergeCell ref="AH32:AM32"/>
    <mergeCell ref="AP32:AU32"/>
    <mergeCell ref="AX32:BC32"/>
    <mergeCell ref="BF32:BK32"/>
    <mergeCell ref="AX31:BD31"/>
    <mergeCell ref="BF31:BL31"/>
    <mergeCell ref="BN31:BT31"/>
    <mergeCell ref="BV31:CB31"/>
    <mergeCell ref="CD31:CJ31"/>
    <mergeCell ref="CL31:CR31"/>
    <mergeCell ref="B31:H31"/>
    <mergeCell ref="J31:P31"/>
    <mergeCell ref="R31:X31"/>
    <mergeCell ref="Z31:AF31"/>
    <mergeCell ref="AH31:AN31"/>
    <mergeCell ref="AP31:AV31"/>
    <mergeCell ref="BN25:BS25"/>
    <mergeCell ref="BV25:CA25"/>
    <mergeCell ref="CD25:CI25"/>
    <mergeCell ref="CL25:CQ25"/>
    <mergeCell ref="CT25:CY25"/>
    <mergeCell ref="DB25:DG25"/>
    <mergeCell ref="CT21:CY21"/>
    <mergeCell ref="DB21:DG21"/>
    <mergeCell ref="B25:G25"/>
    <mergeCell ref="J25:O25"/>
    <mergeCell ref="R25:W25"/>
    <mergeCell ref="Z25:AE25"/>
    <mergeCell ref="AH25:AM25"/>
    <mergeCell ref="AP25:AU25"/>
    <mergeCell ref="AX25:BC25"/>
    <mergeCell ref="BF25:BK25"/>
    <mergeCell ref="AX21:BC21"/>
    <mergeCell ref="BF21:BK21"/>
    <mergeCell ref="BN21:BS21"/>
    <mergeCell ref="BV21:CA21"/>
    <mergeCell ref="CD21:CI21"/>
    <mergeCell ref="CL21:CQ21"/>
    <mergeCell ref="B21:G21"/>
    <mergeCell ref="J21:O21"/>
    <mergeCell ref="R21:W21"/>
    <mergeCell ref="Z21:AE21"/>
    <mergeCell ref="AH21:AM21"/>
    <mergeCell ref="AP21:AU21"/>
    <mergeCell ref="BN17:BS17"/>
    <mergeCell ref="BV17:CA17"/>
    <mergeCell ref="CD17:CI17"/>
    <mergeCell ref="CL17:CQ17"/>
    <mergeCell ref="CT17:CY17"/>
    <mergeCell ref="DB17:DG17"/>
    <mergeCell ref="CT13:CY13"/>
    <mergeCell ref="DB13:DG13"/>
    <mergeCell ref="B17:G17"/>
    <mergeCell ref="J17:O17"/>
    <mergeCell ref="R17:W17"/>
    <mergeCell ref="Z17:AE17"/>
    <mergeCell ref="AH17:AM17"/>
    <mergeCell ref="AP17:AU17"/>
    <mergeCell ref="AX17:BC17"/>
    <mergeCell ref="BF17:BK17"/>
    <mergeCell ref="AX13:BC13"/>
    <mergeCell ref="BF13:BK13"/>
    <mergeCell ref="BN13:BS13"/>
    <mergeCell ref="BV13:CA13"/>
    <mergeCell ref="CD13:CI13"/>
    <mergeCell ref="CL13:CQ13"/>
    <mergeCell ref="B13:G13"/>
    <mergeCell ref="J13:O13"/>
    <mergeCell ref="R13:W13"/>
    <mergeCell ref="Z13:AE13"/>
    <mergeCell ref="AH13:AM13"/>
    <mergeCell ref="AP13:AU13"/>
    <mergeCell ref="BN11:BS11"/>
    <mergeCell ref="BV11:CA11"/>
    <mergeCell ref="CD11:CI11"/>
    <mergeCell ref="CL11:CQ11"/>
    <mergeCell ref="CT11:CY11"/>
    <mergeCell ref="DB11:DG11"/>
    <mergeCell ref="CT10:CZ10"/>
    <mergeCell ref="DB10:DH10"/>
    <mergeCell ref="B11:G11"/>
    <mergeCell ref="J11:O11"/>
    <mergeCell ref="R11:W11"/>
    <mergeCell ref="Z11:AE11"/>
    <mergeCell ref="AH11:AM11"/>
    <mergeCell ref="AP11:AU11"/>
    <mergeCell ref="AX11:BC11"/>
    <mergeCell ref="BF11:BK11"/>
    <mergeCell ref="AX10:BD10"/>
    <mergeCell ref="BF10:BL10"/>
    <mergeCell ref="BN10:BT10"/>
    <mergeCell ref="BV10:CB10"/>
    <mergeCell ref="CD10:CJ10"/>
    <mergeCell ref="CL10:CR10"/>
    <mergeCell ref="B10:H10"/>
    <mergeCell ref="J10:P10"/>
    <mergeCell ref="R10:X10"/>
    <mergeCell ref="Z10:AF10"/>
    <mergeCell ref="AH10:AN10"/>
    <mergeCell ref="AP10:AV10"/>
    <mergeCell ref="BN5:BT5"/>
    <mergeCell ref="BV5:CB5"/>
    <mergeCell ref="CD5:CJ5"/>
    <mergeCell ref="CL5:CR5"/>
    <mergeCell ref="CT5:CZ5"/>
    <mergeCell ref="DB5:DH5"/>
    <mergeCell ref="CT4:CZ4"/>
    <mergeCell ref="DB4:DH4"/>
    <mergeCell ref="B5:H5"/>
    <mergeCell ref="J5:P5"/>
    <mergeCell ref="R5:X5"/>
    <mergeCell ref="Z5:AF5"/>
    <mergeCell ref="AH5:AN5"/>
    <mergeCell ref="AP5:AV5"/>
    <mergeCell ref="AX5:BD5"/>
    <mergeCell ref="BF5:BL5"/>
    <mergeCell ref="AX4:BD4"/>
    <mergeCell ref="BF4:BL4"/>
    <mergeCell ref="BN4:BT4"/>
    <mergeCell ref="BV4:CB4"/>
    <mergeCell ref="CD4:CJ4"/>
    <mergeCell ref="CL4:CR4"/>
  </mergeCells>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51F63-9093-499D-A042-AFE3C1FF35D7}">
  <sheetPr codeName="Planilha16">
    <tabColor rgb="FF0EB1BA"/>
  </sheetPr>
  <dimension ref="B1:Z89"/>
  <sheetViews>
    <sheetView showGridLines="0" showRowColHeaders="0" zoomScaleNormal="100" workbookViewId="0">
      <selection activeCell="N22" sqref="N22"/>
    </sheetView>
  </sheetViews>
  <sheetFormatPr defaultColWidth="8.77734375" defaultRowHeight="14.4"/>
  <cols>
    <col min="1" max="1" width="6.33203125" style="3" customWidth="1"/>
    <col min="2" max="2" width="29.77734375" style="3" customWidth="1"/>
    <col min="3" max="3" width="17.77734375" style="3" customWidth="1"/>
    <col min="4" max="4" width="20.44140625" style="3" customWidth="1"/>
    <col min="5" max="5" width="22.6640625" style="3" customWidth="1"/>
    <col min="6" max="6" width="22" style="3" customWidth="1"/>
    <col min="7" max="7" width="19.77734375" style="3" customWidth="1"/>
    <col min="8" max="8" width="10.44140625" style="3" customWidth="1"/>
    <col min="9" max="9" width="4.109375" style="3" customWidth="1"/>
    <col min="10" max="10" width="26.109375" style="3" customWidth="1"/>
    <col min="11" max="11" width="22.33203125" style="3" customWidth="1"/>
    <col min="12" max="12" width="25.44140625" style="3" customWidth="1"/>
    <col min="13" max="13" width="24.6640625" style="3" customWidth="1"/>
    <col min="14" max="14" width="26.44140625" style="3" customWidth="1"/>
    <col min="15" max="15" width="24.33203125" style="3" customWidth="1"/>
    <col min="16" max="16384" width="8.77734375" style="3"/>
  </cols>
  <sheetData>
    <row r="1" spans="2:26" s="33" customFormat="1" ht="33.6">
      <c r="B1" s="34" t="str">
        <f>Introduction!$B$1</f>
        <v>Budget impact analysis of Intrauterine device levonorgestrel for treatment of Leiomioma presenting with heavy bleeding</v>
      </c>
      <c r="C1" s="34"/>
      <c r="D1" s="35"/>
      <c r="E1" s="36"/>
      <c r="F1" s="36"/>
      <c r="G1" s="36"/>
      <c r="H1" s="36"/>
      <c r="I1" s="36"/>
      <c r="J1" s="36"/>
      <c r="K1" s="36"/>
      <c r="L1" s="36"/>
      <c r="M1" s="36"/>
      <c r="N1" s="36"/>
      <c r="O1" s="36"/>
      <c r="P1" s="36"/>
      <c r="Q1" s="36"/>
      <c r="R1" s="36"/>
      <c r="S1" s="36"/>
      <c r="T1" s="36"/>
      <c r="U1" s="36"/>
      <c r="V1" s="36"/>
      <c r="W1" s="36"/>
      <c r="X1" s="36"/>
      <c r="Y1" s="36"/>
      <c r="Z1" s="55"/>
    </row>
    <row r="2" spans="2:26" s="33" customFormat="1" ht="18">
      <c r="B2" s="37"/>
      <c r="C2" s="37"/>
      <c r="D2" s="38"/>
      <c r="E2" s="39"/>
      <c r="F2" s="39"/>
      <c r="G2" s="39"/>
      <c r="H2" s="39"/>
      <c r="I2" s="39"/>
      <c r="J2" s="39"/>
      <c r="K2" s="39"/>
      <c r="L2" s="39"/>
      <c r="M2" s="36"/>
      <c r="N2" s="36"/>
      <c r="O2" s="36"/>
      <c r="P2" s="36"/>
      <c r="Q2" s="36"/>
      <c r="R2" s="36"/>
      <c r="S2" s="36"/>
      <c r="T2" s="36"/>
      <c r="U2" s="36"/>
      <c r="V2" s="36"/>
      <c r="W2" s="36"/>
      <c r="X2" s="36"/>
      <c r="Y2" s="36"/>
      <c r="Z2" s="55"/>
    </row>
    <row r="3" spans="2:26" s="45" customFormat="1" ht="2.25" customHeight="1">
      <c r="D3" s="46"/>
      <c r="Z3" s="56"/>
    </row>
    <row r="4" spans="2:26" ht="18">
      <c r="B4" s="9"/>
      <c r="C4" s="47"/>
      <c r="D4" s="47"/>
      <c r="E4" s="47"/>
      <c r="F4" s="47"/>
      <c r="G4" s="47"/>
      <c r="H4" s="47"/>
      <c r="I4" s="9"/>
      <c r="J4" s="9"/>
      <c r="K4" s="9"/>
      <c r="L4" s="9"/>
      <c r="M4" s="9"/>
      <c r="N4" s="9"/>
      <c r="O4" s="9"/>
      <c r="P4" s="9"/>
      <c r="Q4" s="9"/>
      <c r="R4" s="9"/>
      <c r="S4" s="9"/>
      <c r="T4" s="9"/>
      <c r="U4" s="9"/>
      <c r="V4" s="9"/>
      <c r="W4" s="9"/>
      <c r="X4" s="9"/>
      <c r="Y4" s="9"/>
      <c r="Z4" s="9"/>
    </row>
    <row r="6" spans="2:26" ht="18">
      <c r="B6" s="47" t="str">
        <f>Results!B21</f>
        <v>Full-cost results</v>
      </c>
      <c r="C6" s="9"/>
      <c r="D6" s="9"/>
      <c r="E6" s="9"/>
      <c r="F6" s="9"/>
      <c r="G6" s="9"/>
      <c r="H6" s="9"/>
      <c r="I6" s="9"/>
      <c r="J6" s="47" t="str">
        <f>Results!B30</f>
        <v>Technology cost–only results</v>
      </c>
      <c r="K6" s="47"/>
      <c r="L6" s="47"/>
      <c r="M6" s="47"/>
      <c r="N6" s="47"/>
      <c r="O6" s="47"/>
      <c r="P6" s="47"/>
      <c r="Q6" s="9"/>
      <c r="R6" s="9"/>
      <c r="S6" s="9"/>
      <c r="T6" s="9"/>
      <c r="U6" s="9"/>
      <c r="V6" s="9"/>
      <c r="W6" s="9"/>
      <c r="X6" s="9"/>
      <c r="Y6" s="9"/>
      <c r="Z6" s="9"/>
    </row>
    <row r="8" spans="2:26">
      <c r="B8" s="513" t="str">
        <f>cen_atual</f>
        <v>Without IUD-LNG</v>
      </c>
      <c r="C8" s="513"/>
      <c r="D8" s="513"/>
      <c r="E8" s="513"/>
      <c r="F8" s="513"/>
      <c r="G8" s="513"/>
      <c r="H8" s="513"/>
      <c r="I8" s="9"/>
      <c r="J8" s="513" t="str">
        <f>cen_atual</f>
        <v>Without IUD-LNG</v>
      </c>
      <c r="K8" s="513"/>
      <c r="L8" s="513"/>
      <c r="M8" s="513"/>
      <c r="N8" s="513"/>
      <c r="O8" s="513"/>
      <c r="P8" s="513"/>
      <c r="Q8" s="9"/>
      <c r="R8" s="9"/>
      <c r="S8" s="9"/>
      <c r="T8" s="9"/>
      <c r="U8" s="9"/>
      <c r="V8" s="9"/>
      <c r="W8" s="9"/>
      <c r="X8" s="9"/>
      <c r="Y8" s="9"/>
      <c r="Z8" s="9"/>
    </row>
    <row r="10" spans="2:26">
      <c r="B10" s="93" t="s">
        <v>81</v>
      </c>
      <c r="C10" s="93">
        <f>ano_1</f>
        <v>2026</v>
      </c>
      <c r="D10" s="93">
        <f>C10+1</f>
        <v>2027</v>
      </c>
      <c r="E10" s="93">
        <f t="shared" ref="E10:G10" si="0">D10+1</f>
        <v>2028</v>
      </c>
      <c r="F10" s="93">
        <f t="shared" si="0"/>
        <v>2029</v>
      </c>
      <c r="G10" s="93">
        <f t="shared" si="0"/>
        <v>2030</v>
      </c>
      <c r="H10" s="5"/>
      <c r="I10" s="9"/>
      <c r="J10" s="93" t="s">
        <v>81</v>
      </c>
      <c r="K10" s="93">
        <f>ano_1</f>
        <v>2026</v>
      </c>
      <c r="L10" s="93">
        <f>K10+1</f>
        <v>2027</v>
      </c>
      <c r="M10" s="93">
        <f t="shared" ref="M10:O10" si="1">L10+1</f>
        <v>2028</v>
      </c>
      <c r="N10" s="93">
        <f t="shared" si="1"/>
        <v>2029</v>
      </c>
      <c r="O10" s="93">
        <f t="shared" si="1"/>
        <v>2030</v>
      </c>
      <c r="P10" s="5"/>
      <c r="Q10" s="9"/>
      <c r="R10" s="9"/>
      <c r="S10" s="9"/>
      <c r="T10" s="9"/>
      <c r="U10" s="9"/>
      <c r="V10" s="9"/>
      <c r="W10" s="9"/>
      <c r="X10" s="9"/>
      <c r="Y10" s="9"/>
      <c r="Z10" s="9"/>
    </row>
    <row r="11" spans="2:26">
      <c r="B11" s="11" t="str">
        <f>intervencao1</f>
        <v>Intrauterine device levonorgestrel</v>
      </c>
      <c r="C11" s="213">
        <f ca="1">IF(dynamic="Yes",Calculations!C103,Calculations2!C36)</f>
        <v>0</v>
      </c>
      <c r="D11" s="213">
        <f ca="1">Calculations!D103</f>
        <v>0</v>
      </c>
      <c r="E11" s="213">
        <f ca="1">Calculations!E103</f>
        <v>0</v>
      </c>
      <c r="F11" s="213">
        <f ca="1">Calculations!F103</f>
        <v>0</v>
      </c>
      <c r="G11" s="213">
        <f ca="1">Calculations!G103</f>
        <v>0</v>
      </c>
      <c r="H11" s="206"/>
      <c r="I11" s="206"/>
      <c r="J11" s="11" t="str">
        <f>intervencao1</f>
        <v>Intrauterine device levonorgestrel</v>
      </c>
      <c r="K11" s="213">
        <f ca="1">IF(dynamic="Yes",Calculations!C164,Calculations2!C57)</f>
        <v>0</v>
      </c>
      <c r="L11" s="213">
        <f ca="1">IF(dynamic="Yes",Calculations!D164,Calculations2!D57)</f>
        <v>0</v>
      </c>
      <c r="M11" s="213">
        <f ca="1">IF(dynamic="Yes",Calculations!E164,Calculations2!E57)</f>
        <v>0</v>
      </c>
      <c r="N11" s="213">
        <f ca="1">IF(dynamic="Yes",Calculations!F164,Calculations2!F57)</f>
        <v>0</v>
      </c>
      <c r="O11" s="213">
        <f ca="1">IF(dynamic="Yes",Calculations!G164,Calculations2!G57)</f>
        <v>0</v>
      </c>
      <c r="P11" s="9"/>
      <c r="Q11" s="9"/>
      <c r="R11" s="9"/>
      <c r="S11" s="9"/>
      <c r="T11" s="9"/>
      <c r="U11" s="9"/>
      <c r="V11" s="9"/>
      <c r="W11" s="9"/>
      <c r="X11" s="9"/>
      <c r="Y11" s="9"/>
      <c r="Z11" s="9"/>
    </row>
    <row r="12" spans="2:26">
      <c r="B12" s="11">
        <f>intervencao2</f>
        <v>0</v>
      </c>
      <c r="C12" s="213">
        <f ca="1">IF(dynamic="Yes",Calculations!K103,Calculations2!K36)</f>
        <v>0</v>
      </c>
      <c r="D12" s="213">
        <f ca="1">IF(dynamic="Yes",Calculations!L103,Calculations2!L36)</f>
        <v>0</v>
      </c>
      <c r="E12" s="213">
        <f ca="1">IF(dynamic="Yes",Calculations!M103,Calculations2!M36)</f>
        <v>0</v>
      </c>
      <c r="F12" s="213">
        <f ca="1">IF(dynamic="Yes",Calculations!N103,Calculations2!N36)</f>
        <v>0</v>
      </c>
      <c r="G12" s="213">
        <f ca="1">IF(dynamic="Yes",Calculations!O103,Calculations2!O36)</f>
        <v>0</v>
      </c>
      <c r="H12" s="215"/>
      <c r="I12" s="206"/>
      <c r="J12" s="11">
        <f>intervencao2</f>
        <v>0</v>
      </c>
      <c r="K12" s="213">
        <f ca="1">IF(dynamic="Yes",Calculations!K164,Calculations2!K57)</f>
        <v>0</v>
      </c>
      <c r="L12" s="213">
        <f ca="1">IF(dynamic="Yes",Calculations!L164,Calculations2!L57)</f>
        <v>0</v>
      </c>
      <c r="M12" s="213">
        <f ca="1">IF(dynamic="Yes",Calculations!M164,Calculations2!M57)</f>
        <v>0</v>
      </c>
      <c r="N12" s="213">
        <f ca="1">IF(dynamic="Yes",Calculations!N164,Calculations2!N57)</f>
        <v>0</v>
      </c>
      <c r="O12" s="213">
        <f ca="1">IF(dynamic="Yes",Calculations!O164,Calculations2!O57)</f>
        <v>0</v>
      </c>
      <c r="P12" s="4"/>
      <c r="Q12" s="9"/>
      <c r="R12" s="9"/>
      <c r="S12" s="9"/>
      <c r="T12" s="9"/>
      <c r="U12" s="9"/>
      <c r="V12" s="9"/>
      <c r="W12" s="9"/>
      <c r="X12" s="9"/>
      <c r="Y12" s="9"/>
      <c r="Z12" s="9"/>
    </row>
    <row r="13" spans="2:26">
      <c r="B13" s="11">
        <f>intervencao3</f>
        <v>0</v>
      </c>
      <c r="C13" s="213">
        <f ca="1">IF(dynamic="Yes",Calculations!S103,Calculations2!S36)</f>
        <v>0</v>
      </c>
      <c r="D13" s="213">
        <f ca="1">IF(dynamic="Yes",Calculations!T103,Calculations2!T36)</f>
        <v>0</v>
      </c>
      <c r="E13" s="213">
        <f ca="1">IF(dynamic="Yes",Calculations!U103,Calculations2!U36)</f>
        <v>0</v>
      </c>
      <c r="F13" s="213">
        <f ca="1">IF(dynamic="Yes",Calculations!V103,Calculations2!V36)</f>
        <v>0</v>
      </c>
      <c r="G13" s="213">
        <f ca="1">IF(dynamic="Yes",Calculations!W103,Calculations2!W36)</f>
        <v>0</v>
      </c>
      <c r="H13" s="206"/>
      <c r="I13" s="206"/>
      <c r="J13" s="11">
        <f>intervencao3</f>
        <v>0</v>
      </c>
      <c r="K13" s="213">
        <f ca="1">IF(dynamic="Yes",Calculations!S164,Calculations2!S57)</f>
        <v>0</v>
      </c>
      <c r="L13" s="213">
        <f ca="1">IF(dynamic="Yes",Calculations!T164,Calculations2!T57)</f>
        <v>0</v>
      </c>
      <c r="M13" s="213">
        <f ca="1">IF(dynamic="Yes",Calculations!U164,Calculations2!U57)</f>
        <v>0</v>
      </c>
      <c r="N13" s="213">
        <f ca="1">IF(dynamic="Yes",Calculations!V164,Calculations2!V57)</f>
        <v>0</v>
      </c>
      <c r="O13" s="213">
        <f ca="1">IF(dynamic="Yes",Calculations!W164,Calculations2!W57)</f>
        <v>0</v>
      </c>
      <c r="P13" s="9"/>
      <c r="Q13" s="9"/>
      <c r="R13" s="9"/>
      <c r="S13" s="9"/>
      <c r="T13" s="9"/>
      <c r="U13" s="9"/>
      <c r="V13" s="9"/>
      <c r="W13" s="9"/>
      <c r="X13" s="9"/>
      <c r="Y13" s="9"/>
      <c r="Z13" s="9"/>
    </row>
    <row r="14" spans="2:26">
      <c r="B14" s="11">
        <f>intervencao4</f>
        <v>0</v>
      </c>
      <c r="C14" s="213">
        <f ca="1">IF(dynamic="Yes",Calculations!AA103,Calculations2!AA36)</f>
        <v>0</v>
      </c>
      <c r="D14" s="213">
        <f ca="1">IF(dynamic="Yes",Calculations!AB103,Calculations2!AB36)</f>
        <v>0</v>
      </c>
      <c r="E14" s="213">
        <f ca="1">IF(dynamic="Yes",Calculations!AC103,Calculations2!AC36)</f>
        <v>0</v>
      </c>
      <c r="F14" s="213">
        <f ca="1">IF(dynamic="Yes",Calculations!AD103,Calculations2!AD36)</f>
        <v>0</v>
      </c>
      <c r="G14" s="213">
        <f ca="1">IF(dynamic="Yes",Calculations!AE103,Calculations2!AE36)</f>
        <v>0</v>
      </c>
      <c r="H14" s="206"/>
      <c r="I14" s="206"/>
      <c r="J14" s="11">
        <f>intervencao4</f>
        <v>0</v>
      </c>
      <c r="K14" s="213">
        <f ca="1">IF(dynamic="Yes",Calculations!AA164,Calculations2!AA57)</f>
        <v>0</v>
      </c>
      <c r="L14" s="213">
        <f ca="1">IF(dynamic="Yes",Calculations!AB164,Calculations2!AB57)</f>
        <v>0</v>
      </c>
      <c r="M14" s="213">
        <f ca="1">IF(dynamic="Yes",Calculations!AC164,Calculations2!AC57)</f>
        <v>0</v>
      </c>
      <c r="N14" s="213">
        <f ca="1">IF(dynamic="Yes",Calculations!AD164,Calculations2!AD57)</f>
        <v>0</v>
      </c>
      <c r="O14" s="213">
        <f ca="1">IF(dynamic="Yes",Calculations!AE164,Calculations2!AE57)</f>
        <v>0</v>
      </c>
      <c r="P14" s="9"/>
      <c r="Q14" s="9"/>
      <c r="R14" s="9"/>
      <c r="S14" s="9"/>
      <c r="T14" s="9"/>
      <c r="U14" s="9"/>
      <c r="V14" s="9"/>
      <c r="W14" s="9"/>
      <c r="X14" s="9"/>
      <c r="Y14" s="9"/>
      <c r="Z14" s="9"/>
    </row>
    <row r="15" spans="2:26">
      <c r="B15" s="11" t="str">
        <f>comparador1</f>
        <v>Oral contraceptive</v>
      </c>
      <c r="C15" s="213">
        <f ca="1">IF(dynamic="Yes",Calculations!AI103,Calculations2!AI36)</f>
        <v>5487460.7252860991</v>
      </c>
      <c r="D15" s="213">
        <f ca="1">IF(dynamic="Yes",Calculations!AJ103,Calculations2!AJ36)</f>
        <v>5467685.6632549856</v>
      </c>
      <c r="E15" s="213">
        <f ca="1">IF(dynamic="Yes",Calculations!AK103,Calculations2!AK36)</f>
        <v>5446299.9031707607</v>
      </c>
      <c r="F15" s="213">
        <f ca="1">IF(dynamic="Yes",Calculations!AL103,Calculations2!AL36)</f>
        <v>5420643.1059906445</v>
      </c>
      <c r="G15" s="213">
        <f ca="1">IF(dynamic="Yes",Calculations!AM103,Calculations2!AM36)</f>
        <v>5388358.501041064</v>
      </c>
      <c r="H15" s="206"/>
      <c r="I15" s="206"/>
      <c r="J15" s="11" t="str">
        <f>comparador1</f>
        <v>Oral contraceptive</v>
      </c>
      <c r="K15" s="213">
        <f ca="1">IF(dynamic="Yes",Calculations!AI164,Calculations2!AI57)</f>
        <v>457288.39377384161</v>
      </c>
      <c r="L15" s="213">
        <f ca="1">IF(dynamic="Yes",Calculations!AJ164,Calculations2!AJ57)</f>
        <v>455640.47193791548</v>
      </c>
      <c r="M15" s="213">
        <f ca="1">IF(dynamic="Yes",Calculations!AK164,Calculations2!AK57)</f>
        <v>453858.32526423008</v>
      </c>
      <c r="N15" s="213">
        <f ca="1">IF(dynamic="Yes",Calculations!AL164,Calculations2!AL57)</f>
        <v>451720.25883255369</v>
      </c>
      <c r="O15" s="213">
        <f ca="1">IF(dynamic="Yes",Calculations!AM164,Calculations2!AM57)</f>
        <v>449029.87508675538</v>
      </c>
      <c r="P15" s="9"/>
      <c r="Q15" s="9"/>
      <c r="R15" s="9"/>
      <c r="S15" s="9"/>
      <c r="T15" s="9"/>
      <c r="U15" s="9"/>
      <c r="V15" s="9"/>
      <c r="W15" s="9"/>
      <c r="X15" s="9"/>
      <c r="Y15" s="9"/>
      <c r="Z15" s="9"/>
    </row>
    <row r="16" spans="2:26">
      <c r="B16" s="11">
        <f>comparador2</f>
        <v>0</v>
      </c>
      <c r="C16" s="213">
        <f ca="1">IF(dynamic="Yes",Calculations!AQ103,Calculations2!AQ36)</f>
        <v>0</v>
      </c>
      <c r="D16" s="213">
        <f ca="1">IF(dynamic="Yes",Calculations!AR103,Calculations2!AR36)</f>
        <v>0</v>
      </c>
      <c r="E16" s="213">
        <f ca="1">IF(dynamic="Yes",Calculations!AS103,Calculations2!AS36)</f>
        <v>0</v>
      </c>
      <c r="F16" s="213">
        <f ca="1">IF(dynamic="Yes",Calculations!AT103,Calculations2!AT36)</f>
        <v>0</v>
      </c>
      <c r="G16" s="213">
        <f ca="1">IF(dynamic="Yes",Calculations!AU103,Calculations2!AU36)</f>
        <v>0</v>
      </c>
      <c r="H16" s="206"/>
      <c r="I16" s="206"/>
      <c r="J16" s="11">
        <f>comparador2</f>
        <v>0</v>
      </c>
      <c r="K16" s="213">
        <f ca="1">IF(dynamic="Yes",Calculations!AQ164,Calculations2!AQ57)</f>
        <v>0</v>
      </c>
      <c r="L16" s="213">
        <f ca="1">IF(dynamic="Yes",Calculations!AR164,Calculations2!AR57)</f>
        <v>0</v>
      </c>
      <c r="M16" s="213">
        <f ca="1">IF(dynamic="Yes",Calculations!AS164,Calculations2!AS57)</f>
        <v>0</v>
      </c>
      <c r="N16" s="213">
        <f ca="1">IF(dynamic="Yes",Calculations!AT164,Calculations2!AT57)</f>
        <v>0</v>
      </c>
      <c r="O16" s="213">
        <f ca="1">IF(dynamic="Yes",Calculations!AU164,Calculations2!AU57)</f>
        <v>0</v>
      </c>
      <c r="P16" s="9"/>
      <c r="Q16" s="9"/>
      <c r="R16" s="9"/>
      <c r="S16" s="9"/>
      <c r="T16" s="9"/>
      <c r="U16" s="9"/>
      <c r="V16" s="9"/>
      <c r="W16" s="9"/>
      <c r="X16" s="9"/>
      <c r="Y16" s="9"/>
      <c r="Z16" s="9"/>
    </row>
    <row r="17" spans="2:16">
      <c r="B17" s="11">
        <f>comparador3</f>
        <v>0</v>
      </c>
      <c r="C17" s="213">
        <f ca="1">IF(dynamic="Yes",Calculations!AY103,Calculations2!AY36)</f>
        <v>0</v>
      </c>
      <c r="D17" s="213">
        <f ca="1">IF(dynamic="Yes",Calculations!AZ103,Calculations2!AZ36)</f>
        <v>0</v>
      </c>
      <c r="E17" s="213">
        <f ca="1">IF(dynamic="Yes",Calculations!BA103,Calculations2!BA36)</f>
        <v>0</v>
      </c>
      <c r="F17" s="213">
        <f ca="1">IF(dynamic="Yes",Calculations!BB103,Calculations2!BB36)</f>
        <v>0</v>
      </c>
      <c r="G17" s="213">
        <f ca="1">IF(dynamic="Yes",Calculations!BC103,Calculations2!BC36)</f>
        <v>0</v>
      </c>
      <c r="H17" s="206"/>
      <c r="I17" s="206"/>
      <c r="J17" s="11">
        <f>comparador3</f>
        <v>0</v>
      </c>
      <c r="K17" s="213">
        <f ca="1">IF(dynamic="Yes",Calculations!AY164,Calculations2!AY57)</f>
        <v>0</v>
      </c>
      <c r="L17" s="213">
        <f ca="1">IF(dynamic="Yes",Calculations!AZ164,Calculations2!AZ57)</f>
        <v>0</v>
      </c>
      <c r="M17" s="213">
        <f ca="1">IF(dynamic="Yes",Calculations!BA164,Calculations2!BA57)</f>
        <v>0</v>
      </c>
      <c r="N17" s="213">
        <f ca="1">IF(dynamic="Yes",Calculations!BB164,Calculations2!BB57)</f>
        <v>0</v>
      </c>
      <c r="O17" s="213">
        <f ca="1">IF(dynamic="Yes",Calculations!BC164,Calculations2!BC57)</f>
        <v>0</v>
      </c>
      <c r="P17" s="9"/>
    </row>
    <row r="18" spans="2:16">
      <c r="B18" s="11">
        <f>comparador4</f>
        <v>0</v>
      </c>
      <c r="C18" s="213">
        <f ca="1">IF(dynamic="Yes",Calculations!BG103,Calculations2!BG36)</f>
        <v>0</v>
      </c>
      <c r="D18" s="213">
        <f ca="1">IF(dynamic="Yes",Calculations!BH103,Calculations2!BH36)</f>
        <v>0</v>
      </c>
      <c r="E18" s="213">
        <f ca="1">IF(dynamic="Yes",Calculations!BI103,Calculations2!BI36)</f>
        <v>0</v>
      </c>
      <c r="F18" s="213">
        <f ca="1">IF(dynamic="Yes",Calculations!BJ103,Calculations2!BJ36)</f>
        <v>0</v>
      </c>
      <c r="G18" s="213">
        <f ca="1">IF(dynamic="Yes",Calculations!BK103,Calculations2!BK36)</f>
        <v>0</v>
      </c>
      <c r="H18" s="206"/>
      <c r="I18" s="206"/>
      <c r="J18" s="11">
        <f>comparador4</f>
        <v>0</v>
      </c>
      <c r="K18" s="213">
        <f ca="1">IF(dynamic="Yes",Calculations!BG164,Calculations2!BG57)</f>
        <v>0</v>
      </c>
      <c r="L18" s="213">
        <f ca="1">IF(dynamic="Yes",Calculations!BH164,Calculations2!BH57)</f>
        <v>0</v>
      </c>
      <c r="M18" s="213">
        <f ca="1">IF(dynamic="Yes",Calculations!BI164,Calculations2!BI57)</f>
        <v>0</v>
      </c>
      <c r="N18" s="213">
        <f ca="1">IF(dynamic="Yes",Calculations!BJ164,Calculations2!BJ57)</f>
        <v>0</v>
      </c>
      <c r="O18" s="213">
        <f ca="1">IF(dynamic="Yes",Calculations!BK164,Calculations2!BK57)</f>
        <v>0</v>
      </c>
      <c r="P18" s="9"/>
    </row>
    <row r="19" spans="2:16">
      <c r="B19" s="11">
        <f>comparador5</f>
        <v>0</v>
      </c>
      <c r="C19" s="213">
        <f ca="1">IF(dynamic="Yes",Calculations!BO103,Calculations2!BO36)</f>
        <v>0</v>
      </c>
      <c r="D19" s="213">
        <f ca="1">IF(dynamic="Yes",Calculations!BP103,Calculations2!BP36)</f>
        <v>0</v>
      </c>
      <c r="E19" s="213">
        <f ca="1">IF(dynamic="Yes",Calculations!BQ103,Calculations2!BQ36)</f>
        <v>0</v>
      </c>
      <c r="F19" s="213">
        <f ca="1">IF(dynamic="Yes",Calculations!BR103,Calculations2!BR36)</f>
        <v>0</v>
      </c>
      <c r="G19" s="213">
        <f ca="1">IF(dynamic="Yes",Calculations!BS103,Calculations2!BS36)</f>
        <v>0</v>
      </c>
      <c r="H19" s="206"/>
      <c r="I19" s="206"/>
      <c r="J19" s="11">
        <f>comparador5</f>
        <v>0</v>
      </c>
      <c r="K19" s="213">
        <f ca="1">IF(dynamic="Yes",Calculations!BO164,Calculations2!BO57)</f>
        <v>0</v>
      </c>
      <c r="L19" s="213">
        <f ca="1">IF(dynamic="Yes",Calculations!BP164,Calculations2!BP57)</f>
        <v>0</v>
      </c>
      <c r="M19" s="213">
        <f ca="1">IF(dynamic="Yes",Calculations!BQ164,Calculations2!BQ57)</f>
        <v>0</v>
      </c>
      <c r="N19" s="213">
        <f ca="1">IF(dynamic="Yes",Calculations!BR164,Calculations2!BR57)</f>
        <v>0</v>
      </c>
      <c r="O19" s="213">
        <f ca="1">IF(dynamic="Yes",Calculations!BS164,Calculations2!BS57)</f>
        <v>0</v>
      </c>
      <c r="P19" s="9"/>
    </row>
    <row r="20" spans="2:16">
      <c r="B20" s="11">
        <f>comparador6</f>
        <v>0</v>
      </c>
      <c r="C20" s="213">
        <f ca="1">IF(dynamic="Yes",Calculations!BW103,Calculations2!BW36)</f>
        <v>0</v>
      </c>
      <c r="D20" s="213">
        <f ca="1">IF(dynamic="Yes",Calculations!BX103,Calculations2!BX36)</f>
        <v>0</v>
      </c>
      <c r="E20" s="213">
        <f ca="1">IF(dynamic="Yes",Calculations!BY103,Calculations2!BY36)</f>
        <v>0</v>
      </c>
      <c r="F20" s="213">
        <f ca="1">IF(dynamic="Yes",Calculations!BZ103,Calculations2!BZ36)</f>
        <v>0</v>
      </c>
      <c r="G20" s="213">
        <f ca="1">IF(dynamic="Yes",Calculations!CA103,Calculations2!CA36)</f>
        <v>0</v>
      </c>
      <c r="H20" s="206"/>
      <c r="I20" s="206"/>
      <c r="J20" s="11">
        <f>comparador6</f>
        <v>0</v>
      </c>
      <c r="K20" s="213">
        <f ca="1">IF(dynamic="Yes",Calculations!BW164,Calculations2!BW57)</f>
        <v>0</v>
      </c>
      <c r="L20" s="213">
        <f ca="1">IF(dynamic="Yes",Calculations!BX164,Calculations2!BX57)</f>
        <v>0</v>
      </c>
      <c r="M20" s="213">
        <f ca="1">IF(dynamic="Yes",Calculations!BY164,Calculations2!BY57)</f>
        <v>0</v>
      </c>
      <c r="N20" s="213">
        <f ca="1">IF(dynamic="Yes",Calculations!BZ164,Calculations2!BZ57)</f>
        <v>0</v>
      </c>
      <c r="O20" s="213">
        <f ca="1">IF(dynamic="Yes",Calculations!CA164,Calculations2!CA57)</f>
        <v>0</v>
      </c>
      <c r="P20" s="9"/>
    </row>
    <row r="21" spans="2:16">
      <c r="B21" s="11">
        <f>comparador7</f>
        <v>0</v>
      </c>
      <c r="C21" s="213">
        <f ca="1">IF(dynamic="Yes",Calculations!CE103,Calculations2!CE36)</f>
        <v>0</v>
      </c>
      <c r="D21" s="213">
        <f ca="1">IF(dynamic="Yes",Calculations!CF103,Calculations2!CF36)</f>
        <v>0</v>
      </c>
      <c r="E21" s="213">
        <f ca="1">IF(dynamic="Yes",Calculations!CG103,Calculations2!CG36)</f>
        <v>0</v>
      </c>
      <c r="F21" s="213">
        <f ca="1">IF(dynamic="Yes",Calculations!CH103,Calculations2!CH36)</f>
        <v>0</v>
      </c>
      <c r="G21" s="213">
        <f ca="1">IF(dynamic="Yes",Calculations!CI103,Calculations2!CI36)</f>
        <v>0</v>
      </c>
      <c r="H21" s="206"/>
      <c r="I21" s="206"/>
      <c r="J21" s="11">
        <f>comparador7</f>
        <v>0</v>
      </c>
      <c r="K21" s="213">
        <f ca="1">IF(dynamic="Yes",Calculations!CE164,Calculations2!CE57)</f>
        <v>0</v>
      </c>
      <c r="L21" s="213">
        <f ca="1">IF(dynamic="Yes",Calculations!CF164,Calculations2!CF57)</f>
        <v>0</v>
      </c>
      <c r="M21" s="213">
        <f ca="1">IF(dynamic="Yes",Calculations!CG164,Calculations2!CG57)</f>
        <v>0</v>
      </c>
      <c r="N21" s="213">
        <f ca="1">IF(dynamic="Yes",Calculations!CH164,Calculations2!CH57)</f>
        <v>0</v>
      </c>
      <c r="O21" s="213">
        <f ca="1">IF(dynamic="Yes",Calculations!CI164,Calculations2!CI57)</f>
        <v>0</v>
      </c>
      <c r="P21" s="9"/>
    </row>
    <row r="22" spans="2:16">
      <c r="B22" s="11">
        <f>comparador8</f>
        <v>0</v>
      </c>
      <c r="C22" s="213">
        <f ca="1">IF(dynamic="Yes",Calculations!CM103,Calculations2!CM36)</f>
        <v>0</v>
      </c>
      <c r="D22" s="213">
        <f ca="1">IF(dynamic="Yes",Calculations!CN103,Calculations2!CN36)</f>
        <v>0</v>
      </c>
      <c r="E22" s="213">
        <f ca="1">IF(dynamic="Yes",Calculations!CO103,Calculations2!CO36)</f>
        <v>0</v>
      </c>
      <c r="F22" s="213">
        <f ca="1">IF(dynamic="Yes",Calculations!CP103,Calculations2!CP36)</f>
        <v>0</v>
      </c>
      <c r="G22" s="213">
        <f ca="1">IF(dynamic="Yes",Calculations!CQ103,Calculations2!CQ36)</f>
        <v>0</v>
      </c>
      <c r="H22" s="206"/>
      <c r="I22" s="206"/>
      <c r="J22" s="11">
        <f>comparador8</f>
        <v>0</v>
      </c>
      <c r="K22" s="213">
        <f ca="1">IF(dynamic="Yes",Calculations!CM164,Calculations2!CM57)</f>
        <v>0</v>
      </c>
      <c r="L22" s="213">
        <f ca="1">IF(dynamic="Yes",Calculations!CN164,Calculations2!CN57)</f>
        <v>0</v>
      </c>
      <c r="M22" s="213">
        <f ca="1">IF(dynamic="Yes",Calculations!CO164,Calculations2!CO57)</f>
        <v>0</v>
      </c>
      <c r="N22" s="213">
        <f ca="1">IF(dynamic="Yes",Calculations!CP164,Calculations2!CP57)</f>
        <v>0</v>
      </c>
      <c r="O22" s="213">
        <f ca="1">IF(dynamic="Yes",Calculations!CQ164,Calculations2!CQ57)</f>
        <v>0</v>
      </c>
      <c r="P22" s="9"/>
    </row>
    <row r="23" spans="2:16">
      <c r="B23" s="11">
        <f>comparador9</f>
        <v>0</v>
      </c>
      <c r="C23" s="213">
        <f ca="1">IF(dynamic="Yes",Calculations!CU103,Calculations2!CU36)</f>
        <v>0</v>
      </c>
      <c r="D23" s="213">
        <f ca="1">IF(dynamic="Yes",Calculations!CV103,Calculations2!CV36)</f>
        <v>0</v>
      </c>
      <c r="E23" s="213">
        <f ca="1">IF(dynamic="Yes",Calculations!CW103,Calculations2!CW36)</f>
        <v>0</v>
      </c>
      <c r="F23" s="213">
        <f ca="1">IF(dynamic="Yes",Calculations!CX103,Calculations2!CX36)</f>
        <v>0</v>
      </c>
      <c r="G23" s="213">
        <f ca="1">IF(dynamic="Yes",Calculations!CY103,Calculations2!CY36)</f>
        <v>0</v>
      </c>
      <c r="H23" s="206"/>
      <c r="I23" s="206"/>
      <c r="J23" s="11">
        <f>comparador9</f>
        <v>0</v>
      </c>
      <c r="K23" s="213">
        <f ca="1">IF(dynamic="Yes",Calculations!CU164,Calculations2!CU57)</f>
        <v>0</v>
      </c>
      <c r="L23" s="213">
        <f ca="1">IF(dynamic="Yes",Calculations!CV164,Calculations2!CV57)</f>
        <v>0</v>
      </c>
      <c r="M23" s="213">
        <f ca="1">IF(dynamic="Yes",Calculations!CW164,Calculations2!CW57)</f>
        <v>0</v>
      </c>
      <c r="N23" s="213">
        <f ca="1">IF(dynamic="Yes",Calculations!CX164,Calculations2!CX57)</f>
        <v>0</v>
      </c>
      <c r="O23" s="213">
        <f ca="1">IF(dynamic="Yes",Calculations!CY164,Calculations2!CY57)</f>
        <v>0</v>
      </c>
      <c r="P23" s="9"/>
    </row>
    <row r="24" spans="2:16">
      <c r="B24" s="11">
        <f>comparador10</f>
        <v>0</v>
      </c>
      <c r="C24" s="213">
        <f ca="1">IF(dynamic="Yes",Calculations!DC103,Calculations2!DC57)</f>
        <v>0</v>
      </c>
      <c r="D24" s="213">
        <f ca="1">IF(dynamic="Yes",Calculations!DD103,Calculations2!DD57)</f>
        <v>0</v>
      </c>
      <c r="E24" s="213">
        <f ca="1">IF(dynamic="Yes",Calculations!DE103,Calculations2!DE57)</f>
        <v>0</v>
      </c>
      <c r="F24" s="213">
        <f ca="1">IF(dynamic="Yes",Calculations!DF103,Calculations2!DF57)</f>
        <v>0</v>
      </c>
      <c r="G24" s="213">
        <f ca="1">IF(dynamic="Yes",Calculations!DG103,Calculations2!DG57)</f>
        <v>0</v>
      </c>
      <c r="H24" s="206"/>
      <c r="I24" s="206"/>
      <c r="J24" s="11">
        <f>comparador10</f>
        <v>0</v>
      </c>
      <c r="K24" s="213">
        <f ca="1">IF(dynamic="Yes",Calculations!DC164,Calculations2!DC57)</f>
        <v>0</v>
      </c>
      <c r="L24" s="213">
        <f ca="1">IF(dynamic="Yes",Calculations!DD164,Calculations2!DD57)</f>
        <v>0</v>
      </c>
      <c r="M24" s="213">
        <f ca="1">IF(dynamic="Yes",Calculations!DE164,Calculations2!DE57)</f>
        <v>0</v>
      </c>
      <c r="N24" s="213">
        <f ca="1">IF(dynamic="Yes",Calculations!DF164,Calculations2!DF57)</f>
        <v>0</v>
      </c>
      <c r="O24" s="213">
        <f ca="1">IF(dynamic="Yes",Calculations!DG164,Calculations2!DG57)</f>
        <v>0</v>
      </c>
      <c r="P24" s="9"/>
    </row>
    <row r="25" spans="2:16">
      <c r="B25" s="115" t="s">
        <v>5</v>
      </c>
      <c r="C25" s="213">
        <f ca="1">SUM(C11:C24)</f>
        <v>5487460.7252860991</v>
      </c>
      <c r="D25" s="213">
        <f t="shared" ref="D25:G25" ca="1" si="2">SUM(D11:D24)</f>
        <v>5467685.6632549856</v>
      </c>
      <c r="E25" s="213">
        <f t="shared" ca="1" si="2"/>
        <v>5446299.9031707607</v>
      </c>
      <c r="F25" s="213">
        <f t="shared" ca="1" si="2"/>
        <v>5420643.1059906445</v>
      </c>
      <c r="G25" s="213">
        <f t="shared" ca="1" si="2"/>
        <v>5388358.501041064</v>
      </c>
      <c r="H25" s="206"/>
      <c r="I25" s="206"/>
      <c r="J25" s="216" t="s">
        <v>5</v>
      </c>
      <c r="K25" s="213">
        <f ca="1">SUM(K11:K24)</f>
        <v>457288.39377384161</v>
      </c>
      <c r="L25" s="213">
        <f t="shared" ref="L25:O25" ca="1" si="3">SUM(L11:L24)</f>
        <v>455640.47193791548</v>
      </c>
      <c r="M25" s="213">
        <f t="shared" ca="1" si="3"/>
        <v>453858.32526423008</v>
      </c>
      <c r="N25" s="213">
        <f t="shared" ca="1" si="3"/>
        <v>451720.25883255369</v>
      </c>
      <c r="O25" s="213">
        <f t="shared" ca="1" si="3"/>
        <v>449029.87508675538</v>
      </c>
      <c r="P25" s="9"/>
    </row>
    <row r="27" spans="2:16">
      <c r="B27" s="513" t="str">
        <f>cen_prop1</f>
        <v>With IUD-LNG 5-25%</v>
      </c>
      <c r="C27" s="513"/>
      <c r="D27" s="513"/>
      <c r="E27" s="513"/>
      <c r="F27" s="513"/>
      <c r="G27" s="513"/>
      <c r="H27" s="513"/>
      <c r="I27" s="9"/>
      <c r="J27" s="513" t="str">
        <f>cen_prop1</f>
        <v>With IUD-LNG 5-25%</v>
      </c>
      <c r="K27" s="513"/>
      <c r="L27" s="513"/>
      <c r="M27" s="513"/>
      <c r="N27" s="513"/>
      <c r="O27" s="513"/>
      <c r="P27" s="513"/>
    </row>
    <row r="29" spans="2:16">
      <c r="B29" s="93" t="s">
        <v>81</v>
      </c>
      <c r="C29" s="93">
        <f>ano_1</f>
        <v>2026</v>
      </c>
      <c r="D29" s="93">
        <f>C29+1</f>
        <v>2027</v>
      </c>
      <c r="E29" s="93">
        <f t="shared" ref="E29:G29" si="4">D29+1</f>
        <v>2028</v>
      </c>
      <c r="F29" s="93">
        <f t="shared" si="4"/>
        <v>2029</v>
      </c>
      <c r="G29" s="93">
        <f t="shared" si="4"/>
        <v>2030</v>
      </c>
      <c r="H29" s="5"/>
      <c r="I29" s="9"/>
      <c r="J29" s="93" t="s">
        <v>81</v>
      </c>
      <c r="K29" s="93">
        <f>ano_1</f>
        <v>2026</v>
      </c>
      <c r="L29" s="93">
        <f>K29+1</f>
        <v>2027</v>
      </c>
      <c r="M29" s="93">
        <f t="shared" ref="M29:O29" si="5">L29+1</f>
        <v>2028</v>
      </c>
      <c r="N29" s="93">
        <f t="shared" si="5"/>
        <v>2029</v>
      </c>
      <c r="O29" s="93">
        <f t="shared" si="5"/>
        <v>2030</v>
      </c>
      <c r="P29" s="5"/>
    </row>
    <row r="30" spans="2:16">
      <c r="B30" s="11" t="str">
        <f>intervencao1</f>
        <v>Intrauterine device levonorgestrel</v>
      </c>
      <c r="C30" s="213">
        <f ca="1">IF(dynamic="Yes",Calculations!C117,Calculations2!C40)</f>
        <v>13269140.432940962</v>
      </c>
      <c r="D30" s="213">
        <f ca="1">IF(dynamic="Yes",Calculations!D117,Calculations2!D40)</f>
        <v>13173504.914694119</v>
      </c>
      <c r="E30" s="213">
        <f ca="1">IF(dynamic="Yes",Calculations!E117,Calculations2!E40)</f>
        <v>13066184.987356208</v>
      </c>
      <c r="F30" s="213">
        <f ca="1">IF(dynamic="Yes",Calculations!F117,Calculations2!F40)</f>
        <v>12921448.958893271</v>
      </c>
      <c r="G30" s="213">
        <f ca="1">IF(dynamic="Yes",Calculations!G117,Calculations2!G40)</f>
        <v>12717235.406202339</v>
      </c>
      <c r="H30" s="206"/>
      <c r="I30" s="206"/>
      <c r="J30" s="214" t="str">
        <f>intervencao1</f>
        <v>Intrauterine device levonorgestrel</v>
      </c>
      <c r="K30" s="213">
        <f ca="1">IF(dynamic="Yes",Calculations!C178,Calculations2!C61)</f>
        <v>13269140.432940962</v>
      </c>
      <c r="L30" s="213">
        <f ca="1">IF(dynamic="Yes",Calculations!D178,Calculations2!D61)</f>
        <v>13173504.914694119</v>
      </c>
      <c r="M30" s="213">
        <f ca="1">IF(dynamic="Yes",Calculations!E178,Calculations2!E61)</f>
        <v>13066184.987356208</v>
      </c>
      <c r="N30" s="213">
        <f ca="1">IF(dynamic="Yes",Calculations!F178,Calculations2!F61)</f>
        <v>12921448.958893271</v>
      </c>
      <c r="O30" s="213">
        <f ca="1">IF(dynamic="Yes",Calculations!G178,Calculations2!G61)</f>
        <v>12717235.406202339</v>
      </c>
      <c r="P30" s="9"/>
    </row>
    <row r="31" spans="2:16">
      <c r="B31" s="11">
        <f>intervencao2</f>
        <v>0</v>
      </c>
      <c r="C31" s="213">
        <f ca="1">IF(dynamic="Yes",Calculations!K117,Calculations2!K40)</f>
        <v>0</v>
      </c>
      <c r="D31" s="213">
        <f ca="1">IF(dynamic="Yes",Calculations!L117,Calculations2!L40)</f>
        <v>0</v>
      </c>
      <c r="E31" s="213">
        <f ca="1">IF(dynamic="Yes",Calculations!M117,Calculations2!M40)</f>
        <v>0</v>
      </c>
      <c r="F31" s="213">
        <f ca="1">IF(dynamic="Yes",Calculations!N117,Calculations2!N40)</f>
        <v>0</v>
      </c>
      <c r="G31" s="213">
        <f ca="1">IF(dynamic="Yes",Calculations!O117,Calculations2!O40)</f>
        <v>0</v>
      </c>
      <c r="H31" s="215"/>
      <c r="I31" s="206"/>
      <c r="J31" s="11">
        <f>intervencao2</f>
        <v>0</v>
      </c>
      <c r="K31" s="213">
        <f ca="1">IF(dynamic="Yes",Calculations!K178,Calculations2!K61)</f>
        <v>0</v>
      </c>
      <c r="L31" s="213">
        <f ca="1">IF(dynamic="Yes",Calculations!L178,Calculations2!L61)</f>
        <v>0</v>
      </c>
      <c r="M31" s="213">
        <f ca="1">IF(dynamic="Yes",Calculations!M178,Calculations2!M61)</f>
        <v>0</v>
      </c>
      <c r="N31" s="213">
        <f ca="1">IF(dynamic="Yes",Calculations!N178,Calculations2!N61)</f>
        <v>0</v>
      </c>
      <c r="O31" s="213">
        <f ca="1">IF(dynamic="Yes",Calculations!O178,Calculations2!O61)</f>
        <v>0</v>
      </c>
      <c r="P31" s="4"/>
    </row>
    <row r="32" spans="2:16">
      <c r="B32" s="11">
        <f>intervencao3</f>
        <v>0</v>
      </c>
      <c r="C32" s="213">
        <f ca="1">IF(dynamic="Yes",Calculations!S117,Calculations2!S40)</f>
        <v>0</v>
      </c>
      <c r="D32" s="213">
        <f ca="1">IF(dynamic="Yes",Calculations!T117,Calculations2!T40)</f>
        <v>0</v>
      </c>
      <c r="E32" s="213">
        <f ca="1">IF(dynamic="Yes",Calculations!U117,Calculations2!U40)</f>
        <v>0</v>
      </c>
      <c r="F32" s="213">
        <f ca="1">IF(dynamic="Yes",Calculations!V117,Calculations2!V40)</f>
        <v>0</v>
      </c>
      <c r="G32" s="213">
        <f ca="1">IF(dynamic="Yes",Calculations!W117,Calculations2!W40)</f>
        <v>0</v>
      </c>
      <c r="H32" s="206"/>
      <c r="I32" s="206"/>
      <c r="J32" s="11">
        <f>intervencao3</f>
        <v>0</v>
      </c>
      <c r="K32" s="213">
        <f ca="1">IF(dynamic="Yes",Calculations!S178,Calculations2!S61)</f>
        <v>0</v>
      </c>
      <c r="L32" s="213">
        <f ca="1">IF(dynamic="Yes",Calculations!T178,Calculations2!T61)</f>
        <v>0</v>
      </c>
      <c r="M32" s="213">
        <f ca="1">IF(dynamic="Yes",Calculations!U178,Calculations2!U61)</f>
        <v>0</v>
      </c>
      <c r="N32" s="213">
        <f ca="1">IF(dynamic="Yes",Calculations!V178,Calculations2!V61)</f>
        <v>0</v>
      </c>
      <c r="O32" s="213">
        <f ca="1">IF(dynamic="Yes",Calculations!W178,Calculations2!W61)</f>
        <v>0</v>
      </c>
      <c r="P32" s="9"/>
    </row>
    <row r="33" spans="2:16">
      <c r="B33" s="11">
        <f>intervencao4</f>
        <v>0</v>
      </c>
      <c r="C33" s="213">
        <f ca="1">IF(dynamic="Yes",Calculations!AA117,Calculations2!AA40)</f>
        <v>0</v>
      </c>
      <c r="D33" s="213">
        <f ca="1">IF(dynamic="Yes",Calculations!AB117,Calculations2!AB40)</f>
        <v>0</v>
      </c>
      <c r="E33" s="213">
        <f ca="1">IF(dynamic="Yes",Calculations!AC117,Calculations2!AC40)</f>
        <v>0</v>
      </c>
      <c r="F33" s="213">
        <f ca="1">IF(dynamic="Yes",Calculations!AD117,Calculations2!AD40)</f>
        <v>0</v>
      </c>
      <c r="G33" s="213">
        <f ca="1">IF(dynamic="Yes",Calculations!AE117,Calculations2!AE40)</f>
        <v>0</v>
      </c>
      <c r="H33" s="206"/>
      <c r="I33" s="206"/>
      <c r="J33" s="11">
        <f>intervencao4</f>
        <v>0</v>
      </c>
      <c r="K33" s="213">
        <f ca="1">IF(dynamic="Yes",Calculations!AA178,Calculations2!AA61)</f>
        <v>0</v>
      </c>
      <c r="L33" s="213">
        <f ca="1">IF(dynamic="Yes",Calculations!AB178,Calculations2!AB61)</f>
        <v>0</v>
      </c>
      <c r="M33" s="213">
        <f ca="1">IF(dynamic="Yes",Calculations!AC178,Calculations2!AC61)</f>
        <v>0</v>
      </c>
      <c r="N33" s="213">
        <f ca="1">IF(dynamic="Yes",Calculations!AD178,Calculations2!AD61)</f>
        <v>0</v>
      </c>
      <c r="O33" s="213">
        <f ca="1">IF(dynamic="Yes",Calculations!AE178,Calculations2!AE61)</f>
        <v>0</v>
      </c>
      <c r="P33" s="9"/>
    </row>
    <row r="34" spans="2:16">
      <c r="B34" s="11" t="str">
        <f>comparador1</f>
        <v>Oral contraceptive</v>
      </c>
      <c r="C34" s="213">
        <f ca="1">IF(dynamic="Yes",Calculations!AI117,Calculations2!AI40)</f>
        <v>5213087.6890217941</v>
      </c>
      <c r="D34" s="213">
        <f ca="1">IF(dynamic="Yes",Calculations!AJ117,Calculations2!AJ40)</f>
        <v>4920917.0969294868</v>
      </c>
      <c r="E34" s="213">
        <f ca="1">IF(dynamic="Yes",Calculations!AK117,Calculations2!AK40)</f>
        <v>4629354.917695147</v>
      </c>
      <c r="F34" s="213">
        <f ca="1">IF(dynamic="Yes",Calculations!AL117,Calculations2!AL40)</f>
        <v>4336514.4847925156</v>
      </c>
      <c r="G34" s="213">
        <f ca="1">IF(dynamic="Yes",Calculations!AM117,Calculations2!AM40)</f>
        <v>4041268.875780798</v>
      </c>
      <c r="H34" s="206"/>
      <c r="I34" s="206"/>
      <c r="J34" s="11" t="str">
        <f>comparador1</f>
        <v>Oral contraceptive</v>
      </c>
      <c r="K34" s="213">
        <f ca="1">IF(dynamic="Yes",Calculations!AI178,Calculations2!AI61)</f>
        <v>434423.97408514947</v>
      </c>
      <c r="L34" s="213">
        <f ca="1">IF(dynamic="Yes",Calculations!AJ178,Calculations2!AJ61)</f>
        <v>410076.42474412388</v>
      </c>
      <c r="M34" s="213">
        <f ca="1">IF(dynamic="Yes",Calculations!AK178,Calculations2!AK61)</f>
        <v>385779.57647459558</v>
      </c>
      <c r="N34" s="213">
        <f ca="1">IF(dynamic="Yes",Calculations!AL178,Calculations2!AL61)</f>
        <v>361376.20706604293</v>
      </c>
      <c r="O34" s="213">
        <f ca="1">IF(dynamic="Yes",Calculations!AM178,Calculations2!AM61)</f>
        <v>336772.4063150665</v>
      </c>
      <c r="P34" s="9"/>
    </row>
    <row r="35" spans="2:16">
      <c r="B35" s="11">
        <f>comparador2</f>
        <v>0</v>
      </c>
      <c r="C35" s="213">
        <f ca="1">IF(dynamic="Yes",Calculations!AQ117,Calculations2!AQ40)</f>
        <v>0</v>
      </c>
      <c r="D35" s="213">
        <f ca="1">IF(dynamic="Yes",Calculations!AR117,Calculations2!AR40)</f>
        <v>0</v>
      </c>
      <c r="E35" s="213">
        <f ca="1">IF(dynamic="Yes",Calculations!AS117,Calculations2!AS40)</f>
        <v>0</v>
      </c>
      <c r="F35" s="213">
        <f ca="1">IF(dynamic="Yes",Calculations!AT117,Calculations2!AT40)</f>
        <v>0</v>
      </c>
      <c r="G35" s="213">
        <f ca="1">IF(dynamic="Yes",Calculations!AU117,Calculations2!AU40)</f>
        <v>0</v>
      </c>
      <c r="H35" s="206"/>
      <c r="I35" s="206"/>
      <c r="J35" s="11">
        <f>comparador2</f>
        <v>0</v>
      </c>
      <c r="K35" s="213">
        <f ca="1">IF(dynamic="Yes",Calculations!AQ178,Calculations2!AQ61)</f>
        <v>0</v>
      </c>
      <c r="L35" s="213">
        <f ca="1">IF(dynamic="Yes",Calculations!AR178,Calculations2!AR61)</f>
        <v>0</v>
      </c>
      <c r="M35" s="213">
        <f ca="1">IF(dynamic="Yes",Calculations!AS178,Calculations2!AS61)</f>
        <v>0</v>
      </c>
      <c r="N35" s="213">
        <f ca="1">IF(dynamic="Yes",Calculations!AT178,Calculations2!AT61)</f>
        <v>0</v>
      </c>
      <c r="O35" s="213">
        <f ca="1">IF(dynamic="Yes",Calculations!AU178,Calculations2!AU61)</f>
        <v>0</v>
      </c>
      <c r="P35" s="9"/>
    </row>
    <row r="36" spans="2:16">
      <c r="B36" s="11">
        <f>comparador3</f>
        <v>0</v>
      </c>
      <c r="C36" s="213">
        <f ca="1">IF(dynamic="Yes",Calculations!AY117,Calculations2!AY40)</f>
        <v>0</v>
      </c>
      <c r="D36" s="213">
        <f ca="1">IF(dynamic="Yes",Calculations!AZ117,Calculations2!AZ40)</f>
        <v>0</v>
      </c>
      <c r="E36" s="213">
        <f ca="1">IF(dynamic="Yes",Calculations!BA117,Calculations2!BA40)</f>
        <v>0</v>
      </c>
      <c r="F36" s="213">
        <f ca="1">IF(dynamic="Yes",Calculations!BB117,Calculations2!BB40)</f>
        <v>0</v>
      </c>
      <c r="G36" s="213">
        <f ca="1">IF(dynamic="Yes",Calculations!BC117,Calculations2!BC40)</f>
        <v>0</v>
      </c>
      <c r="H36" s="206"/>
      <c r="I36" s="206"/>
      <c r="J36" s="11">
        <f>comparador3</f>
        <v>0</v>
      </c>
      <c r="K36" s="213">
        <f ca="1">IF(dynamic="Yes",Calculations!AY178,Calculations2!AY61)</f>
        <v>0</v>
      </c>
      <c r="L36" s="213">
        <f ca="1">IF(dynamic="Yes",Calculations!AZ178,Calculations2!AZ61)</f>
        <v>0</v>
      </c>
      <c r="M36" s="213">
        <f ca="1">IF(dynamic="Yes",Calculations!BA178,Calculations2!BA61)</f>
        <v>0</v>
      </c>
      <c r="N36" s="213">
        <f ca="1">IF(dynamic="Yes",Calculations!BB178,Calculations2!BB61)</f>
        <v>0</v>
      </c>
      <c r="O36" s="213">
        <f ca="1">IF(dynamic="Yes",Calculations!BC178,Calculations2!BC61)</f>
        <v>0</v>
      </c>
      <c r="P36" s="9"/>
    </row>
    <row r="37" spans="2:16">
      <c r="B37" s="11">
        <f>comparador4</f>
        <v>0</v>
      </c>
      <c r="C37" s="213">
        <f ca="1">IF(dynamic="Yes",Calculations!BG117,Calculations2!BG40)</f>
        <v>0</v>
      </c>
      <c r="D37" s="213">
        <f ca="1">IF(dynamic="Yes",Calculations!BH117,Calculations2!BH40)</f>
        <v>0</v>
      </c>
      <c r="E37" s="213">
        <f ca="1">IF(dynamic="Yes",Calculations!BI117,Calculations2!BI40)</f>
        <v>0</v>
      </c>
      <c r="F37" s="213">
        <f ca="1">IF(dynamic="Yes",Calculations!BJ117,Calculations2!BJ40)</f>
        <v>0</v>
      </c>
      <c r="G37" s="213">
        <f ca="1">IF(dynamic="Yes",Calculations!BK117,Calculations2!BK40)</f>
        <v>0</v>
      </c>
      <c r="H37" s="206"/>
      <c r="I37" s="206"/>
      <c r="J37" s="11">
        <f>comparador4</f>
        <v>0</v>
      </c>
      <c r="K37" s="213">
        <f ca="1">IF(dynamic="Yes",Calculations!BG178,Calculations2!BG61)</f>
        <v>0</v>
      </c>
      <c r="L37" s="213">
        <f ca="1">IF(dynamic="Yes",Calculations!BH178,Calculations2!BH61)</f>
        <v>0</v>
      </c>
      <c r="M37" s="213">
        <f ca="1">IF(dynamic="Yes",Calculations!BI178,Calculations2!BI61)</f>
        <v>0</v>
      </c>
      <c r="N37" s="213">
        <f ca="1">IF(dynamic="Yes",Calculations!BJ178,Calculations2!BJ61)</f>
        <v>0</v>
      </c>
      <c r="O37" s="213">
        <f ca="1">IF(dynamic="Yes",Calculations!BK178,Calculations2!BK61)</f>
        <v>0</v>
      </c>
      <c r="P37" s="9"/>
    </row>
    <row r="38" spans="2:16">
      <c r="B38" s="11">
        <f>comparador5</f>
        <v>0</v>
      </c>
      <c r="C38" s="213">
        <f ca="1">IF(dynamic="Yes",Calculations!BO117,Calculations2!BO40)</f>
        <v>0</v>
      </c>
      <c r="D38" s="213">
        <f ca="1">IF(dynamic="Yes",Calculations!BP117,Calculations2!BP40)</f>
        <v>0</v>
      </c>
      <c r="E38" s="213">
        <f ca="1">IF(dynamic="Yes",Calculations!BQ117,Calculations2!BQ40)</f>
        <v>0</v>
      </c>
      <c r="F38" s="213">
        <f ca="1">IF(dynamic="Yes",Calculations!BR117,Calculations2!BR40)</f>
        <v>0</v>
      </c>
      <c r="G38" s="213">
        <f ca="1">IF(dynamic="Yes",Calculations!BS117,Calculations2!BS40)</f>
        <v>0</v>
      </c>
      <c r="H38" s="206"/>
      <c r="I38" s="206"/>
      <c r="J38" s="11">
        <f>comparador5</f>
        <v>0</v>
      </c>
      <c r="K38" s="213">
        <f ca="1">IF(dynamic="Yes",Calculations!BO178,Calculations2!BO61)</f>
        <v>0</v>
      </c>
      <c r="L38" s="213">
        <f ca="1">IF(dynamic="Yes",Calculations!BP178,Calculations2!BP61)</f>
        <v>0</v>
      </c>
      <c r="M38" s="213">
        <f ca="1">IF(dynamic="Yes",Calculations!BQ178,Calculations2!BQ61)</f>
        <v>0</v>
      </c>
      <c r="N38" s="213">
        <f ca="1">IF(dynamic="Yes",Calculations!BR178,Calculations2!BR61)</f>
        <v>0</v>
      </c>
      <c r="O38" s="213">
        <f ca="1">IF(dynamic="Yes",Calculations!BS178,Calculations2!BS61)</f>
        <v>0</v>
      </c>
      <c r="P38" s="9"/>
    </row>
    <row r="39" spans="2:16">
      <c r="B39" s="11">
        <f>comparador6</f>
        <v>0</v>
      </c>
      <c r="C39" s="213">
        <f ca="1">IF(dynamic="Yes",Calculations!BW117,Calculations2!BW40)</f>
        <v>0</v>
      </c>
      <c r="D39" s="213">
        <f ca="1">IF(dynamic="Yes",Calculations!BX117,Calculations2!BX40)</f>
        <v>0</v>
      </c>
      <c r="E39" s="213">
        <f ca="1">IF(dynamic="Yes",Calculations!BY117,Calculations2!BY40)</f>
        <v>0</v>
      </c>
      <c r="F39" s="213">
        <f ca="1">IF(dynamic="Yes",Calculations!BZ117,Calculations2!BZ40)</f>
        <v>0</v>
      </c>
      <c r="G39" s="213">
        <f ca="1">IF(dynamic="Yes",Calculations!CA117,Calculations2!CA40)</f>
        <v>0</v>
      </c>
      <c r="H39" s="206"/>
      <c r="I39" s="206"/>
      <c r="J39" s="11">
        <f>comparador6</f>
        <v>0</v>
      </c>
      <c r="K39" s="213">
        <f ca="1">IF(dynamic="Yes",Calculations!BW178,Calculations2!BW61)</f>
        <v>0</v>
      </c>
      <c r="L39" s="213">
        <f ca="1">IF(dynamic="Yes",Calculations!BX178,Calculations2!BX61)</f>
        <v>0</v>
      </c>
      <c r="M39" s="213">
        <f ca="1">IF(dynamic="Yes",Calculations!BY178,Calculations2!BY61)</f>
        <v>0</v>
      </c>
      <c r="N39" s="213">
        <f ca="1">IF(dynamic="Yes",Calculations!BZ178,Calculations2!BZ61)</f>
        <v>0</v>
      </c>
      <c r="O39" s="213">
        <f ca="1">IF(dynamic="Yes",Calculations!CA178,Calculations2!CA61)</f>
        <v>0</v>
      </c>
      <c r="P39" s="9"/>
    </row>
    <row r="40" spans="2:16">
      <c r="B40" s="11">
        <f>comparador7</f>
        <v>0</v>
      </c>
      <c r="C40" s="213">
        <f ca="1">IF(dynamic="Yes",Calculations!CE117,Calculations2!CE40)</f>
        <v>0</v>
      </c>
      <c r="D40" s="213">
        <f ca="1">IF(dynamic="Yes",Calculations!CF117,Calculations2!CF40)</f>
        <v>0</v>
      </c>
      <c r="E40" s="213">
        <f ca="1">IF(dynamic="Yes",Calculations!CG117,Calculations2!CG40)</f>
        <v>0</v>
      </c>
      <c r="F40" s="213">
        <f ca="1">IF(dynamic="Yes",Calculations!CH117,Calculations2!CH40)</f>
        <v>0</v>
      </c>
      <c r="G40" s="213">
        <f ca="1">IF(dynamic="Yes",Calculations!CI117,Calculations2!CI40)</f>
        <v>0</v>
      </c>
      <c r="H40" s="206"/>
      <c r="I40" s="206"/>
      <c r="J40" s="11">
        <f>comparador7</f>
        <v>0</v>
      </c>
      <c r="K40" s="213">
        <f ca="1">IF(dynamic="Yes",Calculations!CE178,Calculations2!CE61)</f>
        <v>0</v>
      </c>
      <c r="L40" s="213">
        <f ca="1">IF(dynamic="Yes",Calculations!CF178,Calculations2!CF61)</f>
        <v>0</v>
      </c>
      <c r="M40" s="213">
        <f ca="1">IF(dynamic="Yes",Calculations!CG178,Calculations2!CG61)</f>
        <v>0</v>
      </c>
      <c r="N40" s="213">
        <f ca="1">IF(dynamic="Yes",Calculations!CH178,Calculations2!CH61)</f>
        <v>0</v>
      </c>
      <c r="O40" s="213">
        <f ca="1">IF(dynamic="Yes",Calculations!CI178,Calculations2!CI61)</f>
        <v>0</v>
      </c>
      <c r="P40" s="9"/>
    </row>
    <row r="41" spans="2:16">
      <c r="B41" s="11">
        <f>comparador8</f>
        <v>0</v>
      </c>
      <c r="C41" s="213">
        <f ca="1">IF(dynamic="Yes",Calculations!CM117,Calculations2!CM40)</f>
        <v>0</v>
      </c>
      <c r="D41" s="213">
        <f ca="1">IF(dynamic="Yes",Calculations!CN117,Calculations2!CN40)</f>
        <v>0</v>
      </c>
      <c r="E41" s="213">
        <f ca="1">IF(dynamic="Yes",Calculations!CO117,Calculations2!CO40)</f>
        <v>0</v>
      </c>
      <c r="F41" s="213">
        <f ca="1">IF(dynamic="Yes",Calculations!CP117,Calculations2!CP40)</f>
        <v>0</v>
      </c>
      <c r="G41" s="213">
        <f ca="1">IF(dynamic="Yes",Calculations!CQ117,Calculations2!CQ40)</f>
        <v>0</v>
      </c>
      <c r="H41" s="206"/>
      <c r="I41" s="206"/>
      <c r="J41" s="11">
        <f>comparador8</f>
        <v>0</v>
      </c>
      <c r="K41" s="213">
        <f ca="1">IF(dynamic="Yes",Calculations!CM178,Calculations2!CM61)</f>
        <v>0</v>
      </c>
      <c r="L41" s="213">
        <f ca="1">IF(dynamic="Yes",Calculations!CN178,Calculations2!CN61)</f>
        <v>0</v>
      </c>
      <c r="M41" s="213">
        <f ca="1">IF(dynamic="Yes",Calculations!CO178,Calculations2!CO61)</f>
        <v>0</v>
      </c>
      <c r="N41" s="213">
        <f ca="1">IF(dynamic="Yes",Calculations!CP178,Calculations2!CP61)</f>
        <v>0</v>
      </c>
      <c r="O41" s="213">
        <f ca="1">IF(dynamic="Yes",Calculations!CQ178,Calculations2!CQ61)</f>
        <v>0</v>
      </c>
      <c r="P41" s="9"/>
    </row>
    <row r="42" spans="2:16">
      <c r="B42" s="11">
        <f>comparador9</f>
        <v>0</v>
      </c>
      <c r="C42" s="213">
        <f ca="1">IF(dynamic="Yes",Calculations!CU117,Calculations2!CU40)</f>
        <v>0</v>
      </c>
      <c r="D42" s="213">
        <f ca="1">IF(dynamic="Yes",Calculations!CV117,Calculations2!CV40)</f>
        <v>0</v>
      </c>
      <c r="E42" s="213">
        <f ca="1">IF(dynamic="Yes",Calculations!CW117,Calculations2!CW40)</f>
        <v>0</v>
      </c>
      <c r="F42" s="213">
        <f ca="1">IF(dynamic="Yes",Calculations!CX117,Calculations2!CX40)</f>
        <v>0</v>
      </c>
      <c r="G42" s="213">
        <f ca="1">IF(dynamic="Yes",Calculations!CY117,Calculations2!CY40)</f>
        <v>0</v>
      </c>
      <c r="H42" s="206"/>
      <c r="I42" s="206"/>
      <c r="J42" s="11">
        <f>comparador9</f>
        <v>0</v>
      </c>
      <c r="K42" s="213">
        <f ca="1">IF(dynamic="Yes",Calculations!CU178,Calculations2!CU61)</f>
        <v>0</v>
      </c>
      <c r="L42" s="213">
        <f ca="1">IF(dynamic="Yes",Calculations!CV178,Calculations2!CV61)</f>
        <v>0</v>
      </c>
      <c r="M42" s="213">
        <f ca="1">IF(dynamic="Yes",Calculations!CW178,Calculations2!CW61)</f>
        <v>0</v>
      </c>
      <c r="N42" s="213">
        <f ca="1">IF(dynamic="Yes",Calculations!CX178,Calculations2!CX61)</f>
        <v>0</v>
      </c>
      <c r="O42" s="213">
        <f ca="1">IF(dynamic="Yes",Calculations!CY178,Calculations2!CY61)</f>
        <v>0</v>
      </c>
      <c r="P42" s="9"/>
    </row>
    <row r="43" spans="2:16">
      <c r="B43" s="11">
        <f>comparador10</f>
        <v>0</v>
      </c>
      <c r="C43" s="213">
        <f ca="1">IF(dynamic="Yes",Calculations!DC117,Calculations2!DC40)</f>
        <v>0</v>
      </c>
      <c r="D43" s="213">
        <f ca="1">IF(dynamic="Yes",Calculations!DD117,Calculations2!DD40)</f>
        <v>0</v>
      </c>
      <c r="E43" s="213">
        <f ca="1">IF(dynamic="Yes",Calculations!DE117,Calculations2!DE40)</f>
        <v>0</v>
      </c>
      <c r="F43" s="213">
        <f ca="1">IF(dynamic="Yes",Calculations!DF117,Calculations2!DF40)</f>
        <v>0</v>
      </c>
      <c r="G43" s="213">
        <f ca="1">IF(dynamic="Yes",Calculations!DG117,Calculations2!DG40)</f>
        <v>0</v>
      </c>
      <c r="H43" s="206"/>
      <c r="I43" s="206"/>
      <c r="J43" s="11">
        <f>comparador10</f>
        <v>0</v>
      </c>
      <c r="K43" s="213">
        <f ca="1">IF(dynamic="Yes",Calculations!DC178,Calculations2!DC61)</f>
        <v>0</v>
      </c>
      <c r="L43" s="213">
        <f ca="1">IF(dynamic="Yes",Calculations!DD178,Calculations2!DD61)</f>
        <v>0</v>
      </c>
      <c r="M43" s="213">
        <f ca="1">IF(dynamic="Yes",Calculations!DE178,Calculations2!DE61)</f>
        <v>0</v>
      </c>
      <c r="N43" s="213">
        <f ca="1">IF(dynamic="Yes",Calculations!DF178,Calculations2!DF61)</f>
        <v>0</v>
      </c>
      <c r="O43" s="213">
        <f ca="1">IF(dynamic="Yes",Calculations!DG178,Calculations2!DG61)</f>
        <v>0</v>
      </c>
      <c r="P43" s="9"/>
    </row>
    <row r="44" spans="2:16">
      <c r="B44" s="115" t="s">
        <v>5</v>
      </c>
      <c r="C44" s="213">
        <f ca="1">SUM(C30:C43)</f>
        <v>18482228.121962756</v>
      </c>
      <c r="D44" s="213">
        <f t="shared" ref="D44" ca="1" si="6">SUM(D30:D43)</f>
        <v>18094422.011623606</v>
      </c>
      <c r="E44" s="213">
        <f t="shared" ref="E44" ca="1" si="7">SUM(E30:E43)</f>
        <v>17695539.905051354</v>
      </c>
      <c r="F44" s="213">
        <f t="shared" ref="F44" ca="1" si="8">SUM(F30:F43)</f>
        <v>17257963.443685785</v>
      </c>
      <c r="G44" s="213">
        <f ca="1">SUM(G30:G43)</f>
        <v>16758504.281983137</v>
      </c>
      <c r="H44" s="206"/>
      <c r="I44" s="206"/>
      <c r="J44" s="216" t="s">
        <v>5</v>
      </c>
      <c r="K44" s="213">
        <f ca="1">SUM(K30:K43)</f>
        <v>13703564.407026112</v>
      </c>
      <c r="L44" s="213">
        <f t="shared" ref="L44" ca="1" si="9">SUM(L30:L43)</f>
        <v>13583581.339438243</v>
      </c>
      <c r="M44" s="213">
        <f t="shared" ref="M44" ca="1" si="10">SUM(M30:M43)</f>
        <v>13451964.563830804</v>
      </c>
      <c r="N44" s="213">
        <f t="shared" ref="N44" ca="1" si="11">SUM(N30:N43)</f>
        <v>13282825.165959314</v>
      </c>
      <c r="O44" s="213">
        <f t="shared" ref="O44" ca="1" si="12">SUM(O30:O43)</f>
        <v>13054007.812517405</v>
      </c>
      <c r="P44" s="9"/>
    </row>
    <row r="46" spans="2:16">
      <c r="B46" s="513" t="str">
        <f>cen_prop2</f>
        <v>With IUD-LNG 10-50%</v>
      </c>
      <c r="C46" s="513"/>
      <c r="D46" s="513"/>
      <c r="E46" s="513"/>
      <c r="F46" s="513"/>
      <c r="G46" s="513"/>
      <c r="H46" s="513"/>
      <c r="I46" s="9"/>
      <c r="J46" s="513" t="str">
        <f>cen_prop2</f>
        <v>With IUD-LNG 10-50%</v>
      </c>
      <c r="K46" s="513"/>
      <c r="L46" s="513"/>
      <c r="M46" s="513"/>
      <c r="N46" s="513"/>
      <c r="O46" s="513"/>
      <c r="P46" s="513"/>
    </row>
    <row r="48" spans="2:16">
      <c r="B48" s="93" t="s">
        <v>81</v>
      </c>
      <c r="C48" s="93">
        <f>ano_1</f>
        <v>2026</v>
      </c>
      <c r="D48" s="93">
        <f>C48+1</f>
        <v>2027</v>
      </c>
      <c r="E48" s="93">
        <f t="shared" ref="E48:G48" si="13">D48+1</f>
        <v>2028</v>
      </c>
      <c r="F48" s="93">
        <f t="shared" si="13"/>
        <v>2029</v>
      </c>
      <c r="G48" s="93">
        <f t="shared" si="13"/>
        <v>2030</v>
      </c>
      <c r="H48" s="5"/>
      <c r="I48" s="9"/>
      <c r="J48" s="93" t="s">
        <v>81</v>
      </c>
      <c r="K48" s="93">
        <f>ano_1</f>
        <v>2026</v>
      </c>
      <c r="L48" s="93">
        <f>K48+1</f>
        <v>2027</v>
      </c>
      <c r="M48" s="93">
        <f t="shared" ref="M48:O48" si="14">L48+1</f>
        <v>2028</v>
      </c>
      <c r="N48" s="93">
        <f t="shared" si="14"/>
        <v>2029</v>
      </c>
      <c r="O48" s="93">
        <f t="shared" si="14"/>
        <v>2030</v>
      </c>
      <c r="P48" s="5"/>
    </row>
    <row r="49" spans="2:16">
      <c r="B49" s="11" t="str">
        <f>intervencao1</f>
        <v>Intrauterine device levonorgestrel</v>
      </c>
      <c r="C49" s="213">
        <f ca="1">IF(dynamic="Yes",Calculations!C131,Calculations2!C44)</f>
        <v>26538280.865881924</v>
      </c>
      <c r="D49" s="213">
        <f ca="1">IF(dynamic="Yes",Calculations!D131,Calculations2!D44)</f>
        <v>26347009.829388238</v>
      </c>
      <c r="E49" s="213">
        <f ca="1">IF(dynamic="Yes",Calculations!E131,Calculations2!E44)</f>
        <v>26132369.974712417</v>
      </c>
      <c r="F49" s="213">
        <f ca="1">IF(dynamic="Yes",Calculations!F131,Calculations2!F44)</f>
        <v>25842897.917786542</v>
      </c>
      <c r="G49" s="213">
        <f ca="1">IF(dynamic="Yes",Calculations!G131,Calculations2!G44)</f>
        <v>25434470.812404677</v>
      </c>
      <c r="H49" s="206"/>
      <c r="I49" s="206"/>
      <c r="J49" s="11" t="str">
        <f>intervencao1</f>
        <v>Intrauterine device levonorgestrel</v>
      </c>
      <c r="K49" s="213">
        <f ca="1">IF(dynamic="Yes",Calculations!C192,Calculations2!C65)</f>
        <v>26538280.865881924</v>
      </c>
      <c r="L49" s="213">
        <f ca="1">IF(dynamic="Yes",Calculations!D192,Calculations2!D65)</f>
        <v>26347009.829388238</v>
      </c>
      <c r="M49" s="213">
        <f ca="1">IF(dynamic="Yes",Calculations!E192,Calculations2!E65)</f>
        <v>26132369.974712417</v>
      </c>
      <c r="N49" s="213">
        <f ca="1">IF(dynamic="Yes",Calculations!F192,Calculations2!F65)</f>
        <v>25842897.917786542</v>
      </c>
      <c r="O49" s="213">
        <f ca="1">IF(dynamic="Yes",Calculations!G192,Calculations2!G65)</f>
        <v>25434470.812404677</v>
      </c>
      <c r="P49" s="9"/>
    </row>
    <row r="50" spans="2:16">
      <c r="B50" s="11">
        <f>intervencao2</f>
        <v>0</v>
      </c>
      <c r="C50" s="213">
        <f ca="1">IF(dynamic="Yes",Calculations!K131,Calculations2!K44)</f>
        <v>0</v>
      </c>
      <c r="D50" s="213">
        <f ca="1">IF(dynamic="Yes",Calculations!L131,Calculations2!L44)</f>
        <v>0</v>
      </c>
      <c r="E50" s="213">
        <f ca="1">IF(dynamic="Yes",Calculations!M131,Calculations2!M44)</f>
        <v>0</v>
      </c>
      <c r="F50" s="213">
        <f ca="1">IF(dynamic="Yes",Calculations!N131,Calculations2!N44)</f>
        <v>0</v>
      </c>
      <c r="G50" s="213">
        <f ca="1">IF(dynamic="Yes",Calculations!O131,Calculations2!O44)</f>
        <v>0</v>
      </c>
      <c r="H50" s="215"/>
      <c r="I50" s="206"/>
      <c r="J50" s="11">
        <f>intervencao2</f>
        <v>0</v>
      </c>
      <c r="K50" s="213">
        <f ca="1">IF(dynamic="Yes",Calculations!K192,Calculations2!K65)</f>
        <v>0</v>
      </c>
      <c r="L50" s="213">
        <f ca="1">IF(dynamic="Yes",Calculations!L192,Calculations2!L65)</f>
        <v>0</v>
      </c>
      <c r="M50" s="213">
        <f ca="1">IF(dynamic="Yes",Calculations!M192,Calculations2!M65)</f>
        <v>0</v>
      </c>
      <c r="N50" s="213">
        <f ca="1">IF(dynamic="Yes",Calculations!N192,Calculations2!N65)</f>
        <v>0</v>
      </c>
      <c r="O50" s="213">
        <f ca="1">IF(dynamic="Yes",Calculations!O192,Calculations2!O65)</f>
        <v>0</v>
      </c>
      <c r="P50" s="4"/>
    </row>
    <row r="51" spans="2:16">
      <c r="B51" s="11">
        <f>intervencao3</f>
        <v>0</v>
      </c>
      <c r="C51" s="213">
        <f ca="1">IF(dynamic="Yes",Calculations!S131,Calculations2!S44)</f>
        <v>0</v>
      </c>
      <c r="D51" s="213">
        <f ca="1">IF(dynamic="Yes",Calculations!T131,Calculations2!T44)</f>
        <v>0</v>
      </c>
      <c r="E51" s="213">
        <f ca="1">IF(dynamic="Yes",Calculations!U131,Calculations2!U44)</f>
        <v>0</v>
      </c>
      <c r="F51" s="213">
        <f ca="1">IF(dynamic="Yes",Calculations!V131,Calculations2!V44)</f>
        <v>0</v>
      </c>
      <c r="G51" s="213">
        <f ca="1">IF(dynamic="Yes",Calculations!W131,Calculations2!W44)</f>
        <v>0</v>
      </c>
      <c r="H51" s="206"/>
      <c r="I51" s="206"/>
      <c r="J51" s="11">
        <f>intervencao3</f>
        <v>0</v>
      </c>
      <c r="K51" s="213">
        <f ca="1">IF(dynamic="Yes",Calculations!S192,Calculations2!S65)</f>
        <v>0</v>
      </c>
      <c r="L51" s="213">
        <f ca="1">IF(dynamic="Yes",Calculations!T192,Calculations2!T65)</f>
        <v>0</v>
      </c>
      <c r="M51" s="213">
        <f ca="1">IF(dynamic="Yes",Calculations!U192,Calculations2!U65)</f>
        <v>0</v>
      </c>
      <c r="N51" s="213">
        <f ca="1">IF(dynamic="Yes",Calculations!V192,Calculations2!V65)</f>
        <v>0</v>
      </c>
      <c r="O51" s="213">
        <f ca="1">IF(dynamic="Yes",Calculations!W192,Calculations2!W65)</f>
        <v>0</v>
      </c>
      <c r="P51" s="9"/>
    </row>
    <row r="52" spans="2:16">
      <c r="B52" s="11">
        <f>intervencao4</f>
        <v>0</v>
      </c>
      <c r="C52" s="213">
        <f ca="1">IF(dynamic="Yes",Calculations!AA131,Calculations2!AA44)</f>
        <v>0</v>
      </c>
      <c r="D52" s="213">
        <f ca="1">IF(dynamic="Yes",Calculations!AB131,Calculations2!AB44)</f>
        <v>0</v>
      </c>
      <c r="E52" s="213">
        <f ca="1">IF(dynamic="Yes",Calculations!AC131,Calculations2!AC44)</f>
        <v>0</v>
      </c>
      <c r="F52" s="213">
        <f ca="1">IF(dynamic="Yes",Calculations!AD131,Calculations2!AD44)</f>
        <v>0</v>
      </c>
      <c r="G52" s="213">
        <f ca="1">IF(dynamic="Yes",Calculations!AE131,Calculations2!AE44)</f>
        <v>0</v>
      </c>
      <c r="H52" s="206"/>
      <c r="I52" s="206"/>
      <c r="J52" s="11">
        <f>intervencao4</f>
        <v>0</v>
      </c>
      <c r="K52" s="213">
        <f ca="1">IF(dynamic="Yes",Calculations!AA192,Calculations2!AA65)</f>
        <v>0</v>
      </c>
      <c r="L52" s="213">
        <f ca="1">IF(dynamic="Yes",Calculations!AB192,Calculations2!AB65)</f>
        <v>0</v>
      </c>
      <c r="M52" s="213">
        <f ca="1">IF(dynamic="Yes",Calculations!AC192,Calculations2!AC65)</f>
        <v>0</v>
      </c>
      <c r="N52" s="213">
        <f ca="1">IF(dynamic="Yes",Calculations!AD192,Calculations2!AD65)</f>
        <v>0</v>
      </c>
      <c r="O52" s="213">
        <f ca="1">IF(dynamic="Yes",Calculations!AE192,Calculations2!AE65)</f>
        <v>0</v>
      </c>
      <c r="P52" s="9"/>
    </row>
    <row r="53" spans="2:16">
      <c r="B53" s="11" t="str">
        <f>comparador1</f>
        <v>Oral contraceptive</v>
      </c>
      <c r="C53" s="213">
        <f ca="1">IF(dynamic="Yes",Calculations!AI131,Calculations2!AI44)</f>
        <v>4938714.6527574901</v>
      </c>
      <c r="D53" s="213">
        <f ca="1">IF(dynamic="Yes",Calculations!AJ131,Calculations2!AJ44)</f>
        <v>4374148.530603989</v>
      </c>
      <c r="E53" s="213">
        <f ca="1">IF(dynamic="Yes",Calculations!AK131,Calculations2!AK44)</f>
        <v>3812409.9322195332</v>
      </c>
      <c r="F53" s="213">
        <f ca="1">IF(dynamic="Yes",Calculations!AL131,Calculations2!AL44)</f>
        <v>3252385.8635943867</v>
      </c>
      <c r="G53" s="213">
        <f ca="1">IF(dynamic="Yes",Calculations!AM131,Calculations2!AM44)</f>
        <v>2694179.250520532</v>
      </c>
      <c r="H53" s="206"/>
      <c r="I53" s="206"/>
      <c r="J53" s="11" t="str">
        <f>comparador1</f>
        <v>Oral contraceptive</v>
      </c>
      <c r="K53" s="213">
        <f ca="1">IF(dynamic="Yes",Calculations!AI192,Calculations2!AI65)</f>
        <v>411559.5543964575</v>
      </c>
      <c r="L53" s="213">
        <f ca="1">IF(dynamic="Yes",Calculations!AJ192,Calculations2!AJ65)</f>
        <v>364512.3775503324</v>
      </c>
      <c r="M53" s="213">
        <f ca="1">IF(dynamic="Yes",Calculations!AK192,Calculations2!AK65)</f>
        <v>317700.82768496108</v>
      </c>
      <c r="N53" s="213">
        <f ca="1">IF(dynamic="Yes",Calculations!AL192,Calculations2!AL65)</f>
        <v>271032.15529953223</v>
      </c>
      <c r="O53" s="213">
        <f ca="1">IF(dynamic="Yes",Calculations!AM192,Calculations2!AM65)</f>
        <v>224514.93754337769</v>
      </c>
      <c r="P53" s="9"/>
    </row>
    <row r="54" spans="2:16">
      <c r="B54" s="11">
        <f>comparador2</f>
        <v>0</v>
      </c>
      <c r="C54" s="213">
        <f ca="1">IF(dynamic="Yes",Calculations!AQ131,Calculations2!AQ44)</f>
        <v>0</v>
      </c>
      <c r="D54" s="213">
        <f ca="1">IF(dynamic="Yes",Calculations!AR131,Calculations2!AR44)</f>
        <v>0</v>
      </c>
      <c r="E54" s="213">
        <f ca="1">IF(dynamic="Yes",Calculations!AS131,Calculations2!AS44)</f>
        <v>0</v>
      </c>
      <c r="F54" s="213">
        <f ca="1">IF(dynamic="Yes",Calculations!AT131,Calculations2!AT44)</f>
        <v>0</v>
      </c>
      <c r="G54" s="213">
        <f ca="1">IF(dynamic="Yes",Calculations!AU131,Calculations2!AU44)</f>
        <v>0</v>
      </c>
      <c r="H54" s="206"/>
      <c r="I54" s="206"/>
      <c r="J54" s="11">
        <f>comparador2</f>
        <v>0</v>
      </c>
      <c r="K54" s="213">
        <f ca="1">IF(dynamic="Yes",Calculations!AQ192,Calculations2!AQ65)</f>
        <v>0</v>
      </c>
      <c r="L54" s="213">
        <f ca="1">IF(dynamic="Yes",Calculations!AR192,Calculations2!AR65)</f>
        <v>0</v>
      </c>
      <c r="M54" s="213">
        <f ca="1">IF(dynamic="Yes",Calculations!AS192,Calculations2!AS65)</f>
        <v>0</v>
      </c>
      <c r="N54" s="213">
        <f ca="1">IF(dynamic="Yes",Calculations!AT192,Calculations2!AT65)</f>
        <v>0</v>
      </c>
      <c r="O54" s="213">
        <f ca="1">IF(dynamic="Yes",Calculations!AU192,Calculations2!AU65)</f>
        <v>0</v>
      </c>
      <c r="P54" s="9"/>
    </row>
    <row r="55" spans="2:16">
      <c r="B55" s="11">
        <f>comparador3</f>
        <v>0</v>
      </c>
      <c r="C55" s="213">
        <f ca="1">IF(dynamic="Yes",Calculations!AY131,Calculations2!AY44)</f>
        <v>0</v>
      </c>
      <c r="D55" s="213">
        <f ca="1">IF(dynamic="Yes",Calculations!AZ131,Calculations2!AZ44)</f>
        <v>0</v>
      </c>
      <c r="E55" s="213">
        <f ca="1">IF(dynamic="Yes",Calculations!BA131,Calculations2!BA44)</f>
        <v>0</v>
      </c>
      <c r="F55" s="213">
        <f ca="1">IF(dynamic="Yes",Calculations!BB131,Calculations2!BB44)</f>
        <v>0</v>
      </c>
      <c r="G55" s="213">
        <f ca="1">IF(dynamic="Yes",Calculations!BC131,Calculations2!BC44)</f>
        <v>0</v>
      </c>
      <c r="H55" s="206"/>
      <c r="I55" s="206"/>
      <c r="J55" s="11">
        <f>comparador3</f>
        <v>0</v>
      </c>
      <c r="K55" s="213">
        <f ca="1">IF(dynamic="Yes",Calculations!AY192,Calculations2!AY65)</f>
        <v>0</v>
      </c>
      <c r="L55" s="213">
        <f ca="1">IF(dynamic="Yes",Calculations!AZ192,Calculations2!AZ65)</f>
        <v>0</v>
      </c>
      <c r="M55" s="213">
        <f ca="1">IF(dynamic="Yes",Calculations!BA192,Calculations2!BA65)</f>
        <v>0</v>
      </c>
      <c r="N55" s="213">
        <f ca="1">IF(dynamic="Yes",Calculations!BB192,Calculations2!BB65)</f>
        <v>0</v>
      </c>
      <c r="O55" s="213">
        <f ca="1">IF(dynamic="Yes",Calculations!BC192,Calculations2!BC65)</f>
        <v>0</v>
      </c>
      <c r="P55" s="9"/>
    </row>
    <row r="56" spans="2:16">
      <c r="B56" s="11">
        <f>comparador4</f>
        <v>0</v>
      </c>
      <c r="C56" s="213">
        <f ca="1">IF(dynamic="Yes",Calculations!BG131,Calculations2!BG44)</f>
        <v>0</v>
      </c>
      <c r="D56" s="213">
        <f ca="1">IF(dynamic="Yes",Calculations!BH131,Calculations2!BH44)</f>
        <v>0</v>
      </c>
      <c r="E56" s="213">
        <f ca="1">IF(dynamic="Yes",Calculations!BI131,Calculations2!BI44)</f>
        <v>0</v>
      </c>
      <c r="F56" s="213">
        <f ca="1">IF(dynamic="Yes",Calculations!BJ131,Calculations2!BJ44)</f>
        <v>0</v>
      </c>
      <c r="G56" s="213">
        <f ca="1">IF(dynamic="Yes",Calculations!BK131,Calculations2!BK44)</f>
        <v>0</v>
      </c>
      <c r="H56" s="206"/>
      <c r="I56" s="206"/>
      <c r="J56" s="11">
        <f>comparador4</f>
        <v>0</v>
      </c>
      <c r="K56" s="213">
        <f ca="1">IF(dynamic="Yes",Calculations!BG192,Calculations2!BG65)</f>
        <v>0</v>
      </c>
      <c r="L56" s="213">
        <f ca="1">IF(dynamic="Yes",Calculations!BH192,Calculations2!BH65)</f>
        <v>0</v>
      </c>
      <c r="M56" s="213">
        <f ca="1">IF(dynamic="Yes",Calculations!BI192,Calculations2!BI65)</f>
        <v>0</v>
      </c>
      <c r="N56" s="213">
        <f ca="1">IF(dynamic="Yes",Calculations!BJ192,Calculations2!BJ65)</f>
        <v>0</v>
      </c>
      <c r="O56" s="213">
        <f ca="1">IF(dynamic="Yes",Calculations!BK192,Calculations2!BK65)</f>
        <v>0</v>
      </c>
      <c r="P56" s="9"/>
    </row>
    <row r="57" spans="2:16">
      <c r="B57" s="11">
        <f>comparador5</f>
        <v>0</v>
      </c>
      <c r="C57" s="213">
        <f ca="1">IF(dynamic="Yes",Calculations!BO131,Calculations2!BO44)</f>
        <v>0</v>
      </c>
      <c r="D57" s="213">
        <f ca="1">IF(dynamic="Yes",Calculations!BP131,Calculations2!BP44)</f>
        <v>0</v>
      </c>
      <c r="E57" s="213">
        <f ca="1">IF(dynamic="Yes",Calculations!BQ131,Calculations2!BQ44)</f>
        <v>0</v>
      </c>
      <c r="F57" s="213">
        <f ca="1">IF(dynamic="Yes",Calculations!BR131,Calculations2!BR44)</f>
        <v>0</v>
      </c>
      <c r="G57" s="213">
        <f ca="1">IF(dynamic="Yes",Calculations!BS131,Calculations2!BS44)</f>
        <v>0</v>
      </c>
      <c r="H57" s="206"/>
      <c r="I57" s="206"/>
      <c r="J57" s="11">
        <f>comparador5</f>
        <v>0</v>
      </c>
      <c r="K57" s="213">
        <f ca="1">IF(dynamic="Yes",Calculations!BO192,Calculations2!BO65)</f>
        <v>0</v>
      </c>
      <c r="L57" s="213">
        <f ca="1">IF(dynamic="Yes",Calculations!BP192,Calculations2!BP65)</f>
        <v>0</v>
      </c>
      <c r="M57" s="213">
        <f ca="1">IF(dynamic="Yes",Calculations!BQ192,Calculations2!BQ65)</f>
        <v>0</v>
      </c>
      <c r="N57" s="213">
        <f ca="1">IF(dynamic="Yes",Calculations!BR192,Calculations2!BR65)</f>
        <v>0</v>
      </c>
      <c r="O57" s="213">
        <f ca="1">IF(dynamic="Yes",Calculations!BS192,Calculations2!BS65)</f>
        <v>0</v>
      </c>
      <c r="P57" s="9"/>
    </row>
    <row r="58" spans="2:16">
      <c r="B58" s="11">
        <f>comparador6</f>
        <v>0</v>
      </c>
      <c r="C58" s="213">
        <f ca="1">IF(dynamic="Yes",Calculations!BW131,Calculations2!BW44)</f>
        <v>0</v>
      </c>
      <c r="D58" s="213">
        <f ca="1">IF(dynamic="Yes",Calculations!BX131,Calculations2!BX44)</f>
        <v>0</v>
      </c>
      <c r="E58" s="213">
        <f ca="1">IF(dynamic="Yes",Calculations!BY131,Calculations2!BY44)</f>
        <v>0</v>
      </c>
      <c r="F58" s="213">
        <f ca="1">IF(dynamic="Yes",Calculations!BZ131,Calculations2!BZ44)</f>
        <v>0</v>
      </c>
      <c r="G58" s="213">
        <f ca="1">IF(dynamic="Yes",Calculations!CA131,Calculations2!CA44)</f>
        <v>0</v>
      </c>
      <c r="H58" s="206"/>
      <c r="I58" s="206"/>
      <c r="J58" s="11">
        <f>comparador6</f>
        <v>0</v>
      </c>
      <c r="K58" s="213">
        <f ca="1">IF(dynamic="Yes",Calculations!BW192,Calculations2!BW65)</f>
        <v>0</v>
      </c>
      <c r="L58" s="213">
        <f ca="1">IF(dynamic="Yes",Calculations!BX192,Calculations2!BX65)</f>
        <v>0</v>
      </c>
      <c r="M58" s="213">
        <f ca="1">IF(dynamic="Yes",Calculations!BY192,Calculations2!BY65)</f>
        <v>0</v>
      </c>
      <c r="N58" s="213">
        <f ca="1">IF(dynamic="Yes",Calculations!BZ192,Calculations2!BZ65)</f>
        <v>0</v>
      </c>
      <c r="O58" s="213">
        <f ca="1">IF(dynamic="Yes",Calculations!CA192,Calculations2!CA65)</f>
        <v>0</v>
      </c>
      <c r="P58" s="9"/>
    </row>
    <row r="59" spans="2:16">
      <c r="B59" s="11">
        <f>comparador7</f>
        <v>0</v>
      </c>
      <c r="C59" s="213">
        <f ca="1">IF(dynamic="Yes",Calculations!CE131,Calculations2!CE44)</f>
        <v>0</v>
      </c>
      <c r="D59" s="213">
        <f ca="1">IF(dynamic="Yes",Calculations!CF131,Calculations2!CF44)</f>
        <v>0</v>
      </c>
      <c r="E59" s="213">
        <f ca="1">IF(dynamic="Yes",Calculations!CG131,Calculations2!CG44)</f>
        <v>0</v>
      </c>
      <c r="F59" s="213">
        <f ca="1">IF(dynamic="Yes",Calculations!CH131,Calculations2!CH44)</f>
        <v>0</v>
      </c>
      <c r="G59" s="213">
        <f ca="1">IF(dynamic="Yes",Calculations!CI131,Calculations2!CI44)</f>
        <v>0</v>
      </c>
      <c r="H59" s="206"/>
      <c r="I59" s="206"/>
      <c r="J59" s="11">
        <f>comparador7</f>
        <v>0</v>
      </c>
      <c r="K59" s="213">
        <f ca="1">IF(dynamic="Yes",Calculations!CE192,Calculations2!CE65)</f>
        <v>0</v>
      </c>
      <c r="L59" s="213">
        <f ca="1">IF(dynamic="Yes",Calculations!CF192,Calculations2!CF65)</f>
        <v>0</v>
      </c>
      <c r="M59" s="213">
        <f ca="1">IF(dynamic="Yes",Calculations!CG192,Calculations2!CG65)</f>
        <v>0</v>
      </c>
      <c r="N59" s="213">
        <f ca="1">IF(dynamic="Yes",Calculations!CH192,Calculations2!CH65)</f>
        <v>0</v>
      </c>
      <c r="O59" s="213">
        <f ca="1">IF(dynamic="Yes",Calculations!CI192,Calculations2!CI65)</f>
        <v>0</v>
      </c>
      <c r="P59" s="9"/>
    </row>
    <row r="60" spans="2:16">
      <c r="B60" s="11">
        <f>comparador8</f>
        <v>0</v>
      </c>
      <c r="C60" s="213">
        <f ca="1">IF(dynamic="Yes",Calculations!CM131,Calculations2!CM44)</f>
        <v>0</v>
      </c>
      <c r="D60" s="213">
        <f ca="1">IF(dynamic="Yes",Calculations!CN131,Calculations2!CN44)</f>
        <v>0</v>
      </c>
      <c r="E60" s="213">
        <f ca="1">IF(dynamic="Yes",Calculations!CO131,Calculations2!CO44)</f>
        <v>0</v>
      </c>
      <c r="F60" s="213">
        <f ca="1">IF(dynamic="Yes",Calculations!CP131,Calculations2!CP44)</f>
        <v>0</v>
      </c>
      <c r="G60" s="213">
        <f ca="1">IF(dynamic="Yes",Calculations!CQ131,Calculations2!CQ44)</f>
        <v>0</v>
      </c>
      <c r="H60" s="206"/>
      <c r="I60" s="206"/>
      <c r="J60" s="11">
        <f>comparador8</f>
        <v>0</v>
      </c>
      <c r="K60" s="213">
        <f ca="1">IF(dynamic="Yes",Calculations!CM192,Calculations2!CM65)</f>
        <v>0</v>
      </c>
      <c r="L60" s="213">
        <f ca="1">IF(dynamic="Yes",Calculations!CN192,Calculations2!CN65)</f>
        <v>0</v>
      </c>
      <c r="M60" s="213">
        <f ca="1">IF(dynamic="Yes",Calculations!CO192,Calculations2!CO65)</f>
        <v>0</v>
      </c>
      <c r="N60" s="213">
        <f ca="1">IF(dynamic="Yes",Calculations!CP192,Calculations2!CP65)</f>
        <v>0</v>
      </c>
      <c r="O60" s="213">
        <f ca="1">IF(dynamic="Yes",Calculations!CQ192,Calculations2!CQ65)</f>
        <v>0</v>
      </c>
      <c r="P60" s="9"/>
    </row>
    <row r="61" spans="2:16">
      <c r="B61" s="11">
        <f>comparador9</f>
        <v>0</v>
      </c>
      <c r="C61" s="213">
        <f ca="1">IF(dynamic="Yes",Calculations!CU131,Calculations2!CU44)</f>
        <v>0</v>
      </c>
      <c r="D61" s="213">
        <f ca="1">IF(dynamic="Yes",Calculations!CV131,Calculations2!CV44)</f>
        <v>0</v>
      </c>
      <c r="E61" s="213">
        <f ca="1">IF(dynamic="Yes",Calculations!CW131,Calculations2!CW44)</f>
        <v>0</v>
      </c>
      <c r="F61" s="213">
        <f ca="1">IF(dynamic="Yes",Calculations!CX131,Calculations2!CX44)</f>
        <v>0</v>
      </c>
      <c r="G61" s="213">
        <f ca="1">IF(dynamic="Yes",Calculations!CY131,Calculations2!CY44)</f>
        <v>0</v>
      </c>
      <c r="H61" s="206"/>
      <c r="I61" s="206"/>
      <c r="J61" s="11">
        <f>comparador9</f>
        <v>0</v>
      </c>
      <c r="K61" s="213">
        <f ca="1">IF(dynamic="Yes",Calculations!CU192,Calculations2!CU65)</f>
        <v>0</v>
      </c>
      <c r="L61" s="213">
        <f ca="1">IF(dynamic="Yes",Calculations!CV192,Calculations2!CV65)</f>
        <v>0</v>
      </c>
      <c r="M61" s="213">
        <f ca="1">IF(dynamic="Yes",Calculations!CW192,Calculations2!CW65)</f>
        <v>0</v>
      </c>
      <c r="N61" s="213">
        <f ca="1">IF(dynamic="Yes",Calculations!CX192,Calculations2!CX65)</f>
        <v>0</v>
      </c>
      <c r="O61" s="213">
        <f ca="1">IF(dynamic="Yes",Calculations!CY192,Calculations2!CY65)</f>
        <v>0</v>
      </c>
      <c r="P61" s="9"/>
    </row>
    <row r="62" spans="2:16">
      <c r="B62" s="11">
        <f>comparador10</f>
        <v>0</v>
      </c>
      <c r="C62" s="213">
        <f ca="1">IF(dynamic="Yes",Calculations!DC131,Calculations2!DC44)</f>
        <v>0</v>
      </c>
      <c r="D62" s="213">
        <f ca="1">IF(dynamic="Yes",Calculations!DD131,Calculations2!DD44)</f>
        <v>0</v>
      </c>
      <c r="E62" s="213">
        <f ca="1">IF(dynamic="Yes",Calculations!DE131,Calculations2!DE44)</f>
        <v>0</v>
      </c>
      <c r="F62" s="213">
        <f ca="1">IF(dynamic="Yes",Calculations!DF131,Calculations2!DF44)</f>
        <v>0</v>
      </c>
      <c r="G62" s="213">
        <f ca="1">IF(dynamic="Yes",Calculations!DG131,Calculations2!DG44)</f>
        <v>0</v>
      </c>
      <c r="H62" s="206"/>
      <c r="I62" s="206"/>
      <c r="J62" s="11">
        <f>comparador10</f>
        <v>0</v>
      </c>
      <c r="K62" s="213">
        <f ca="1">IF(dynamic="Yes",Calculations!DC192,Calculations2!DC65)</f>
        <v>0</v>
      </c>
      <c r="L62" s="213">
        <f ca="1">IF(dynamic="Yes",Calculations!DD192,Calculations2!DD65)</f>
        <v>0</v>
      </c>
      <c r="M62" s="213">
        <f ca="1">IF(dynamic="Yes",Calculations!DE192,Calculations2!DE65)</f>
        <v>0</v>
      </c>
      <c r="N62" s="213">
        <f ca="1">IF(dynamic="Yes",Calculations!DF192,Calculations2!DF65)</f>
        <v>0</v>
      </c>
      <c r="O62" s="213">
        <f ca="1">IF(dynamic="Yes",Calculations!DG192,Calculations2!DG65)</f>
        <v>0</v>
      </c>
      <c r="P62" s="9"/>
    </row>
    <row r="63" spans="2:16">
      <c r="B63" s="115" t="s">
        <v>5</v>
      </c>
      <c r="C63" s="213">
        <f ca="1">SUM(C49:C62)</f>
        <v>31476995.518639416</v>
      </c>
      <c r="D63" s="213">
        <f t="shared" ref="D63" ca="1" si="15">SUM(D49:D62)</f>
        <v>30721158.359992228</v>
      </c>
      <c r="E63" s="213">
        <f t="shared" ref="E63" ca="1" si="16">SUM(E49:E62)</f>
        <v>29944779.906931952</v>
      </c>
      <c r="F63" s="213">
        <f t="shared" ref="F63" ca="1" si="17">SUM(F49:F62)</f>
        <v>29095283.781380929</v>
      </c>
      <c r="G63" s="213">
        <f ca="1">SUM(G49:G62)</f>
        <v>28128650.062925208</v>
      </c>
      <c r="H63" s="206"/>
      <c r="I63" s="206"/>
      <c r="J63" s="216" t="s">
        <v>5</v>
      </c>
      <c r="K63" s="213">
        <f ca="1">SUM(K49:K62)</f>
        <v>26949840.420278382</v>
      </c>
      <c r="L63" s="213">
        <f t="shared" ref="L63" ca="1" si="18">SUM(L49:L62)</f>
        <v>26711522.206938572</v>
      </c>
      <c r="M63" s="213">
        <f t="shared" ref="M63" ca="1" si="19">SUM(M49:M62)</f>
        <v>26450070.802397378</v>
      </c>
      <c r="N63" s="213">
        <f t="shared" ref="N63" ca="1" si="20">SUM(N49:N62)</f>
        <v>26113930.073086075</v>
      </c>
      <c r="O63" s="213">
        <f t="shared" ref="O63" ca="1" si="21">SUM(O49:O62)</f>
        <v>25658985.749948055</v>
      </c>
      <c r="P63" s="9"/>
    </row>
    <row r="65" spans="2:16">
      <c r="B65" s="513">
        <f>cen_prop3</f>
        <v>0</v>
      </c>
      <c r="C65" s="513"/>
      <c r="D65" s="513"/>
      <c r="E65" s="513"/>
      <c r="F65" s="513"/>
      <c r="G65" s="513"/>
      <c r="H65" s="513"/>
      <c r="I65" s="9"/>
      <c r="J65" s="513">
        <f>cen_prop3</f>
        <v>0</v>
      </c>
      <c r="K65" s="513"/>
      <c r="L65" s="513"/>
      <c r="M65" s="513"/>
      <c r="N65" s="513"/>
      <c r="O65" s="513"/>
      <c r="P65" s="513"/>
    </row>
    <row r="67" spans="2:16">
      <c r="B67" s="93" t="s">
        <v>81</v>
      </c>
      <c r="C67" s="93">
        <f>ano_1</f>
        <v>2026</v>
      </c>
      <c r="D67" s="93">
        <f>C67+1</f>
        <v>2027</v>
      </c>
      <c r="E67" s="93">
        <f t="shared" ref="E67:G67" si="22">D67+1</f>
        <v>2028</v>
      </c>
      <c r="F67" s="93">
        <f t="shared" si="22"/>
        <v>2029</v>
      </c>
      <c r="G67" s="93">
        <f t="shared" si="22"/>
        <v>2030</v>
      </c>
      <c r="H67" s="5"/>
      <c r="I67" s="9"/>
      <c r="J67" s="93" t="s">
        <v>81</v>
      </c>
      <c r="K67" s="93">
        <f>ano_1</f>
        <v>2026</v>
      </c>
      <c r="L67" s="93">
        <f>K67+1</f>
        <v>2027</v>
      </c>
      <c r="M67" s="93">
        <f t="shared" ref="M67:O67" si="23">L67+1</f>
        <v>2028</v>
      </c>
      <c r="N67" s="93">
        <f t="shared" si="23"/>
        <v>2029</v>
      </c>
      <c r="O67" s="93">
        <f t="shared" si="23"/>
        <v>2030</v>
      </c>
      <c r="P67" s="5"/>
    </row>
    <row r="68" spans="2:16">
      <c r="B68" s="11" t="str">
        <f>intervencao1</f>
        <v>Intrauterine device levonorgestrel</v>
      </c>
      <c r="C68" s="213">
        <f ca="1">IF(dynamic="Yes",Calculations!C145,Calculations2!C48)</f>
        <v>0</v>
      </c>
      <c r="D68" s="213">
        <f ca="1">IF(dynamic="Yes",Calculations!D145,Calculations2!D48)</f>
        <v>0</v>
      </c>
      <c r="E68" s="213">
        <f ca="1">IF(dynamic="Yes",Calculations!E145,Calculations2!E48)</f>
        <v>0</v>
      </c>
      <c r="F68" s="213">
        <f ca="1">IF(dynamic="Yes",Calculations!F145,Calculations2!F48)</f>
        <v>0</v>
      </c>
      <c r="G68" s="213">
        <f ca="1">IF(dynamic="Yes",Calculations!G145,Calculations2!G48)</f>
        <v>0</v>
      </c>
      <c r="H68" s="206"/>
      <c r="I68" s="206"/>
      <c r="J68" s="11" t="str">
        <f>intervencao1</f>
        <v>Intrauterine device levonorgestrel</v>
      </c>
      <c r="K68" s="213">
        <f ca="1">IF(dynamic="Yes",Calculations!C206,Calculations2!C69)</f>
        <v>0</v>
      </c>
      <c r="L68" s="213">
        <f ca="1">IF(dynamic="Yes",Calculations!D206,Calculations2!D69)</f>
        <v>0</v>
      </c>
      <c r="M68" s="213">
        <f ca="1">IF(dynamic="Yes",Calculations!E206,Calculations2!E69)</f>
        <v>0</v>
      </c>
      <c r="N68" s="213">
        <f ca="1">IF(dynamic="Yes",Calculations!F206,Calculations2!F69)</f>
        <v>0</v>
      </c>
      <c r="O68" s="213">
        <f ca="1">IF(dynamic="Yes",Calculations!G206,Calculations2!G69)</f>
        <v>0</v>
      </c>
      <c r="P68" s="9"/>
    </row>
    <row r="69" spans="2:16">
      <c r="B69" s="11">
        <f>intervencao2</f>
        <v>0</v>
      </c>
      <c r="C69" s="213">
        <f ca="1">IF(dynamic="Yes",Calculations!K145,Calculations2!K48)</f>
        <v>0</v>
      </c>
      <c r="D69" s="213">
        <f ca="1">IF(dynamic="Yes",Calculations!L145,Calculations2!L48)</f>
        <v>0</v>
      </c>
      <c r="E69" s="213">
        <f ca="1">IF(dynamic="Yes",Calculations!M145,Calculations2!M48)</f>
        <v>0</v>
      </c>
      <c r="F69" s="213">
        <f ca="1">IF(dynamic="Yes",Calculations!N145,Calculations2!N48)</f>
        <v>0</v>
      </c>
      <c r="G69" s="213">
        <f ca="1">IF(dynamic="Yes",Calculations!O145,Calculations2!O48)</f>
        <v>0</v>
      </c>
      <c r="H69" s="215"/>
      <c r="I69" s="206"/>
      <c r="J69" s="11">
        <f>intervencao2</f>
        <v>0</v>
      </c>
      <c r="K69" s="213">
        <f ca="1">IF(dynamic="Yes",Calculations!K206,Calculations2!K69)</f>
        <v>0</v>
      </c>
      <c r="L69" s="213">
        <f ca="1">IF(dynamic="Yes",Calculations!L206,Calculations2!L69)</f>
        <v>0</v>
      </c>
      <c r="M69" s="213">
        <f ca="1">IF(dynamic="Yes",Calculations!M206,Calculations2!M69)</f>
        <v>0</v>
      </c>
      <c r="N69" s="213">
        <f ca="1">IF(dynamic="Yes",Calculations!N206,Calculations2!N69)</f>
        <v>0</v>
      </c>
      <c r="O69" s="213">
        <f ca="1">IF(dynamic="Yes",Calculations!O206,Calculations2!O69)</f>
        <v>0</v>
      </c>
      <c r="P69" s="4"/>
    </row>
    <row r="70" spans="2:16">
      <c r="B70" s="11">
        <f>intervencao3</f>
        <v>0</v>
      </c>
      <c r="C70" s="213">
        <f ca="1">IF(dynamic="Yes",Calculations!S145,Calculations2!S48)</f>
        <v>0</v>
      </c>
      <c r="D70" s="213">
        <f ca="1">IF(dynamic="Yes",Calculations!T145,Calculations2!T48)</f>
        <v>0</v>
      </c>
      <c r="E70" s="213">
        <f ca="1">IF(dynamic="Yes",Calculations!U145,Calculations2!U48)</f>
        <v>0</v>
      </c>
      <c r="F70" s="213">
        <f ca="1">IF(dynamic="Yes",Calculations!V145,Calculations2!V48)</f>
        <v>0</v>
      </c>
      <c r="G70" s="213">
        <f ca="1">IF(dynamic="Yes",Calculations!W145,Calculations2!W48)</f>
        <v>0</v>
      </c>
      <c r="H70" s="206"/>
      <c r="I70" s="206"/>
      <c r="J70" s="11">
        <f>intervencao3</f>
        <v>0</v>
      </c>
      <c r="K70" s="213">
        <f ca="1">IF(dynamic="Yes",Calculations!S206,Calculations2!S69)</f>
        <v>0</v>
      </c>
      <c r="L70" s="213">
        <f ca="1">IF(dynamic="Yes",Calculations!T206,Calculations2!T69)</f>
        <v>0</v>
      </c>
      <c r="M70" s="213">
        <f ca="1">IF(dynamic="Yes",Calculations!U206,Calculations2!U69)</f>
        <v>0</v>
      </c>
      <c r="N70" s="213">
        <f ca="1">IF(dynamic="Yes",Calculations!V206,Calculations2!V69)</f>
        <v>0</v>
      </c>
      <c r="O70" s="213">
        <f ca="1">IF(dynamic="Yes",Calculations!W206,Calculations2!W69)</f>
        <v>0</v>
      </c>
      <c r="P70" s="9"/>
    </row>
    <row r="71" spans="2:16">
      <c r="B71" s="11">
        <f>intervencao4</f>
        <v>0</v>
      </c>
      <c r="C71" s="213">
        <f ca="1">IF(dynamic="Yes",Calculations!AA145,Calculations2!AA48)</f>
        <v>0</v>
      </c>
      <c r="D71" s="213">
        <f ca="1">IF(dynamic="Yes",Calculations!AB145,Calculations2!AB48)</f>
        <v>0</v>
      </c>
      <c r="E71" s="213">
        <f ca="1">IF(dynamic="Yes",Calculations!AC145,Calculations2!AC48)</f>
        <v>0</v>
      </c>
      <c r="F71" s="213">
        <f ca="1">IF(dynamic="Yes",Calculations!AD145,Calculations2!AD48)</f>
        <v>0</v>
      </c>
      <c r="G71" s="213">
        <f ca="1">IF(dynamic="Yes",Calculations!AE145,Calculations2!AE48)</f>
        <v>0</v>
      </c>
      <c r="H71" s="206"/>
      <c r="I71" s="206"/>
      <c r="J71" s="11">
        <f>intervencao4</f>
        <v>0</v>
      </c>
      <c r="K71" s="213">
        <f ca="1">IF(dynamic="Yes",Calculations!AA206,Calculations2!AA69)</f>
        <v>0</v>
      </c>
      <c r="L71" s="213">
        <f ca="1">IF(dynamic="Yes",Calculations!AB206,Calculations2!AB69)</f>
        <v>0</v>
      </c>
      <c r="M71" s="213">
        <f ca="1">IF(dynamic="Yes",Calculations!AC206,Calculations2!AC69)</f>
        <v>0</v>
      </c>
      <c r="N71" s="213">
        <f ca="1">IF(dynamic="Yes",Calculations!AD206,Calculations2!AD69)</f>
        <v>0</v>
      </c>
      <c r="O71" s="213">
        <f ca="1">IF(dynamic="Yes",Calculations!AE206,Calculations2!AE69)</f>
        <v>0</v>
      </c>
      <c r="P71" s="9"/>
    </row>
    <row r="72" spans="2:16">
      <c r="B72" s="11" t="str">
        <f>comparador1</f>
        <v>Oral contraceptive</v>
      </c>
      <c r="C72" s="213">
        <f ca="1">IF(dynamic="Yes",Calculations!AI145,Calculations2!AI48)</f>
        <v>0</v>
      </c>
      <c r="D72" s="213">
        <f ca="1">IF(dynamic="Yes",Calculations!AJ145,Calculations2!AJ48)</f>
        <v>0</v>
      </c>
      <c r="E72" s="213">
        <f ca="1">IF(dynamic="Yes",Calculations!AK145,Calculations2!AK48)</f>
        <v>0</v>
      </c>
      <c r="F72" s="213">
        <f ca="1">IF(dynamic="Yes",Calculations!AL145,Calculations2!AL48)</f>
        <v>0</v>
      </c>
      <c r="G72" s="213">
        <f ca="1">IF(dynamic="Yes",Calculations!AM145,Calculations2!AM48)</f>
        <v>0</v>
      </c>
      <c r="H72" s="206"/>
      <c r="I72" s="206"/>
      <c r="J72" s="11" t="str">
        <f>comparador1</f>
        <v>Oral contraceptive</v>
      </c>
      <c r="K72" s="213">
        <f ca="1">IF(dynamic="Yes",Calculations!AI206,Calculations2!AI69)</f>
        <v>0</v>
      </c>
      <c r="L72" s="213">
        <f ca="1">IF(dynamic="Yes",Calculations!AJ206,Calculations2!AJ69)</f>
        <v>0</v>
      </c>
      <c r="M72" s="213">
        <f ca="1">IF(dynamic="Yes",Calculations!AK206,Calculations2!AK69)</f>
        <v>0</v>
      </c>
      <c r="N72" s="213">
        <f ca="1">IF(dynamic="Yes",Calculations!AL206,Calculations2!AL69)</f>
        <v>0</v>
      </c>
      <c r="O72" s="213">
        <f ca="1">IF(dynamic="Yes",Calculations!AM206,Calculations2!AM69)</f>
        <v>0</v>
      </c>
      <c r="P72" s="9"/>
    </row>
    <row r="73" spans="2:16">
      <c r="B73" s="11">
        <f>comparador2</f>
        <v>0</v>
      </c>
      <c r="C73" s="213">
        <f ca="1">IF(dynamic="Yes",Calculations!AQ145,Calculations2!AQ48)</f>
        <v>0</v>
      </c>
      <c r="D73" s="213">
        <f ca="1">IF(dynamic="Yes",Calculations!AR145,Calculations2!AR48)</f>
        <v>0</v>
      </c>
      <c r="E73" s="213">
        <f ca="1">IF(dynamic="Yes",Calculations!AS145,Calculations2!AS48)</f>
        <v>0</v>
      </c>
      <c r="F73" s="213">
        <f ca="1">IF(dynamic="Yes",Calculations!AT145,Calculations2!AT48)</f>
        <v>0</v>
      </c>
      <c r="G73" s="213">
        <f ca="1">IF(dynamic="Yes",Calculations!AU145,Calculations2!AU48)</f>
        <v>0</v>
      </c>
      <c r="H73" s="206"/>
      <c r="I73" s="206"/>
      <c r="J73" s="11">
        <f>comparador2</f>
        <v>0</v>
      </c>
      <c r="K73" s="213">
        <f ca="1">IF(dynamic="Yes",Calculations!AQ206,Calculations2!AQ69)</f>
        <v>0</v>
      </c>
      <c r="L73" s="213">
        <f ca="1">IF(dynamic="Yes",Calculations!AR206,Calculations2!AR69)</f>
        <v>0</v>
      </c>
      <c r="M73" s="213">
        <f ca="1">IF(dynamic="Yes",Calculations!AS206,Calculations2!AS69)</f>
        <v>0</v>
      </c>
      <c r="N73" s="213">
        <f ca="1">IF(dynamic="Yes",Calculations!AT206,Calculations2!AT69)</f>
        <v>0</v>
      </c>
      <c r="O73" s="213">
        <f ca="1">IF(dynamic="Yes",Calculations!AU206,Calculations2!AU69)</f>
        <v>0</v>
      </c>
      <c r="P73" s="9"/>
    </row>
    <row r="74" spans="2:16">
      <c r="B74" s="11">
        <f>comparador3</f>
        <v>0</v>
      </c>
      <c r="C74" s="213">
        <f ca="1">IF(dynamic="Yes",Calculations!AY145,Calculations2!AY48)</f>
        <v>0</v>
      </c>
      <c r="D74" s="213">
        <f ca="1">IF(dynamic="Yes",Calculations!AZ145,Calculations2!AZ48)</f>
        <v>0</v>
      </c>
      <c r="E74" s="213">
        <f ca="1">IF(dynamic="Yes",Calculations!BA145,Calculations2!BA48)</f>
        <v>0</v>
      </c>
      <c r="F74" s="213">
        <f ca="1">IF(dynamic="Yes",Calculations!BB145,Calculations2!BB48)</f>
        <v>0</v>
      </c>
      <c r="G74" s="213">
        <f ca="1">IF(dynamic="Yes",Calculations!BC145,Calculations2!BC48)</f>
        <v>0</v>
      </c>
      <c r="H74" s="206"/>
      <c r="I74" s="206"/>
      <c r="J74" s="11">
        <f>comparador3</f>
        <v>0</v>
      </c>
      <c r="K74" s="213">
        <f ca="1">IF(dynamic="Yes",Calculations!AY206,Calculations2!AY69)</f>
        <v>0</v>
      </c>
      <c r="L74" s="213">
        <f ca="1">IF(dynamic="Yes",Calculations!AZ206,Calculations2!AZ69)</f>
        <v>0</v>
      </c>
      <c r="M74" s="213">
        <f ca="1">IF(dynamic="Yes",Calculations!BA206,Calculations2!BA69)</f>
        <v>0</v>
      </c>
      <c r="N74" s="213">
        <f ca="1">IF(dynamic="Yes",Calculations!BB206,Calculations2!BB69)</f>
        <v>0</v>
      </c>
      <c r="O74" s="213">
        <f ca="1">IF(dynamic="Yes",Calculations!BC206,Calculations2!BC69)</f>
        <v>0</v>
      </c>
      <c r="P74" s="9"/>
    </row>
    <row r="75" spans="2:16">
      <c r="B75" s="11">
        <f>comparador4</f>
        <v>0</v>
      </c>
      <c r="C75" s="213">
        <f ca="1">IF(dynamic="Yes",Calculations!BG145,Calculations2!BG48)</f>
        <v>0</v>
      </c>
      <c r="D75" s="213">
        <f ca="1">IF(dynamic="Yes",Calculations!BH145,Calculations2!BH48)</f>
        <v>0</v>
      </c>
      <c r="E75" s="213">
        <f ca="1">IF(dynamic="Yes",Calculations!BI145,Calculations2!BI48)</f>
        <v>0</v>
      </c>
      <c r="F75" s="213">
        <f ca="1">IF(dynamic="Yes",Calculations!BJ145,Calculations2!BJ48)</f>
        <v>0</v>
      </c>
      <c r="G75" s="213">
        <f ca="1">IF(dynamic="Yes",Calculations!BK145,Calculations2!BK48)</f>
        <v>0</v>
      </c>
      <c r="H75" s="206"/>
      <c r="I75" s="206"/>
      <c r="J75" s="11">
        <f>comparador4</f>
        <v>0</v>
      </c>
      <c r="K75" s="213">
        <f ca="1">IF(dynamic="Yes",Calculations!BG206,Calculations2!BG69)</f>
        <v>0</v>
      </c>
      <c r="L75" s="213">
        <f ca="1">IF(dynamic="Yes",Calculations!BH206,Calculations2!BH69)</f>
        <v>0</v>
      </c>
      <c r="M75" s="213">
        <f ca="1">IF(dynamic="Yes",Calculations!BI206,Calculations2!BI69)</f>
        <v>0</v>
      </c>
      <c r="N75" s="213">
        <f ca="1">IF(dynamic="Yes",Calculations!BJ206,Calculations2!BJ69)</f>
        <v>0</v>
      </c>
      <c r="O75" s="213">
        <f ca="1">IF(dynamic="Yes",Calculations!BK206,Calculations2!BK69)</f>
        <v>0</v>
      </c>
      <c r="P75" s="9"/>
    </row>
    <row r="76" spans="2:16">
      <c r="B76" s="11">
        <f>comparador5</f>
        <v>0</v>
      </c>
      <c r="C76" s="213">
        <f ca="1">IF(dynamic="Yes",Calculations!BO145,Calculations2!BO48)</f>
        <v>0</v>
      </c>
      <c r="D76" s="213">
        <f ca="1">IF(dynamic="Yes",Calculations!BP145,Calculations2!BP48)</f>
        <v>0</v>
      </c>
      <c r="E76" s="213">
        <f ca="1">IF(dynamic="Yes",Calculations!BQ145,Calculations2!BQ48)</f>
        <v>0</v>
      </c>
      <c r="F76" s="213">
        <f ca="1">IF(dynamic="Yes",Calculations!BR145,Calculations2!BR48)</f>
        <v>0</v>
      </c>
      <c r="G76" s="213">
        <f ca="1">IF(dynamic="Yes",Calculations!BS145,Calculations2!BS48)</f>
        <v>0</v>
      </c>
      <c r="H76" s="206"/>
      <c r="I76" s="206"/>
      <c r="J76" s="11">
        <f>comparador5</f>
        <v>0</v>
      </c>
      <c r="K76" s="213">
        <f ca="1">IF(dynamic="Yes",Calculations!BO206,Calculations2!BO69)</f>
        <v>0</v>
      </c>
      <c r="L76" s="213">
        <f ca="1">IF(dynamic="Yes",Calculations!BP206,Calculations2!BP69)</f>
        <v>0</v>
      </c>
      <c r="M76" s="213">
        <f ca="1">IF(dynamic="Yes",Calculations!BQ206,Calculations2!BQ69)</f>
        <v>0</v>
      </c>
      <c r="N76" s="213">
        <f ca="1">IF(dynamic="Yes",Calculations!BR206,Calculations2!BR69)</f>
        <v>0</v>
      </c>
      <c r="O76" s="213">
        <f ca="1">IF(dynamic="Yes",Calculations!BS206,Calculations2!BS69)</f>
        <v>0</v>
      </c>
      <c r="P76" s="9"/>
    </row>
    <row r="77" spans="2:16">
      <c r="B77" s="11">
        <f>comparador6</f>
        <v>0</v>
      </c>
      <c r="C77" s="213">
        <f ca="1">IF(dynamic="Yes",Calculations!BW145,Calculations2!BW48)</f>
        <v>0</v>
      </c>
      <c r="D77" s="213">
        <f ca="1">IF(dynamic="Yes",Calculations!BX145,Calculations2!BX48)</f>
        <v>0</v>
      </c>
      <c r="E77" s="213">
        <f ca="1">IF(dynamic="Yes",Calculations!BY145,Calculations2!BY48)</f>
        <v>0</v>
      </c>
      <c r="F77" s="213">
        <f ca="1">IF(dynamic="Yes",Calculations!BZ145,Calculations2!BZ48)</f>
        <v>0</v>
      </c>
      <c r="G77" s="213">
        <f ca="1">IF(dynamic="Yes",Calculations!CA145,Calculations2!CA48)</f>
        <v>0</v>
      </c>
      <c r="H77" s="206"/>
      <c r="I77" s="206"/>
      <c r="J77" s="11">
        <f>comparador6</f>
        <v>0</v>
      </c>
      <c r="K77" s="213">
        <f ca="1">IF(dynamic="Yes",Calculations!BW206,Calculations2!BW69)</f>
        <v>0</v>
      </c>
      <c r="L77" s="213">
        <f ca="1">IF(dynamic="Yes",Calculations!BX206,Calculations2!BX69)</f>
        <v>0</v>
      </c>
      <c r="M77" s="213">
        <f ca="1">IF(dynamic="Yes",Calculations!BY206,Calculations2!BY69)</f>
        <v>0</v>
      </c>
      <c r="N77" s="213">
        <f ca="1">IF(dynamic="Yes",Calculations!BZ206,Calculations2!BZ69)</f>
        <v>0</v>
      </c>
      <c r="O77" s="213">
        <f ca="1">IF(dynamic="Yes",Calculations!CA206,Calculations2!CA69)</f>
        <v>0</v>
      </c>
      <c r="P77" s="9"/>
    </row>
    <row r="78" spans="2:16">
      <c r="B78" s="11">
        <f>comparador7</f>
        <v>0</v>
      </c>
      <c r="C78" s="213">
        <f ca="1">IF(dynamic="Yes",Calculations!CE145,Calculations2!CE48)</f>
        <v>0</v>
      </c>
      <c r="D78" s="213">
        <f ca="1">IF(dynamic="Yes",Calculations!CF145,Calculations2!CF48)</f>
        <v>0</v>
      </c>
      <c r="E78" s="213">
        <f ca="1">IF(dynamic="Yes",Calculations!CG145,Calculations2!CG48)</f>
        <v>0</v>
      </c>
      <c r="F78" s="213">
        <f ca="1">IF(dynamic="Yes",Calculations!CH145,Calculations2!CH48)</f>
        <v>0</v>
      </c>
      <c r="G78" s="213">
        <f ca="1">IF(dynamic="Yes",Calculations!CI145,Calculations2!CI48)</f>
        <v>0</v>
      </c>
      <c r="H78" s="206"/>
      <c r="I78" s="206"/>
      <c r="J78" s="11">
        <f>comparador7</f>
        <v>0</v>
      </c>
      <c r="K78" s="213">
        <f ca="1">IF(dynamic="Yes",Calculations!CE206,Calculations2!CE69)</f>
        <v>0</v>
      </c>
      <c r="L78" s="213">
        <f ca="1">IF(dynamic="Yes",Calculations!CF206,Calculations2!CF69)</f>
        <v>0</v>
      </c>
      <c r="M78" s="213">
        <f ca="1">IF(dynamic="Yes",Calculations!CG206,Calculations2!CG69)</f>
        <v>0</v>
      </c>
      <c r="N78" s="213">
        <f ca="1">IF(dynamic="Yes",Calculations!CH206,Calculations2!CH69)</f>
        <v>0</v>
      </c>
      <c r="O78" s="213">
        <f ca="1">IF(dynamic="Yes",Calculations!CI206,Calculations2!CI69)</f>
        <v>0</v>
      </c>
      <c r="P78" s="9"/>
    </row>
    <row r="79" spans="2:16">
      <c r="B79" s="11">
        <f>comparador8</f>
        <v>0</v>
      </c>
      <c r="C79" s="213">
        <f ca="1">IF(dynamic="Yes",Calculations!CM145,Calculations2!CM48)</f>
        <v>0</v>
      </c>
      <c r="D79" s="213">
        <f ca="1">IF(dynamic="Yes",Calculations!CN145,Calculations2!CN48)</f>
        <v>0</v>
      </c>
      <c r="E79" s="213">
        <f ca="1">IF(dynamic="Yes",Calculations!CO145,Calculations2!CO48)</f>
        <v>0</v>
      </c>
      <c r="F79" s="213">
        <f ca="1">IF(dynamic="Yes",Calculations!CP145,Calculations2!CP48)</f>
        <v>0</v>
      </c>
      <c r="G79" s="213">
        <f ca="1">IF(dynamic="Yes",Calculations!CQ145,Calculations2!CQ48)</f>
        <v>0</v>
      </c>
      <c r="H79" s="206"/>
      <c r="I79" s="206"/>
      <c r="J79" s="11">
        <f>comparador8</f>
        <v>0</v>
      </c>
      <c r="K79" s="213">
        <f ca="1">IF(dynamic="Yes",Calculations!CM206,Calculations2!CM69)</f>
        <v>0</v>
      </c>
      <c r="L79" s="213">
        <f ca="1">IF(dynamic="Yes",Calculations!CN206,Calculations2!CN69)</f>
        <v>0</v>
      </c>
      <c r="M79" s="213">
        <f ca="1">IF(dynamic="Yes",Calculations!CO206,Calculations2!CO69)</f>
        <v>0</v>
      </c>
      <c r="N79" s="213">
        <f ca="1">IF(dynamic="Yes",Calculations!CP206,Calculations2!CP69)</f>
        <v>0</v>
      </c>
      <c r="O79" s="213">
        <f ca="1">IF(dynamic="Yes",Calculations!CQ206,Calculations2!CQ69)</f>
        <v>0</v>
      </c>
      <c r="P79" s="9"/>
    </row>
    <row r="80" spans="2:16">
      <c r="B80" s="11">
        <f>comparador9</f>
        <v>0</v>
      </c>
      <c r="C80" s="213">
        <f ca="1">IF(dynamic="Yes",Calculations!CU145,Calculations2!CU48)</f>
        <v>0</v>
      </c>
      <c r="D80" s="213">
        <f ca="1">IF(dynamic="Yes",Calculations!CV145,Calculations2!CV48)</f>
        <v>0</v>
      </c>
      <c r="E80" s="213">
        <f ca="1">IF(dynamic="Yes",Calculations!CW145,Calculations2!CW48)</f>
        <v>0</v>
      </c>
      <c r="F80" s="213">
        <f ca="1">IF(dynamic="Yes",Calculations!CX145,Calculations2!CX48)</f>
        <v>0</v>
      </c>
      <c r="G80" s="213">
        <f ca="1">IF(dynamic="Yes",Calculations!CY145,Calculations2!CY48)</f>
        <v>0</v>
      </c>
      <c r="H80" s="206"/>
      <c r="I80" s="206"/>
      <c r="J80" s="11">
        <f>comparador9</f>
        <v>0</v>
      </c>
      <c r="K80" s="213">
        <f ca="1">IF(dynamic="Yes",Calculations!CU206,Calculations2!CU69)</f>
        <v>0</v>
      </c>
      <c r="L80" s="213">
        <f ca="1">IF(dynamic="Yes",Calculations!CV206,Calculations2!CV69)</f>
        <v>0</v>
      </c>
      <c r="M80" s="213">
        <f ca="1">IF(dynamic="Yes",Calculations!CW206,Calculations2!CW69)</f>
        <v>0</v>
      </c>
      <c r="N80" s="213">
        <f ca="1">IF(dynamic="Yes",Calculations!CX206,Calculations2!CX69)</f>
        <v>0</v>
      </c>
      <c r="O80" s="213">
        <f ca="1">IF(dynamic="Yes",Calculations!CY206,Calculations2!CY69)</f>
        <v>0</v>
      </c>
      <c r="P80" s="9"/>
    </row>
    <row r="81" spans="2:16">
      <c r="B81" s="11">
        <f>comparador10</f>
        <v>0</v>
      </c>
      <c r="C81" s="213">
        <f ca="1">IF(dynamic="Yes",Calculations!DC145,Calculations2!DC48)</f>
        <v>0</v>
      </c>
      <c r="D81" s="213">
        <f ca="1">IF(dynamic="Yes",Calculations!DD145,Calculations2!DD48)</f>
        <v>0</v>
      </c>
      <c r="E81" s="213">
        <f ca="1">IF(dynamic="Yes",Calculations!DE145,Calculations2!DE48)</f>
        <v>0</v>
      </c>
      <c r="F81" s="213">
        <f ca="1">IF(dynamic="Yes",Calculations!DF145,Calculations2!DF48)</f>
        <v>0</v>
      </c>
      <c r="G81" s="213">
        <f ca="1">IF(dynamic="Yes",Calculations!DG145,Calculations2!DG48)</f>
        <v>0</v>
      </c>
      <c r="H81" s="206"/>
      <c r="I81" s="206"/>
      <c r="J81" s="11">
        <f>comparador10</f>
        <v>0</v>
      </c>
      <c r="K81" s="213">
        <f ca="1">IF(dynamic="Yes",Calculations!DC206,Calculations2!DC69)</f>
        <v>0</v>
      </c>
      <c r="L81" s="213">
        <f ca="1">IF(dynamic="Yes",Calculations!DD206,Calculations2!DD69)</f>
        <v>0</v>
      </c>
      <c r="M81" s="213">
        <f ca="1">IF(dynamic="Yes",Calculations!DE206,Calculations2!DE69)</f>
        <v>0</v>
      </c>
      <c r="N81" s="213">
        <f ca="1">IF(dynamic="Yes",Calculations!DF206,Calculations2!DF69)</f>
        <v>0</v>
      </c>
      <c r="O81" s="213">
        <f ca="1">IF(dynamic="Yes",Calculations!DG206,Calculations2!DG69)</f>
        <v>0</v>
      </c>
      <c r="P81" s="9"/>
    </row>
    <row r="82" spans="2:16">
      <c r="B82" s="115" t="s">
        <v>5</v>
      </c>
      <c r="C82" s="213">
        <f ca="1">SUM(C68:C81)</f>
        <v>0</v>
      </c>
      <c r="D82" s="213">
        <f t="shared" ref="D82" ca="1" si="24">SUM(D68:D81)</f>
        <v>0</v>
      </c>
      <c r="E82" s="213">
        <f t="shared" ref="E82" ca="1" si="25">SUM(E68:E81)</f>
        <v>0</v>
      </c>
      <c r="F82" s="213">
        <f t="shared" ref="F82" ca="1" si="26">SUM(F68:F81)</f>
        <v>0</v>
      </c>
      <c r="G82" s="213">
        <f ca="1">SUM(G68:G81)</f>
        <v>0</v>
      </c>
      <c r="H82" s="206"/>
      <c r="I82" s="206"/>
      <c r="J82" s="216" t="s">
        <v>5</v>
      </c>
      <c r="K82" s="213">
        <f ca="1">SUM(K68:K81)</f>
        <v>0</v>
      </c>
      <c r="L82" s="213">
        <f t="shared" ref="L82" ca="1" si="27">SUM(L68:L81)</f>
        <v>0</v>
      </c>
      <c r="M82" s="213">
        <f t="shared" ref="M82" ca="1" si="28">SUM(M68:M81)</f>
        <v>0</v>
      </c>
      <c r="N82" s="213">
        <f t="shared" ref="N82" ca="1" si="29">SUM(N68:N81)</f>
        <v>0</v>
      </c>
      <c r="O82" s="213">
        <f t="shared" ref="O82" ca="1" si="30">SUM(O68:O81)</f>
        <v>0</v>
      </c>
      <c r="P82" s="9"/>
    </row>
    <row r="85" spans="2:16" s="1" customFormat="1">
      <c r="B85" s="7"/>
      <c r="C85" s="7"/>
      <c r="D85" s="7"/>
      <c r="E85" s="7"/>
      <c r="F85" s="7"/>
      <c r="G85" s="7"/>
      <c r="H85" s="7"/>
      <c r="I85" s="7"/>
      <c r="J85" s="7"/>
      <c r="K85" s="7"/>
      <c r="L85" s="142"/>
      <c r="M85" s="142"/>
    </row>
    <row r="86" spans="2:16" s="1" customFormat="1">
      <c r="B86" s="65"/>
      <c r="C86" s="65"/>
      <c r="D86" s="65"/>
      <c r="E86" s="65"/>
      <c r="F86" s="65"/>
      <c r="G86" s="65"/>
      <c r="H86" s="65"/>
      <c r="I86" s="65"/>
      <c r="J86" s="65"/>
      <c r="K86" s="65"/>
      <c r="L86" s="65"/>
      <c r="M86" s="65"/>
    </row>
    <row r="87" spans="2:16" s="1" customFormat="1">
      <c r="B87" s="406" t="s">
        <v>77</v>
      </c>
      <c r="C87" s="406"/>
      <c r="D87" s="406"/>
      <c r="E87" s="406"/>
      <c r="F87" s="406"/>
      <c r="G87" s="406"/>
      <c r="H87" s="406"/>
      <c r="I87" s="406"/>
      <c r="J87" s="406"/>
      <c r="K87" s="406"/>
      <c r="L87" s="406"/>
      <c r="M87" s="406"/>
    </row>
    <row r="88" spans="2:16" s="1" customFormat="1">
      <c r="B88" s="406"/>
      <c r="C88" s="406"/>
      <c r="D88" s="406"/>
      <c r="E88" s="406"/>
      <c r="F88" s="406"/>
      <c r="G88" s="406"/>
      <c r="H88" s="406"/>
      <c r="I88" s="406"/>
      <c r="J88" s="406"/>
      <c r="K88" s="406"/>
      <c r="L88" s="406"/>
      <c r="M88" s="406"/>
    </row>
    <row r="89" spans="2:16" s="1" customFormat="1" ht="85.95" customHeight="1">
      <c r="B89" s="405" t="e" vm="1">
        <v>#VALUE!</v>
      </c>
      <c r="C89" s="405"/>
      <c r="D89" s="405"/>
      <c r="E89" s="405"/>
      <c r="F89" s="405"/>
      <c r="G89" s="405"/>
      <c r="H89" s="405"/>
      <c r="I89" s="405"/>
      <c r="J89" s="405"/>
      <c r="K89" s="405"/>
      <c r="L89" s="405"/>
      <c r="M89" s="405"/>
    </row>
  </sheetData>
  <sheetProtection algorithmName="SHA-512" hashValue="sj1U0rvkVhwEULOI10vKrthkBmLwuhrJez0gP7iCtqfHxKGQvC3Cw2iY9ntiA+wlZZ2MrS9+DXIxm2iBmra8HQ==" saltValue="HLEI2nTDZdxlyzD7D0qr2Q==" spinCount="100000" sheet="1" formatCells="0" formatColumns="0" formatRows="0"/>
  <mergeCells count="10">
    <mergeCell ref="B87:M88"/>
    <mergeCell ref="B89:M89"/>
    <mergeCell ref="B65:H65"/>
    <mergeCell ref="B8:H8"/>
    <mergeCell ref="B27:H27"/>
    <mergeCell ref="B46:H46"/>
    <mergeCell ref="J8:P8"/>
    <mergeCell ref="J27:P27"/>
    <mergeCell ref="J46:P46"/>
    <mergeCell ref="J65:P65"/>
  </mergeCells>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2EA8A-69E8-4847-AE55-1F561537953D}">
  <sheetPr codeName="Planilha9">
    <tabColor rgb="FF0EB1BA"/>
  </sheetPr>
  <dimension ref="B1:X73"/>
  <sheetViews>
    <sheetView showGridLines="0" showRowColHeaders="0" topLeftCell="E1" zoomScaleNormal="100" workbookViewId="0">
      <selection activeCell="P1" sqref="P1"/>
    </sheetView>
  </sheetViews>
  <sheetFormatPr defaultColWidth="8.77734375" defaultRowHeight="14.4"/>
  <cols>
    <col min="1" max="1" width="5" style="142" customWidth="1"/>
    <col min="2" max="2" width="4.109375" style="142" customWidth="1"/>
    <col min="3" max="3" width="30.6640625" style="142" customWidth="1"/>
    <col min="4" max="4" width="15.6640625" style="142" customWidth="1"/>
    <col min="5" max="5" width="12.77734375" style="142" customWidth="1"/>
    <col min="6" max="6" width="14" style="142" customWidth="1"/>
    <col min="7" max="7" width="13.33203125" style="142" customWidth="1"/>
    <col min="8" max="8" width="10.44140625" style="142" customWidth="1"/>
    <col min="9" max="9" width="12.33203125" style="142" customWidth="1"/>
    <col min="10" max="10" width="12.6640625" style="142" customWidth="1"/>
    <col min="11" max="11" width="10.77734375" style="142" customWidth="1"/>
    <col min="12" max="12" width="12" style="142" customWidth="1"/>
    <col min="13" max="13" width="10.6640625" style="142" customWidth="1"/>
    <col min="14" max="14" width="8.77734375" style="142" customWidth="1"/>
    <col min="15" max="15" width="55.44140625" style="142" customWidth="1"/>
    <col min="16" max="16" width="17.44140625" style="142" customWidth="1"/>
    <col min="17" max="17" width="14" style="142" customWidth="1"/>
    <col min="18" max="18" width="5.33203125" style="142" customWidth="1"/>
    <col min="19" max="19" width="3.6640625" style="142" customWidth="1"/>
    <col min="20" max="20" width="18.77734375" style="142" customWidth="1"/>
    <col min="21" max="24" width="8.44140625" style="187" customWidth="1"/>
    <col min="25" max="38" width="8.77734375" style="142" customWidth="1"/>
    <col min="39" max="16384" width="8.77734375" style="142"/>
  </cols>
  <sheetData>
    <row r="1" spans="2:24" s="130" customFormat="1" ht="33.6">
      <c r="B1" s="128" t="str">
        <f>Introduction!$B$1</f>
        <v>Budget impact analysis of Intrauterine device levonorgestrel for treatment of Leiomioma presenting with heavy bleeding</v>
      </c>
      <c r="C1" s="128"/>
      <c r="D1" s="128"/>
      <c r="E1" s="129"/>
      <c r="F1" s="127"/>
      <c r="G1" s="127"/>
      <c r="H1" s="127"/>
      <c r="I1" s="127"/>
      <c r="J1" s="127"/>
      <c r="K1" s="127"/>
      <c r="L1" s="127"/>
      <c r="M1" s="127"/>
      <c r="N1" s="127"/>
      <c r="O1" s="127"/>
      <c r="P1" s="401">
        <v>0</v>
      </c>
      <c r="Q1" s="127"/>
      <c r="R1" s="127"/>
      <c r="U1" s="217"/>
      <c r="V1" s="217"/>
      <c r="W1" s="217"/>
      <c r="X1" s="217"/>
    </row>
    <row r="2" spans="2:24" s="130" customFormat="1" ht="18">
      <c r="B2" s="131"/>
      <c r="C2" s="131"/>
      <c r="D2" s="131"/>
      <c r="E2" s="132"/>
      <c r="F2" s="133"/>
      <c r="G2" s="133"/>
      <c r="H2" s="133"/>
      <c r="I2" s="133"/>
      <c r="J2" s="133"/>
      <c r="K2" s="133"/>
      <c r="L2" s="133"/>
      <c r="M2" s="133"/>
      <c r="N2" s="127"/>
      <c r="O2" s="127"/>
      <c r="P2" s="127"/>
      <c r="Q2" s="127"/>
      <c r="R2" s="127"/>
      <c r="U2" s="217"/>
      <c r="V2" s="217"/>
      <c r="W2" s="217"/>
      <c r="X2" s="217"/>
    </row>
    <row r="3" spans="2:24" s="207" customFormat="1" ht="2.25" customHeight="1">
      <c r="E3" s="208"/>
      <c r="U3" s="402"/>
      <c r="V3" s="402"/>
      <c r="W3" s="402"/>
      <c r="X3" s="402"/>
    </row>
    <row r="4" spans="2:24" ht="15.6">
      <c r="B4" s="136"/>
      <c r="C4" s="78" t="s">
        <v>119</v>
      </c>
      <c r="D4" s="78" t="s">
        <v>209</v>
      </c>
      <c r="E4" s="78" t="s">
        <v>120</v>
      </c>
      <c r="F4" s="78" t="s">
        <v>121</v>
      </c>
      <c r="G4" s="78" t="s">
        <v>122</v>
      </c>
      <c r="H4" s="78" t="s">
        <v>123</v>
      </c>
      <c r="I4" s="78" t="s">
        <v>124</v>
      </c>
      <c r="J4" s="78" t="s">
        <v>11</v>
      </c>
      <c r="K4" s="78" t="s">
        <v>12</v>
      </c>
      <c r="L4" s="78" t="s">
        <v>125</v>
      </c>
      <c r="M4" s="78" t="s">
        <v>126</v>
      </c>
      <c r="N4" s="78" t="s">
        <v>13</v>
      </c>
      <c r="O4" s="78" t="s">
        <v>97</v>
      </c>
      <c r="P4" s="363" t="s">
        <v>127</v>
      </c>
      <c r="Q4" s="364" t="s">
        <v>14</v>
      </c>
      <c r="R4" s="136"/>
    </row>
    <row r="5" spans="2:24">
      <c r="B5" s="136"/>
      <c r="C5" s="264"/>
      <c r="D5" s="394"/>
      <c r="E5" s="395">
        <f>IF(AND($P$1=0,P5="point estimate"), F5, IF(AND($P$1=0, P5="lower limit"),V5, IF(AND($P$1=0, P5="upper limit"),W5,IF(AND($P$1=1,F5&gt;0),G5,0))))</f>
        <v>0</v>
      </c>
      <c r="F5" s="396"/>
      <c r="G5" s="397" t="e">
        <f ca="1">IF(L5="Beta",_xlfn.BETA.INV(RAND(),M5,N5),IF(L5="Gamma",_xlfn.GAMMA.INV(RAND(),M5,N5),_xlfn.NORM.INV(RAND(),F5,I5)))</f>
        <v>#DIV/0!</v>
      </c>
      <c r="H5" s="209">
        <v>0.2</v>
      </c>
      <c r="I5" s="265">
        <f>IF(H5&gt;0,(W5-V5)/3.92,(K5-J5)/3.92)</f>
        <v>0</v>
      </c>
      <c r="J5" s="391"/>
      <c r="K5" s="391"/>
      <c r="L5" s="384" t="s">
        <v>13</v>
      </c>
      <c r="M5" s="395" t="e">
        <f>IF(L5="Beta",F5*(F5*(1-F5)/I5^2-1),IF(L5="Gamma",F5^2/I5^2,0))</f>
        <v>#DIV/0!</v>
      </c>
      <c r="N5" s="395" t="e">
        <f>IF(L5="Beta",(M5/F5)-M5,IF(L5="Gamma",I5^2/F5,0))</f>
        <v>#DIV/0!</v>
      </c>
      <c r="O5" s="210"/>
      <c r="P5" s="266" t="s">
        <v>341</v>
      </c>
      <c r="Q5" s="266" t="s">
        <v>342</v>
      </c>
      <c r="R5" s="136"/>
      <c r="V5" s="403">
        <f>IF(H5&gt;0,F5*(1-H5),J5)</f>
        <v>0</v>
      </c>
      <c r="W5" s="403">
        <f>IF(H5&gt;0,F5*(1+H5),K5)</f>
        <v>0</v>
      </c>
    </row>
    <row r="6" spans="2:24">
      <c r="B6" s="136"/>
      <c r="C6" s="267" t="str">
        <f>Population!C81</f>
        <v>Leiomyoma prevalence</v>
      </c>
      <c r="D6" s="393"/>
      <c r="E6" s="395">
        <f t="shared" ref="E6:E58" si="0">IF(AND($P$1=0,P6="point estimate"), F6, IF(AND($P$1=0, P6="lower limit"),V6, IF(AND($P$1=0, P6="upper limit"),W6,IF(AND($P$1=1,F6&gt;0),G6,0))))</f>
        <v>6.1035399999999997E-2</v>
      </c>
      <c r="F6" s="398">
        <f>Population!D81</f>
        <v>6.1035399999999997E-2</v>
      </c>
      <c r="G6" s="397">
        <f t="shared" ref="G6:G58" ca="1" si="1">IF(L6="Beta",_xlfn.BETA.INV(RAND(),M6,N6),IF(L6="Gamma",_xlfn.GAMMA.INV(RAND(),M6,N6),_xlfn.NORM.INV(RAND(),F6,I6)))</f>
        <v>6.1330041428423798E-2</v>
      </c>
      <c r="H6" s="209">
        <v>0.2</v>
      </c>
      <c r="I6" s="265">
        <f>IF(H6&gt;0,(W6-V6)/3.92,(K6-J6)/3.92)</f>
        <v>6.2281020408163261E-3</v>
      </c>
      <c r="J6" s="391"/>
      <c r="K6" s="391"/>
      <c r="L6" s="384" t="s">
        <v>13</v>
      </c>
      <c r="M6" s="395">
        <f t="shared" ref="M6:M58" si="2">IF(L6="Beta",F6*(F6*(1-F6)/I6^2-1),IF(L6="Gamma",F6^2/I6^2,0))</f>
        <v>90.117124784000012</v>
      </c>
      <c r="N6" s="395">
        <f t="shared" ref="N6:N58" si="3">IF(L6="Beta",(M6/F6)-M6,IF(L6="Gamma",I6^2/F6,0))</f>
        <v>1386.3559512341799</v>
      </c>
      <c r="O6" s="210"/>
      <c r="P6" s="266" t="s">
        <v>341</v>
      </c>
      <c r="Q6" s="266" t="s">
        <v>342</v>
      </c>
      <c r="R6" s="136"/>
      <c r="V6" s="403">
        <f t="shared" ref="V6:V58" si="4">IF(H6&gt;0,F6*(1-H6),J6)</f>
        <v>4.8828320000000001E-2</v>
      </c>
      <c r="W6" s="403">
        <f t="shared" ref="W6:W58" si="5">IF(H6&gt;0,F6*(1+H6),K6)</f>
        <v>7.3242479999999999E-2</v>
      </c>
    </row>
    <row r="7" spans="2:24">
      <c r="B7" s="136"/>
      <c r="C7" s="267" t="str">
        <f>Population!C82</f>
        <v>FIGO 3-6 (subserosal or intramural)</v>
      </c>
      <c r="D7" s="393"/>
      <c r="E7" s="395">
        <f t="shared" si="0"/>
        <v>0.94693200663349919</v>
      </c>
      <c r="F7" s="398">
        <f>Population!D82</f>
        <v>0.94693200663349919</v>
      </c>
      <c r="G7" s="397">
        <f t="shared" ca="1" si="1"/>
        <v>0.91997828267153114</v>
      </c>
      <c r="H7" s="209">
        <v>0.2</v>
      </c>
      <c r="I7" s="265">
        <f t="shared" ref="I7:I58" si="6">IF(H7&gt;0,(W7-V7)/3.92,(K7-J7)/3.92)</f>
        <v>9.6625714962601916E-2</v>
      </c>
      <c r="J7" s="391"/>
      <c r="K7" s="391"/>
      <c r="L7" s="384" t="s">
        <v>13</v>
      </c>
      <c r="M7" s="395">
        <f t="shared" si="2"/>
        <v>4.1497180762852421</v>
      </c>
      <c r="N7" s="395">
        <f t="shared" si="3"/>
        <v>0.2325586312454071</v>
      </c>
      <c r="O7" s="210"/>
      <c r="P7" s="266" t="s">
        <v>341</v>
      </c>
      <c r="Q7" s="266" t="s">
        <v>342</v>
      </c>
      <c r="R7" s="187"/>
      <c r="V7" s="403">
        <f t="shared" si="4"/>
        <v>0.75754560530679937</v>
      </c>
      <c r="W7" s="403">
        <f t="shared" si="5"/>
        <v>1.1363184079601989</v>
      </c>
    </row>
    <row r="8" spans="2:24">
      <c r="B8" s="136"/>
      <c r="C8" s="267" t="str">
        <f>Population!C83</f>
        <v>Adequate urterine volume/position</v>
      </c>
      <c r="D8" s="393"/>
      <c r="E8" s="395">
        <f t="shared" si="0"/>
        <v>0.61499999999999999</v>
      </c>
      <c r="F8" s="398">
        <f>Population!D83</f>
        <v>0.61499999999999999</v>
      </c>
      <c r="G8" s="397">
        <f t="shared" ca="1" si="1"/>
        <v>0.57877715468173807</v>
      </c>
      <c r="H8" s="209">
        <v>0.2</v>
      </c>
      <c r="I8" s="265">
        <f t="shared" si="6"/>
        <v>6.275510204081633E-2</v>
      </c>
      <c r="J8" s="391"/>
      <c r="K8" s="391"/>
      <c r="L8" s="384" t="s">
        <v>13</v>
      </c>
      <c r="M8" s="395">
        <f>IF(L8="Beta",F8*(F8*(1-F8)/I8^2-1),IF(L8="Gamma",F8^2/I8^2,0))</f>
        <v>36.360399999999998</v>
      </c>
      <c r="N8" s="395">
        <f>IF(L8="Beta",(M8/F8)-M8,IF(L8="Gamma",I8^2/F8,0))</f>
        <v>22.762201626016257</v>
      </c>
      <c r="O8" s="210"/>
      <c r="P8" s="266" t="s">
        <v>341</v>
      </c>
      <c r="Q8" s="266" t="s">
        <v>342</v>
      </c>
      <c r="R8" s="136"/>
      <c r="V8" s="403">
        <f t="shared" si="4"/>
        <v>0.49199999999999999</v>
      </c>
      <c r="W8" s="403">
        <f t="shared" si="5"/>
        <v>0.73799999999999999</v>
      </c>
    </row>
    <row r="9" spans="2:24">
      <c r="B9" s="136"/>
      <c r="C9" s="267" t="str">
        <f>Population!C84</f>
        <v>Percentage with heavy uterine bleeding</v>
      </c>
      <c r="D9" s="393"/>
      <c r="E9" s="395">
        <f t="shared" si="0"/>
        <v>0.39579684763572681</v>
      </c>
      <c r="F9" s="398">
        <f>Population!D84</f>
        <v>0.39579684763572681</v>
      </c>
      <c r="G9" s="397">
        <f t="shared" ca="1" si="1"/>
        <v>0.47447266566075796</v>
      </c>
      <c r="H9" s="209">
        <v>0.2</v>
      </c>
      <c r="I9" s="265">
        <f t="shared" si="6"/>
        <v>4.0387433432217019E-2</v>
      </c>
      <c r="J9" s="391"/>
      <c r="K9" s="391"/>
      <c r="L9" s="384" t="s">
        <v>13</v>
      </c>
      <c r="M9" s="395">
        <f t="shared" si="2"/>
        <v>57.631873905429082</v>
      </c>
      <c r="N9" s="395">
        <f t="shared" si="3"/>
        <v>87.977860607845287</v>
      </c>
      <c r="O9" s="210"/>
      <c r="P9" s="266" t="s">
        <v>341</v>
      </c>
      <c r="Q9" s="266" t="s">
        <v>342</v>
      </c>
      <c r="R9" s="136"/>
      <c r="V9" s="403">
        <f t="shared" si="4"/>
        <v>0.31663747810858145</v>
      </c>
      <c r="W9" s="403">
        <f t="shared" si="5"/>
        <v>0.47495621716287217</v>
      </c>
    </row>
    <row r="10" spans="2:24">
      <c r="B10" s="136"/>
      <c r="C10" s="267" t="str">
        <f>Population!C85</f>
        <v>Percentage using COCs</v>
      </c>
      <c r="D10" s="393"/>
      <c r="E10" s="395">
        <f t="shared" si="0"/>
        <v>0.35099999999999998</v>
      </c>
      <c r="F10" s="398">
        <f>Population!D85</f>
        <v>0.35099999999999998</v>
      </c>
      <c r="G10" s="397">
        <f t="shared" ca="1" si="1"/>
        <v>0.37072604377039542</v>
      </c>
      <c r="H10" s="209">
        <v>0.2</v>
      </c>
      <c r="I10" s="265">
        <f t="shared" si="6"/>
        <v>3.5816326530612237E-2</v>
      </c>
      <c r="J10" s="391"/>
      <c r="K10" s="391"/>
      <c r="L10" s="384" t="s">
        <v>13</v>
      </c>
      <c r="M10" s="395">
        <f t="shared" si="2"/>
        <v>61.978960000000022</v>
      </c>
      <c r="N10" s="395">
        <f t="shared" si="3"/>
        <v>114.59927361823367</v>
      </c>
      <c r="O10" s="210"/>
      <c r="P10" s="266" t="s">
        <v>341</v>
      </c>
      <c r="Q10" s="266" t="s">
        <v>342</v>
      </c>
      <c r="R10" s="136"/>
      <c r="V10" s="403">
        <f t="shared" si="4"/>
        <v>0.28079999999999999</v>
      </c>
      <c r="W10" s="403">
        <f t="shared" si="5"/>
        <v>0.42119999999999996</v>
      </c>
    </row>
    <row r="11" spans="2:24">
      <c r="B11" s="136"/>
      <c r="C11" s="267">
        <f>Population!C86</f>
        <v>0</v>
      </c>
      <c r="D11" s="393"/>
      <c r="E11" s="395">
        <f t="shared" si="0"/>
        <v>0</v>
      </c>
      <c r="F11" s="398">
        <f>Population!D86</f>
        <v>0</v>
      </c>
      <c r="G11" s="397" t="e">
        <f t="shared" ca="1" si="1"/>
        <v>#DIV/0!</v>
      </c>
      <c r="H11" s="209">
        <v>0.2</v>
      </c>
      <c r="I11" s="265">
        <f t="shared" si="6"/>
        <v>0</v>
      </c>
      <c r="J11" s="391"/>
      <c r="K11" s="391"/>
      <c r="L11" s="384" t="s">
        <v>13</v>
      </c>
      <c r="M11" s="395" t="e">
        <f t="shared" si="2"/>
        <v>#DIV/0!</v>
      </c>
      <c r="N11" s="395" t="e">
        <f t="shared" si="3"/>
        <v>#DIV/0!</v>
      </c>
      <c r="O11" s="210"/>
      <c r="P11" s="266" t="s">
        <v>341</v>
      </c>
      <c r="Q11" s="266" t="s">
        <v>342</v>
      </c>
      <c r="R11" s="136"/>
      <c r="V11" s="403">
        <f t="shared" si="4"/>
        <v>0</v>
      </c>
      <c r="W11" s="403">
        <f t="shared" si="5"/>
        <v>0</v>
      </c>
    </row>
    <row r="12" spans="2:24">
      <c r="B12" s="136"/>
      <c r="C12" s="267">
        <f>Population!C87</f>
        <v>0</v>
      </c>
      <c r="D12" s="393"/>
      <c r="E12" s="395">
        <f t="shared" si="0"/>
        <v>0</v>
      </c>
      <c r="F12" s="398">
        <f>Population!D87</f>
        <v>0</v>
      </c>
      <c r="G12" s="397" t="e">
        <f t="shared" ca="1" si="1"/>
        <v>#DIV/0!</v>
      </c>
      <c r="H12" s="209">
        <v>0.2</v>
      </c>
      <c r="I12" s="265">
        <f t="shared" si="6"/>
        <v>0</v>
      </c>
      <c r="J12" s="391"/>
      <c r="K12" s="391"/>
      <c r="L12" s="384" t="s">
        <v>13</v>
      </c>
      <c r="M12" s="395" t="e">
        <f t="shared" si="2"/>
        <v>#DIV/0!</v>
      </c>
      <c r="N12" s="395" t="e">
        <f t="shared" si="3"/>
        <v>#DIV/0!</v>
      </c>
      <c r="O12" s="210"/>
      <c r="P12" s="266" t="s">
        <v>341</v>
      </c>
      <c r="Q12" s="266" t="s">
        <v>342</v>
      </c>
      <c r="R12" s="136"/>
      <c r="V12" s="403">
        <f t="shared" si="4"/>
        <v>0</v>
      </c>
      <c r="W12" s="403">
        <f t="shared" si="5"/>
        <v>0</v>
      </c>
    </row>
    <row r="13" spans="2:24">
      <c r="B13" s="136"/>
      <c r="C13" s="267">
        <f>Population!C88</f>
        <v>0</v>
      </c>
      <c r="D13" s="393"/>
      <c r="E13" s="395">
        <f t="shared" si="0"/>
        <v>0</v>
      </c>
      <c r="F13" s="398">
        <f>Population!D88</f>
        <v>0</v>
      </c>
      <c r="G13" s="397" t="e">
        <f t="shared" ca="1" si="1"/>
        <v>#DIV/0!</v>
      </c>
      <c r="H13" s="209">
        <v>0.2</v>
      </c>
      <c r="I13" s="265">
        <f t="shared" si="6"/>
        <v>0</v>
      </c>
      <c r="J13" s="391"/>
      <c r="K13" s="391"/>
      <c r="L13" s="384" t="s">
        <v>13</v>
      </c>
      <c r="M13" s="395" t="e">
        <f t="shared" si="2"/>
        <v>#DIV/0!</v>
      </c>
      <c r="N13" s="395" t="e">
        <f t="shared" si="3"/>
        <v>#DIV/0!</v>
      </c>
      <c r="O13" s="210"/>
      <c r="P13" s="266" t="s">
        <v>341</v>
      </c>
      <c r="Q13" s="266" t="s">
        <v>342</v>
      </c>
      <c r="R13" s="136"/>
      <c r="V13" s="403">
        <f t="shared" si="4"/>
        <v>0</v>
      </c>
      <c r="W13" s="403">
        <f t="shared" si="5"/>
        <v>0</v>
      </c>
    </row>
    <row r="14" spans="2:24">
      <c r="B14" s="136"/>
      <c r="C14" s="264" t="str">
        <f>"Initial costs "&amp;intervencao1</f>
        <v>Initial costs Intrauterine device levonorgestrel</v>
      </c>
      <c r="D14" s="393" t="s">
        <v>15</v>
      </c>
      <c r="E14" s="395">
        <f t="shared" ca="1" si="0"/>
        <v>853.1</v>
      </c>
      <c r="F14" s="399">
        <f ca="1">Costs!D32</f>
        <v>853.1</v>
      </c>
      <c r="G14" s="397">
        <f t="shared" ca="1" si="1"/>
        <v>838.70091200996046</v>
      </c>
      <c r="H14" s="209">
        <v>0.2</v>
      </c>
      <c r="I14" s="265">
        <f t="shared" ca="1" si="6"/>
        <v>87.051020408163268</v>
      </c>
      <c r="J14" s="392"/>
      <c r="K14" s="392"/>
      <c r="L14" s="384" t="s">
        <v>332</v>
      </c>
      <c r="M14" s="395">
        <f t="shared" ca="1" si="2"/>
        <v>96.039999999999992</v>
      </c>
      <c r="N14" s="395">
        <f t="shared" ca="1" si="3"/>
        <v>8.8827571845064561</v>
      </c>
      <c r="O14" s="211"/>
      <c r="P14" s="266" t="s">
        <v>341</v>
      </c>
      <c r="Q14" s="266" t="s">
        <v>342</v>
      </c>
      <c r="R14" s="136"/>
      <c r="V14" s="403">
        <f t="shared" ca="1" si="4"/>
        <v>682.48</v>
      </c>
      <c r="W14" s="403">
        <f t="shared" ca="1" si="5"/>
        <v>1023.72</v>
      </c>
    </row>
    <row r="15" spans="2:24">
      <c r="B15" s="136"/>
      <c r="C15" s="264" t="str">
        <f>"Initial costs "&amp;intervencao2</f>
        <v xml:space="preserve">Initial costs </v>
      </c>
      <c r="D15" s="393" t="s">
        <v>16</v>
      </c>
      <c r="E15" s="395">
        <f t="shared" ca="1" si="0"/>
        <v>0</v>
      </c>
      <c r="F15" s="399">
        <f ca="1">Costs!D33</f>
        <v>0</v>
      </c>
      <c r="G15" s="397" t="e">
        <f t="shared" ca="1" si="1"/>
        <v>#DIV/0!</v>
      </c>
      <c r="H15" s="209">
        <v>0.2</v>
      </c>
      <c r="I15" s="265">
        <f t="shared" ca="1" si="6"/>
        <v>0</v>
      </c>
      <c r="J15" s="392"/>
      <c r="K15" s="392"/>
      <c r="L15" s="384" t="s">
        <v>332</v>
      </c>
      <c r="M15" s="395" t="e">
        <f t="shared" ca="1" si="2"/>
        <v>#DIV/0!</v>
      </c>
      <c r="N15" s="395" t="e">
        <f t="shared" ca="1" si="3"/>
        <v>#DIV/0!</v>
      </c>
      <c r="O15" s="211"/>
      <c r="P15" s="266" t="s">
        <v>341</v>
      </c>
      <c r="Q15" s="266" t="s">
        <v>342</v>
      </c>
      <c r="R15" s="136"/>
      <c r="V15" s="403">
        <f t="shared" ca="1" si="4"/>
        <v>0</v>
      </c>
      <c r="W15" s="403">
        <f t="shared" ca="1" si="5"/>
        <v>0</v>
      </c>
    </row>
    <row r="16" spans="2:24">
      <c r="B16" s="136"/>
      <c r="C16" s="264" t="str">
        <f>"Initial costs "&amp;intervencao3</f>
        <v xml:space="preserve">Initial costs </v>
      </c>
      <c r="D16" s="393" t="s">
        <v>17</v>
      </c>
      <c r="E16" s="395">
        <f t="shared" ca="1" si="0"/>
        <v>0</v>
      </c>
      <c r="F16" s="399">
        <f ca="1">Costs!D34</f>
        <v>0</v>
      </c>
      <c r="G16" s="397" t="e">
        <f t="shared" ca="1" si="1"/>
        <v>#DIV/0!</v>
      </c>
      <c r="H16" s="209">
        <v>0.2</v>
      </c>
      <c r="I16" s="265">
        <f t="shared" ca="1" si="6"/>
        <v>0</v>
      </c>
      <c r="J16" s="392"/>
      <c r="K16" s="392"/>
      <c r="L16" s="384" t="s">
        <v>332</v>
      </c>
      <c r="M16" s="395" t="e">
        <f t="shared" ca="1" si="2"/>
        <v>#DIV/0!</v>
      </c>
      <c r="N16" s="395" t="e">
        <f t="shared" ca="1" si="3"/>
        <v>#DIV/0!</v>
      </c>
      <c r="O16" s="211"/>
      <c r="P16" s="266" t="s">
        <v>341</v>
      </c>
      <c r="Q16" s="266" t="s">
        <v>342</v>
      </c>
      <c r="R16" s="136"/>
      <c r="V16" s="403">
        <f ca="1">IF(H16&gt;0,F16*(1-H16),J16)</f>
        <v>0</v>
      </c>
      <c r="W16" s="403">
        <f t="shared" ca="1" si="5"/>
        <v>0</v>
      </c>
    </row>
    <row r="17" spans="2:23">
      <c r="B17" s="136"/>
      <c r="C17" s="264" t="str">
        <f>"Initial costs "&amp;intervencao4</f>
        <v xml:space="preserve">Initial costs </v>
      </c>
      <c r="D17" s="393" t="s">
        <v>18</v>
      </c>
      <c r="E17" s="395">
        <f t="shared" ca="1" si="0"/>
        <v>0</v>
      </c>
      <c r="F17" s="399">
        <f ca="1">Costs!D35</f>
        <v>0</v>
      </c>
      <c r="G17" s="397" t="e">
        <f t="shared" ca="1" si="1"/>
        <v>#DIV/0!</v>
      </c>
      <c r="H17" s="209">
        <v>0.2</v>
      </c>
      <c r="I17" s="265">
        <f t="shared" ca="1" si="6"/>
        <v>0</v>
      </c>
      <c r="J17" s="392"/>
      <c r="K17" s="392"/>
      <c r="L17" s="384" t="s">
        <v>332</v>
      </c>
      <c r="M17" s="395" t="e">
        <f t="shared" ca="1" si="2"/>
        <v>#DIV/0!</v>
      </c>
      <c r="N17" s="395" t="e">
        <f t="shared" ca="1" si="3"/>
        <v>#DIV/0!</v>
      </c>
      <c r="O17" s="211"/>
      <c r="P17" s="266" t="s">
        <v>341</v>
      </c>
      <c r="Q17" s="266" t="s">
        <v>342</v>
      </c>
      <c r="R17" s="136"/>
      <c r="V17" s="403">
        <f t="shared" ca="1" si="4"/>
        <v>0</v>
      </c>
      <c r="W17" s="403">
        <f t="shared" ca="1" si="5"/>
        <v>0</v>
      </c>
    </row>
    <row r="18" spans="2:23">
      <c r="B18" s="136"/>
      <c r="C18" s="264" t="str">
        <f>"Initial costs "&amp;comparador1</f>
        <v>Initial costs Oral contraceptive</v>
      </c>
      <c r="D18" s="393" t="s">
        <v>19</v>
      </c>
      <c r="E18" s="395">
        <f t="shared" ca="1" si="0"/>
        <v>0</v>
      </c>
      <c r="F18" s="399">
        <f ca="1">Costs!D36</f>
        <v>0</v>
      </c>
      <c r="G18" s="397" t="e">
        <f t="shared" ca="1" si="1"/>
        <v>#DIV/0!</v>
      </c>
      <c r="H18" s="209">
        <v>0.2</v>
      </c>
      <c r="I18" s="265">
        <f t="shared" ca="1" si="6"/>
        <v>0</v>
      </c>
      <c r="J18" s="392"/>
      <c r="K18" s="392"/>
      <c r="L18" s="384" t="s">
        <v>332</v>
      </c>
      <c r="M18" s="395" t="e">
        <f t="shared" ca="1" si="2"/>
        <v>#DIV/0!</v>
      </c>
      <c r="N18" s="395" t="e">
        <f t="shared" ca="1" si="3"/>
        <v>#DIV/0!</v>
      </c>
      <c r="O18" s="211"/>
      <c r="P18" s="266" t="s">
        <v>341</v>
      </c>
      <c r="Q18" s="266" t="s">
        <v>342</v>
      </c>
      <c r="R18" s="136"/>
      <c r="V18" s="403">
        <f t="shared" ca="1" si="4"/>
        <v>0</v>
      </c>
      <c r="W18" s="403">
        <f t="shared" ca="1" si="5"/>
        <v>0</v>
      </c>
    </row>
    <row r="19" spans="2:23">
      <c r="B19" s="136"/>
      <c r="C19" s="264" t="str">
        <f>"Initial costs "&amp;comparador2</f>
        <v xml:space="preserve">Initial costs </v>
      </c>
      <c r="D19" s="393" t="s">
        <v>20</v>
      </c>
      <c r="E19" s="395">
        <f t="shared" ca="1" si="0"/>
        <v>0</v>
      </c>
      <c r="F19" s="399">
        <f ca="1">Costs!D37</f>
        <v>0</v>
      </c>
      <c r="G19" s="397" t="e">
        <f t="shared" ca="1" si="1"/>
        <v>#DIV/0!</v>
      </c>
      <c r="H19" s="209">
        <v>0.2</v>
      </c>
      <c r="I19" s="265">
        <f t="shared" ca="1" si="6"/>
        <v>0</v>
      </c>
      <c r="J19" s="392"/>
      <c r="K19" s="392"/>
      <c r="L19" s="384" t="s">
        <v>332</v>
      </c>
      <c r="M19" s="395" t="e">
        <f t="shared" ca="1" si="2"/>
        <v>#DIV/0!</v>
      </c>
      <c r="N19" s="395" t="e">
        <f t="shared" ca="1" si="3"/>
        <v>#DIV/0!</v>
      </c>
      <c r="O19" s="211"/>
      <c r="P19" s="266" t="s">
        <v>341</v>
      </c>
      <c r="Q19" s="266" t="s">
        <v>342</v>
      </c>
      <c r="R19" s="136"/>
      <c r="V19" s="403">
        <f t="shared" ca="1" si="4"/>
        <v>0</v>
      </c>
      <c r="W19" s="403">
        <f t="shared" ca="1" si="5"/>
        <v>0</v>
      </c>
    </row>
    <row r="20" spans="2:23">
      <c r="B20" s="136"/>
      <c r="C20" s="264" t="str">
        <f>"Initial costs "&amp;comparador3</f>
        <v xml:space="preserve">Initial costs </v>
      </c>
      <c r="D20" s="393" t="s">
        <v>21</v>
      </c>
      <c r="E20" s="395">
        <f t="shared" ca="1" si="0"/>
        <v>0</v>
      </c>
      <c r="F20" s="399">
        <f ca="1">Costs!D38</f>
        <v>0</v>
      </c>
      <c r="G20" s="397" t="e">
        <f t="shared" ca="1" si="1"/>
        <v>#DIV/0!</v>
      </c>
      <c r="H20" s="209">
        <v>0.2</v>
      </c>
      <c r="I20" s="265">
        <f t="shared" ca="1" si="6"/>
        <v>0</v>
      </c>
      <c r="J20" s="392"/>
      <c r="K20" s="392"/>
      <c r="L20" s="384" t="s">
        <v>332</v>
      </c>
      <c r="M20" s="395" t="e">
        <f t="shared" ca="1" si="2"/>
        <v>#DIV/0!</v>
      </c>
      <c r="N20" s="395" t="e">
        <f t="shared" ca="1" si="3"/>
        <v>#DIV/0!</v>
      </c>
      <c r="O20" s="211"/>
      <c r="P20" s="266" t="s">
        <v>341</v>
      </c>
      <c r="Q20" s="266" t="s">
        <v>342</v>
      </c>
      <c r="R20" s="136"/>
      <c r="V20" s="403">
        <f t="shared" ca="1" si="4"/>
        <v>0</v>
      </c>
      <c r="W20" s="403">
        <f t="shared" ca="1" si="5"/>
        <v>0</v>
      </c>
    </row>
    <row r="21" spans="2:23">
      <c r="B21" s="136"/>
      <c r="C21" s="264" t="str">
        <f>"Initial costs "&amp;comparador4</f>
        <v xml:space="preserve">Initial costs </v>
      </c>
      <c r="D21" s="393" t="s">
        <v>22</v>
      </c>
      <c r="E21" s="395">
        <f t="shared" ca="1" si="0"/>
        <v>0</v>
      </c>
      <c r="F21" s="399">
        <f ca="1">Costs!D39</f>
        <v>0</v>
      </c>
      <c r="G21" s="397" t="e">
        <f t="shared" ca="1" si="1"/>
        <v>#DIV/0!</v>
      </c>
      <c r="H21" s="209">
        <v>0.2</v>
      </c>
      <c r="I21" s="265">
        <f t="shared" ca="1" si="6"/>
        <v>0</v>
      </c>
      <c r="J21" s="392"/>
      <c r="K21" s="392"/>
      <c r="L21" s="384" t="s">
        <v>332</v>
      </c>
      <c r="M21" s="395" t="e">
        <f t="shared" ca="1" si="2"/>
        <v>#DIV/0!</v>
      </c>
      <c r="N21" s="395" t="e">
        <f t="shared" ca="1" si="3"/>
        <v>#DIV/0!</v>
      </c>
      <c r="O21" s="211"/>
      <c r="P21" s="266" t="s">
        <v>341</v>
      </c>
      <c r="Q21" s="266" t="s">
        <v>342</v>
      </c>
      <c r="R21" s="136"/>
      <c r="V21" s="403">
        <f t="shared" ca="1" si="4"/>
        <v>0</v>
      </c>
      <c r="W21" s="403">
        <f t="shared" ca="1" si="5"/>
        <v>0</v>
      </c>
    </row>
    <row r="22" spans="2:23">
      <c r="B22" s="136"/>
      <c r="C22" s="264" t="str">
        <f>"Initial costs "&amp;comparador5</f>
        <v xml:space="preserve">Initial costs </v>
      </c>
      <c r="D22" s="393" t="s">
        <v>23</v>
      </c>
      <c r="E22" s="395">
        <f t="shared" ca="1" si="0"/>
        <v>0</v>
      </c>
      <c r="F22" s="399">
        <f ca="1">Costs!D40</f>
        <v>0</v>
      </c>
      <c r="G22" s="397" t="e">
        <f t="shared" ca="1" si="1"/>
        <v>#DIV/0!</v>
      </c>
      <c r="H22" s="209">
        <v>0.2</v>
      </c>
      <c r="I22" s="265">
        <f t="shared" ca="1" si="6"/>
        <v>0</v>
      </c>
      <c r="J22" s="392"/>
      <c r="K22" s="392"/>
      <c r="L22" s="384" t="s">
        <v>332</v>
      </c>
      <c r="M22" s="395" t="e">
        <f t="shared" ca="1" si="2"/>
        <v>#DIV/0!</v>
      </c>
      <c r="N22" s="395" t="e">
        <f t="shared" ca="1" si="3"/>
        <v>#DIV/0!</v>
      </c>
      <c r="O22" s="211"/>
      <c r="P22" s="266" t="s">
        <v>341</v>
      </c>
      <c r="Q22" s="266" t="s">
        <v>342</v>
      </c>
      <c r="R22" s="136"/>
      <c r="V22" s="403">
        <f t="shared" ca="1" si="4"/>
        <v>0</v>
      </c>
      <c r="W22" s="403">
        <f t="shared" ca="1" si="5"/>
        <v>0</v>
      </c>
    </row>
    <row r="23" spans="2:23">
      <c r="B23" s="136"/>
      <c r="C23" s="264" t="str">
        <f>"Initial costs "&amp;comparador6</f>
        <v xml:space="preserve">Initial costs </v>
      </c>
      <c r="D23" s="393" t="s">
        <v>24</v>
      </c>
      <c r="E23" s="395">
        <f t="shared" ca="1" si="0"/>
        <v>0</v>
      </c>
      <c r="F23" s="399">
        <f ca="1">Costs!D41</f>
        <v>0</v>
      </c>
      <c r="G23" s="397" t="e">
        <f t="shared" ca="1" si="1"/>
        <v>#DIV/0!</v>
      </c>
      <c r="H23" s="209">
        <v>0.2</v>
      </c>
      <c r="I23" s="265">
        <f t="shared" ca="1" si="6"/>
        <v>0</v>
      </c>
      <c r="J23" s="392"/>
      <c r="K23" s="392"/>
      <c r="L23" s="384" t="s">
        <v>332</v>
      </c>
      <c r="M23" s="395" t="e">
        <f t="shared" ca="1" si="2"/>
        <v>#DIV/0!</v>
      </c>
      <c r="N23" s="395" t="e">
        <f t="shared" ca="1" si="3"/>
        <v>#DIV/0!</v>
      </c>
      <c r="O23" s="211"/>
      <c r="P23" s="266" t="s">
        <v>341</v>
      </c>
      <c r="Q23" s="266" t="s">
        <v>342</v>
      </c>
      <c r="R23" s="136"/>
      <c r="V23" s="403">
        <f t="shared" ca="1" si="4"/>
        <v>0</v>
      </c>
      <c r="W23" s="403">
        <f t="shared" ca="1" si="5"/>
        <v>0</v>
      </c>
    </row>
    <row r="24" spans="2:23">
      <c r="B24" s="136"/>
      <c r="C24" s="264" t="str">
        <f>"Initial costs "&amp;comparador7</f>
        <v xml:space="preserve">Initial costs </v>
      </c>
      <c r="D24" s="393" t="s">
        <v>25</v>
      </c>
      <c r="E24" s="395">
        <f t="shared" ca="1" si="0"/>
        <v>0</v>
      </c>
      <c r="F24" s="399">
        <f ca="1">Costs!D42</f>
        <v>0</v>
      </c>
      <c r="G24" s="397" t="e">
        <f t="shared" ca="1" si="1"/>
        <v>#DIV/0!</v>
      </c>
      <c r="H24" s="209">
        <v>0.2</v>
      </c>
      <c r="I24" s="265">
        <f t="shared" ca="1" si="6"/>
        <v>0</v>
      </c>
      <c r="J24" s="392"/>
      <c r="K24" s="392"/>
      <c r="L24" s="384" t="s">
        <v>332</v>
      </c>
      <c r="M24" s="395" t="e">
        <f t="shared" ca="1" si="2"/>
        <v>#DIV/0!</v>
      </c>
      <c r="N24" s="395" t="e">
        <f t="shared" ca="1" si="3"/>
        <v>#DIV/0!</v>
      </c>
      <c r="O24" s="211"/>
      <c r="P24" s="266" t="s">
        <v>341</v>
      </c>
      <c r="Q24" s="266" t="s">
        <v>342</v>
      </c>
      <c r="R24" s="136"/>
      <c r="V24" s="403">
        <f t="shared" ca="1" si="4"/>
        <v>0</v>
      </c>
      <c r="W24" s="403">
        <f t="shared" ca="1" si="5"/>
        <v>0</v>
      </c>
    </row>
    <row r="25" spans="2:23">
      <c r="B25" s="136"/>
      <c r="C25" s="264" t="str">
        <f>"Initial costs "&amp;comparador8</f>
        <v xml:space="preserve">Initial costs </v>
      </c>
      <c r="D25" s="393" t="s">
        <v>26</v>
      </c>
      <c r="E25" s="395">
        <f t="shared" ca="1" si="0"/>
        <v>0</v>
      </c>
      <c r="F25" s="399">
        <f ca="1">Costs!D43</f>
        <v>0</v>
      </c>
      <c r="G25" s="397" t="e">
        <f t="shared" ca="1" si="1"/>
        <v>#DIV/0!</v>
      </c>
      <c r="H25" s="209">
        <v>0.2</v>
      </c>
      <c r="I25" s="265">
        <f t="shared" ca="1" si="6"/>
        <v>0</v>
      </c>
      <c r="J25" s="392"/>
      <c r="K25" s="392"/>
      <c r="L25" s="384" t="s">
        <v>332</v>
      </c>
      <c r="M25" s="395" t="e">
        <f t="shared" ca="1" si="2"/>
        <v>#DIV/0!</v>
      </c>
      <c r="N25" s="395" t="e">
        <f t="shared" ca="1" si="3"/>
        <v>#DIV/0!</v>
      </c>
      <c r="O25" s="211"/>
      <c r="P25" s="266" t="s">
        <v>341</v>
      </c>
      <c r="Q25" s="266" t="s">
        <v>342</v>
      </c>
      <c r="R25" s="136"/>
      <c r="V25" s="403">
        <f t="shared" ca="1" si="4"/>
        <v>0</v>
      </c>
      <c r="W25" s="403">
        <f t="shared" ca="1" si="5"/>
        <v>0</v>
      </c>
    </row>
    <row r="26" spans="2:23">
      <c r="B26" s="136"/>
      <c r="C26" s="264" t="str">
        <f>"Initial costs "&amp;comparador9</f>
        <v xml:space="preserve">Initial costs </v>
      </c>
      <c r="D26" s="393" t="s">
        <v>27</v>
      </c>
      <c r="E26" s="395">
        <f t="shared" ca="1" si="0"/>
        <v>0</v>
      </c>
      <c r="F26" s="399">
        <f ca="1">Costs!D44</f>
        <v>0</v>
      </c>
      <c r="G26" s="397" t="e">
        <f t="shared" ca="1" si="1"/>
        <v>#DIV/0!</v>
      </c>
      <c r="H26" s="209">
        <v>0.2</v>
      </c>
      <c r="I26" s="265">
        <f t="shared" ca="1" si="6"/>
        <v>0</v>
      </c>
      <c r="J26" s="392"/>
      <c r="K26" s="392"/>
      <c r="L26" s="384" t="s">
        <v>332</v>
      </c>
      <c r="M26" s="395" t="e">
        <f t="shared" ca="1" si="2"/>
        <v>#DIV/0!</v>
      </c>
      <c r="N26" s="395" t="e">
        <f t="shared" ca="1" si="3"/>
        <v>#DIV/0!</v>
      </c>
      <c r="O26" s="211"/>
      <c r="P26" s="266" t="s">
        <v>341</v>
      </c>
      <c r="Q26" s="266" t="s">
        <v>342</v>
      </c>
      <c r="R26" s="136"/>
      <c r="V26" s="403">
        <f t="shared" ca="1" si="4"/>
        <v>0</v>
      </c>
      <c r="W26" s="403">
        <f t="shared" ca="1" si="5"/>
        <v>0</v>
      </c>
    </row>
    <row r="27" spans="2:23">
      <c r="B27" s="136"/>
      <c r="C27" s="264" t="str">
        <f>"Initial costs "&amp;comparador10</f>
        <v xml:space="preserve">Initial costs </v>
      </c>
      <c r="D27" s="393" t="s">
        <v>28</v>
      </c>
      <c r="E27" s="395">
        <f t="shared" ca="1" si="0"/>
        <v>0</v>
      </c>
      <c r="F27" s="399">
        <f ca="1">Costs!D45</f>
        <v>0</v>
      </c>
      <c r="G27" s="397" t="e">
        <f t="shared" ca="1" si="1"/>
        <v>#DIV/0!</v>
      </c>
      <c r="H27" s="209">
        <v>0.2</v>
      </c>
      <c r="I27" s="265">
        <f t="shared" ca="1" si="6"/>
        <v>0</v>
      </c>
      <c r="J27" s="392"/>
      <c r="K27" s="392"/>
      <c r="L27" s="384" t="s">
        <v>332</v>
      </c>
      <c r="M27" s="395" t="e">
        <f t="shared" ca="1" si="2"/>
        <v>#DIV/0!</v>
      </c>
      <c r="N27" s="395" t="e">
        <f t="shared" ca="1" si="3"/>
        <v>#DIV/0!</v>
      </c>
      <c r="O27" s="211"/>
      <c r="P27" s="266" t="s">
        <v>341</v>
      </c>
      <c r="Q27" s="266" t="s">
        <v>342</v>
      </c>
      <c r="R27" s="136"/>
      <c r="V27" s="403">
        <f t="shared" ca="1" si="4"/>
        <v>0</v>
      </c>
      <c r="W27" s="403">
        <f t="shared" ca="1" si="5"/>
        <v>0</v>
      </c>
    </row>
    <row r="28" spans="2:23">
      <c r="B28" s="136"/>
      <c r="C28" s="264" t="str">
        <f>"Treatment costs "&amp;intervencao1</f>
        <v>Treatment costs Intrauterine device levonorgestrel</v>
      </c>
      <c r="D28" s="393" t="s">
        <v>29</v>
      </c>
      <c r="E28" s="395">
        <f t="shared" ca="1" si="0"/>
        <v>0</v>
      </c>
      <c r="F28" s="399">
        <f ca="1">Costs!E32</f>
        <v>0</v>
      </c>
      <c r="G28" s="397" t="e">
        <f t="shared" ca="1" si="1"/>
        <v>#DIV/0!</v>
      </c>
      <c r="H28" s="209">
        <v>0.2</v>
      </c>
      <c r="I28" s="265">
        <f t="shared" ca="1" si="6"/>
        <v>0</v>
      </c>
      <c r="J28" s="392"/>
      <c r="K28" s="392"/>
      <c r="L28" s="384" t="s">
        <v>332</v>
      </c>
      <c r="M28" s="395" t="e">
        <f t="shared" ca="1" si="2"/>
        <v>#DIV/0!</v>
      </c>
      <c r="N28" s="395" t="e">
        <f t="shared" ca="1" si="3"/>
        <v>#DIV/0!</v>
      </c>
      <c r="O28" s="211"/>
      <c r="P28" s="266" t="s">
        <v>341</v>
      </c>
      <c r="Q28" s="266" t="s">
        <v>342</v>
      </c>
      <c r="R28" s="136"/>
      <c r="V28" s="403">
        <f t="shared" ca="1" si="4"/>
        <v>0</v>
      </c>
      <c r="W28" s="403">
        <f t="shared" ca="1" si="5"/>
        <v>0</v>
      </c>
    </row>
    <row r="29" spans="2:23">
      <c r="B29" s="136"/>
      <c r="C29" s="264" t="str">
        <f>"Treatment costs "&amp;intervencao2</f>
        <v xml:space="preserve">Treatment costs </v>
      </c>
      <c r="D29" s="393" t="s">
        <v>30</v>
      </c>
      <c r="E29" s="395">
        <f t="shared" ca="1" si="0"/>
        <v>0</v>
      </c>
      <c r="F29" s="399">
        <f ca="1">Costs!E33</f>
        <v>0</v>
      </c>
      <c r="G29" s="397" t="e">
        <f t="shared" ca="1" si="1"/>
        <v>#DIV/0!</v>
      </c>
      <c r="H29" s="209">
        <v>0.2</v>
      </c>
      <c r="I29" s="265">
        <f t="shared" ca="1" si="6"/>
        <v>0</v>
      </c>
      <c r="J29" s="392"/>
      <c r="K29" s="392"/>
      <c r="L29" s="384" t="s">
        <v>332</v>
      </c>
      <c r="M29" s="395" t="e">
        <f t="shared" ca="1" si="2"/>
        <v>#DIV/0!</v>
      </c>
      <c r="N29" s="395" t="e">
        <f t="shared" ca="1" si="3"/>
        <v>#DIV/0!</v>
      </c>
      <c r="O29" s="211"/>
      <c r="P29" s="266" t="s">
        <v>341</v>
      </c>
      <c r="Q29" s="266" t="s">
        <v>342</v>
      </c>
      <c r="R29" s="136"/>
      <c r="V29" s="403">
        <f t="shared" ca="1" si="4"/>
        <v>0</v>
      </c>
      <c r="W29" s="403">
        <f t="shared" ca="1" si="5"/>
        <v>0</v>
      </c>
    </row>
    <row r="30" spans="2:23">
      <c r="B30" s="136"/>
      <c r="C30" s="264" t="str">
        <f>"Treatment costs "&amp;intervencao3</f>
        <v xml:space="preserve">Treatment costs </v>
      </c>
      <c r="D30" s="393" t="s">
        <v>31</v>
      </c>
      <c r="E30" s="395">
        <f t="shared" ca="1" si="0"/>
        <v>0</v>
      </c>
      <c r="F30" s="399">
        <f ca="1">Costs!E34</f>
        <v>0</v>
      </c>
      <c r="G30" s="397" t="e">
        <f t="shared" ca="1" si="1"/>
        <v>#DIV/0!</v>
      </c>
      <c r="H30" s="209">
        <v>0.2</v>
      </c>
      <c r="I30" s="265">
        <f t="shared" ca="1" si="6"/>
        <v>0</v>
      </c>
      <c r="J30" s="392"/>
      <c r="K30" s="392"/>
      <c r="L30" s="384" t="s">
        <v>332</v>
      </c>
      <c r="M30" s="395" t="e">
        <f t="shared" ca="1" si="2"/>
        <v>#DIV/0!</v>
      </c>
      <c r="N30" s="395" t="e">
        <f t="shared" ca="1" si="3"/>
        <v>#DIV/0!</v>
      </c>
      <c r="O30" s="211"/>
      <c r="P30" s="266" t="s">
        <v>341</v>
      </c>
      <c r="Q30" s="266" t="s">
        <v>342</v>
      </c>
      <c r="R30" s="136"/>
      <c r="V30" s="403">
        <f t="shared" ca="1" si="4"/>
        <v>0</v>
      </c>
      <c r="W30" s="403">
        <f t="shared" ca="1" si="5"/>
        <v>0</v>
      </c>
    </row>
    <row r="31" spans="2:23">
      <c r="B31" s="136"/>
      <c r="C31" s="264" t="str">
        <f>"Treatment costs "&amp;intervencao4</f>
        <v xml:space="preserve">Treatment costs </v>
      </c>
      <c r="D31" s="393" t="s">
        <v>32</v>
      </c>
      <c r="E31" s="395">
        <f t="shared" ca="1" si="0"/>
        <v>0</v>
      </c>
      <c r="F31" s="399">
        <f ca="1">Costs!E35</f>
        <v>0</v>
      </c>
      <c r="G31" s="397" t="e">
        <f t="shared" ca="1" si="1"/>
        <v>#DIV/0!</v>
      </c>
      <c r="H31" s="209">
        <v>0.2</v>
      </c>
      <c r="I31" s="265">
        <f t="shared" ca="1" si="6"/>
        <v>0</v>
      </c>
      <c r="J31" s="392"/>
      <c r="K31" s="392"/>
      <c r="L31" s="384" t="s">
        <v>332</v>
      </c>
      <c r="M31" s="395" t="e">
        <f t="shared" ca="1" si="2"/>
        <v>#DIV/0!</v>
      </c>
      <c r="N31" s="395" t="e">
        <f t="shared" ca="1" si="3"/>
        <v>#DIV/0!</v>
      </c>
      <c r="O31" s="211"/>
      <c r="P31" s="266" t="s">
        <v>341</v>
      </c>
      <c r="Q31" s="266" t="s">
        <v>342</v>
      </c>
      <c r="R31" s="136"/>
      <c r="V31" s="403">
        <f t="shared" ca="1" si="4"/>
        <v>0</v>
      </c>
      <c r="W31" s="403">
        <f t="shared" ca="1" si="5"/>
        <v>0</v>
      </c>
    </row>
    <row r="32" spans="2:23">
      <c r="B32" s="136"/>
      <c r="C32" s="264" t="str">
        <f>"Treatment costs "&amp;comparador1</f>
        <v>Treatment costs Oral contraceptive</v>
      </c>
      <c r="D32" s="393" t="s">
        <v>33</v>
      </c>
      <c r="E32" s="395">
        <f t="shared" ca="1" si="0"/>
        <v>1.4700000000000002</v>
      </c>
      <c r="F32" s="399">
        <f ca="1">Costs!E36</f>
        <v>1.4700000000000002</v>
      </c>
      <c r="G32" s="397">
        <f t="shared" ca="1" si="1"/>
        <v>1.8072473099769002</v>
      </c>
      <c r="H32" s="209">
        <v>0.2</v>
      </c>
      <c r="I32" s="265">
        <f t="shared" ca="1" si="6"/>
        <v>0.15000000000000002</v>
      </c>
      <c r="J32" s="392"/>
      <c r="K32" s="392"/>
      <c r="L32" s="384" t="s">
        <v>332</v>
      </c>
      <c r="M32" s="395">
        <f t="shared" ca="1" si="2"/>
        <v>96.04</v>
      </c>
      <c r="N32" s="395">
        <f t="shared" ca="1" si="3"/>
        <v>1.5306122448979593E-2</v>
      </c>
      <c r="O32" s="211"/>
      <c r="P32" s="266" t="s">
        <v>341</v>
      </c>
      <c r="Q32" s="266" t="s">
        <v>342</v>
      </c>
      <c r="R32" s="136"/>
      <c r="V32" s="403">
        <f t="shared" ca="1" si="4"/>
        <v>1.1760000000000002</v>
      </c>
      <c r="W32" s="403">
        <f t="shared" ca="1" si="5"/>
        <v>1.7640000000000002</v>
      </c>
    </row>
    <row r="33" spans="2:23">
      <c r="B33" s="136"/>
      <c r="C33" s="264" t="str">
        <f>"Treatment costs "&amp;comparador2</f>
        <v xml:space="preserve">Treatment costs </v>
      </c>
      <c r="D33" s="393" t="s">
        <v>34</v>
      </c>
      <c r="E33" s="395">
        <f t="shared" ca="1" si="0"/>
        <v>0</v>
      </c>
      <c r="F33" s="399">
        <f ca="1">Costs!E37</f>
        <v>0</v>
      </c>
      <c r="G33" s="397" t="e">
        <f t="shared" ca="1" si="1"/>
        <v>#DIV/0!</v>
      </c>
      <c r="H33" s="209">
        <v>0.2</v>
      </c>
      <c r="I33" s="265">
        <f t="shared" ca="1" si="6"/>
        <v>0</v>
      </c>
      <c r="J33" s="392"/>
      <c r="K33" s="392"/>
      <c r="L33" s="384" t="s">
        <v>332</v>
      </c>
      <c r="M33" s="395" t="e">
        <f t="shared" ca="1" si="2"/>
        <v>#DIV/0!</v>
      </c>
      <c r="N33" s="395" t="e">
        <f t="shared" ca="1" si="3"/>
        <v>#DIV/0!</v>
      </c>
      <c r="O33" s="211"/>
      <c r="P33" s="266" t="s">
        <v>341</v>
      </c>
      <c r="Q33" s="266" t="s">
        <v>342</v>
      </c>
      <c r="R33" s="136"/>
      <c r="V33" s="403">
        <f t="shared" ca="1" si="4"/>
        <v>0</v>
      </c>
      <c r="W33" s="403">
        <f t="shared" ca="1" si="5"/>
        <v>0</v>
      </c>
    </row>
    <row r="34" spans="2:23">
      <c r="B34" s="136"/>
      <c r="C34" s="264" t="str">
        <f>"Treatment costs "&amp;comparador3</f>
        <v xml:space="preserve">Treatment costs </v>
      </c>
      <c r="D34" s="393" t="s">
        <v>35</v>
      </c>
      <c r="E34" s="395">
        <f t="shared" ca="1" si="0"/>
        <v>0</v>
      </c>
      <c r="F34" s="399">
        <f ca="1">Costs!E38</f>
        <v>0</v>
      </c>
      <c r="G34" s="397" t="e">
        <f t="shared" ca="1" si="1"/>
        <v>#DIV/0!</v>
      </c>
      <c r="H34" s="209">
        <v>0.2</v>
      </c>
      <c r="I34" s="265">
        <f t="shared" ca="1" si="6"/>
        <v>0</v>
      </c>
      <c r="J34" s="392"/>
      <c r="K34" s="392"/>
      <c r="L34" s="384" t="s">
        <v>332</v>
      </c>
      <c r="M34" s="395" t="e">
        <f t="shared" ca="1" si="2"/>
        <v>#DIV/0!</v>
      </c>
      <c r="N34" s="395" t="e">
        <f t="shared" ca="1" si="3"/>
        <v>#DIV/0!</v>
      </c>
      <c r="O34" s="211"/>
      <c r="P34" s="266" t="s">
        <v>341</v>
      </c>
      <c r="Q34" s="266" t="s">
        <v>342</v>
      </c>
      <c r="R34" s="136"/>
      <c r="V34" s="403">
        <f t="shared" ca="1" si="4"/>
        <v>0</v>
      </c>
      <c r="W34" s="403">
        <f t="shared" ca="1" si="5"/>
        <v>0</v>
      </c>
    </row>
    <row r="35" spans="2:23">
      <c r="B35" s="136"/>
      <c r="C35" s="264" t="str">
        <f>"Treatment costs "&amp;comparador4</f>
        <v xml:space="preserve">Treatment costs </v>
      </c>
      <c r="D35" s="393" t="s">
        <v>36</v>
      </c>
      <c r="E35" s="395">
        <f t="shared" ca="1" si="0"/>
        <v>0</v>
      </c>
      <c r="F35" s="399">
        <f ca="1">Costs!E39</f>
        <v>0</v>
      </c>
      <c r="G35" s="397" t="e">
        <f t="shared" ca="1" si="1"/>
        <v>#DIV/0!</v>
      </c>
      <c r="H35" s="209">
        <v>0.2</v>
      </c>
      <c r="I35" s="265">
        <f t="shared" ca="1" si="6"/>
        <v>0</v>
      </c>
      <c r="J35" s="392"/>
      <c r="K35" s="392"/>
      <c r="L35" s="384" t="s">
        <v>332</v>
      </c>
      <c r="M35" s="395" t="e">
        <f t="shared" ca="1" si="2"/>
        <v>#DIV/0!</v>
      </c>
      <c r="N35" s="395" t="e">
        <f t="shared" ca="1" si="3"/>
        <v>#DIV/0!</v>
      </c>
      <c r="O35" s="211"/>
      <c r="P35" s="266" t="s">
        <v>341</v>
      </c>
      <c r="Q35" s="266" t="s">
        <v>342</v>
      </c>
      <c r="R35" s="136"/>
      <c r="V35" s="403">
        <f t="shared" ca="1" si="4"/>
        <v>0</v>
      </c>
      <c r="W35" s="403">
        <f t="shared" ca="1" si="5"/>
        <v>0</v>
      </c>
    </row>
    <row r="36" spans="2:23">
      <c r="B36" s="136"/>
      <c r="C36" s="264" t="str">
        <f>"Treatment costs "&amp;comparador5</f>
        <v xml:space="preserve">Treatment costs </v>
      </c>
      <c r="D36" s="393" t="s">
        <v>37</v>
      </c>
      <c r="E36" s="395">
        <f t="shared" ca="1" si="0"/>
        <v>0</v>
      </c>
      <c r="F36" s="399">
        <f ca="1">Costs!E40</f>
        <v>0</v>
      </c>
      <c r="G36" s="397" t="e">
        <f t="shared" ca="1" si="1"/>
        <v>#DIV/0!</v>
      </c>
      <c r="H36" s="209">
        <v>0.2</v>
      </c>
      <c r="I36" s="265">
        <f t="shared" ca="1" si="6"/>
        <v>0</v>
      </c>
      <c r="J36" s="392"/>
      <c r="K36" s="392"/>
      <c r="L36" s="384" t="s">
        <v>332</v>
      </c>
      <c r="M36" s="395" t="e">
        <f t="shared" ca="1" si="2"/>
        <v>#DIV/0!</v>
      </c>
      <c r="N36" s="395" t="e">
        <f t="shared" ca="1" si="3"/>
        <v>#DIV/0!</v>
      </c>
      <c r="O36" s="211"/>
      <c r="P36" s="266" t="s">
        <v>341</v>
      </c>
      <c r="Q36" s="266" t="s">
        <v>342</v>
      </c>
      <c r="R36" s="136"/>
      <c r="V36" s="403">
        <f t="shared" ca="1" si="4"/>
        <v>0</v>
      </c>
      <c r="W36" s="403">
        <f t="shared" ca="1" si="5"/>
        <v>0</v>
      </c>
    </row>
    <row r="37" spans="2:23">
      <c r="B37" s="136"/>
      <c r="C37" s="264" t="str">
        <f>"Treatment costs "&amp;comparador6</f>
        <v xml:space="preserve">Treatment costs </v>
      </c>
      <c r="D37" s="393" t="s">
        <v>38</v>
      </c>
      <c r="E37" s="395">
        <f t="shared" ca="1" si="0"/>
        <v>0</v>
      </c>
      <c r="F37" s="399">
        <f ca="1">Costs!E41</f>
        <v>0</v>
      </c>
      <c r="G37" s="397" t="e">
        <f t="shared" ca="1" si="1"/>
        <v>#DIV/0!</v>
      </c>
      <c r="H37" s="209">
        <v>0.2</v>
      </c>
      <c r="I37" s="265">
        <f t="shared" ca="1" si="6"/>
        <v>0</v>
      </c>
      <c r="J37" s="392"/>
      <c r="K37" s="392"/>
      <c r="L37" s="384" t="s">
        <v>332</v>
      </c>
      <c r="M37" s="395" t="e">
        <f t="shared" ca="1" si="2"/>
        <v>#DIV/0!</v>
      </c>
      <c r="N37" s="395" t="e">
        <f t="shared" ca="1" si="3"/>
        <v>#DIV/0!</v>
      </c>
      <c r="O37" s="211"/>
      <c r="P37" s="266" t="s">
        <v>341</v>
      </c>
      <c r="Q37" s="266" t="s">
        <v>342</v>
      </c>
      <c r="R37" s="136"/>
      <c r="V37" s="403">
        <f t="shared" ca="1" si="4"/>
        <v>0</v>
      </c>
      <c r="W37" s="403">
        <f t="shared" ca="1" si="5"/>
        <v>0</v>
      </c>
    </row>
    <row r="38" spans="2:23">
      <c r="B38" s="136"/>
      <c r="C38" s="264" t="str">
        <f>"Treatment costs "&amp;comparador7</f>
        <v xml:space="preserve">Treatment costs </v>
      </c>
      <c r="D38" s="393" t="s">
        <v>39</v>
      </c>
      <c r="E38" s="395">
        <f t="shared" ca="1" si="0"/>
        <v>0</v>
      </c>
      <c r="F38" s="399">
        <f ca="1">Costs!E42</f>
        <v>0</v>
      </c>
      <c r="G38" s="397" t="e">
        <f t="shared" ca="1" si="1"/>
        <v>#DIV/0!</v>
      </c>
      <c r="H38" s="209">
        <v>0.2</v>
      </c>
      <c r="I38" s="265">
        <f t="shared" ca="1" si="6"/>
        <v>0</v>
      </c>
      <c r="J38" s="392"/>
      <c r="K38" s="392"/>
      <c r="L38" s="384" t="s">
        <v>332</v>
      </c>
      <c r="M38" s="395" t="e">
        <f t="shared" ca="1" si="2"/>
        <v>#DIV/0!</v>
      </c>
      <c r="N38" s="395" t="e">
        <f t="shared" ca="1" si="3"/>
        <v>#DIV/0!</v>
      </c>
      <c r="O38" s="211"/>
      <c r="P38" s="266" t="s">
        <v>341</v>
      </c>
      <c r="Q38" s="266" t="s">
        <v>342</v>
      </c>
      <c r="R38" s="136"/>
      <c r="V38" s="403">
        <f t="shared" ca="1" si="4"/>
        <v>0</v>
      </c>
      <c r="W38" s="403">
        <f t="shared" ca="1" si="5"/>
        <v>0</v>
      </c>
    </row>
    <row r="39" spans="2:23">
      <c r="B39" s="136"/>
      <c r="C39" s="264" t="str">
        <f>"Treatment costs "&amp;comparador8</f>
        <v xml:space="preserve">Treatment costs </v>
      </c>
      <c r="D39" s="393" t="s">
        <v>40</v>
      </c>
      <c r="E39" s="395">
        <f t="shared" ca="1" si="0"/>
        <v>0</v>
      </c>
      <c r="F39" s="399">
        <f ca="1">Costs!E43</f>
        <v>0</v>
      </c>
      <c r="G39" s="397" t="e">
        <f t="shared" ca="1" si="1"/>
        <v>#DIV/0!</v>
      </c>
      <c r="H39" s="209">
        <v>0.2</v>
      </c>
      <c r="I39" s="265">
        <f t="shared" ca="1" si="6"/>
        <v>0</v>
      </c>
      <c r="J39" s="392"/>
      <c r="K39" s="392"/>
      <c r="L39" s="384" t="s">
        <v>332</v>
      </c>
      <c r="M39" s="395" t="e">
        <f t="shared" ca="1" si="2"/>
        <v>#DIV/0!</v>
      </c>
      <c r="N39" s="395" t="e">
        <f t="shared" ca="1" si="3"/>
        <v>#DIV/0!</v>
      </c>
      <c r="O39" s="211"/>
      <c r="P39" s="266" t="s">
        <v>341</v>
      </c>
      <c r="Q39" s="266" t="s">
        <v>342</v>
      </c>
      <c r="R39" s="136"/>
      <c r="V39" s="403">
        <f t="shared" ca="1" si="4"/>
        <v>0</v>
      </c>
      <c r="W39" s="403">
        <f t="shared" ca="1" si="5"/>
        <v>0</v>
      </c>
    </row>
    <row r="40" spans="2:23">
      <c r="B40" s="136"/>
      <c r="C40" s="264" t="str">
        <f>"Treatment costs "&amp;comparador9</f>
        <v xml:space="preserve">Treatment costs </v>
      </c>
      <c r="D40" s="393" t="s">
        <v>41</v>
      </c>
      <c r="E40" s="395">
        <f t="shared" ca="1" si="0"/>
        <v>0</v>
      </c>
      <c r="F40" s="399">
        <f ca="1">Costs!E44</f>
        <v>0</v>
      </c>
      <c r="G40" s="397" t="e">
        <f t="shared" ca="1" si="1"/>
        <v>#DIV/0!</v>
      </c>
      <c r="H40" s="209">
        <v>0.2</v>
      </c>
      <c r="I40" s="265">
        <f t="shared" ca="1" si="6"/>
        <v>0</v>
      </c>
      <c r="J40" s="392"/>
      <c r="K40" s="392"/>
      <c r="L40" s="384" t="s">
        <v>332</v>
      </c>
      <c r="M40" s="395" t="e">
        <f t="shared" ca="1" si="2"/>
        <v>#DIV/0!</v>
      </c>
      <c r="N40" s="395" t="e">
        <f t="shared" ca="1" si="3"/>
        <v>#DIV/0!</v>
      </c>
      <c r="O40" s="211"/>
      <c r="P40" s="266" t="s">
        <v>341</v>
      </c>
      <c r="Q40" s="266" t="s">
        <v>342</v>
      </c>
      <c r="R40" s="136"/>
      <c r="V40" s="403">
        <f t="shared" ca="1" si="4"/>
        <v>0</v>
      </c>
      <c r="W40" s="403">
        <f t="shared" ca="1" si="5"/>
        <v>0</v>
      </c>
    </row>
    <row r="41" spans="2:23">
      <c r="B41" s="136"/>
      <c r="C41" s="264" t="str">
        <f>"Treatment costs "&amp;comparador10</f>
        <v xml:space="preserve">Treatment costs </v>
      </c>
      <c r="D41" s="393" t="s">
        <v>42</v>
      </c>
      <c r="E41" s="395">
        <f t="shared" ca="1" si="0"/>
        <v>0</v>
      </c>
      <c r="F41" s="399">
        <f ca="1">Costs!E45</f>
        <v>0</v>
      </c>
      <c r="G41" s="397" t="e">
        <f t="shared" ca="1" si="1"/>
        <v>#DIV/0!</v>
      </c>
      <c r="H41" s="209">
        <v>0.2</v>
      </c>
      <c r="I41" s="265">
        <f t="shared" ca="1" si="6"/>
        <v>0</v>
      </c>
      <c r="J41" s="392"/>
      <c r="K41" s="392"/>
      <c r="L41" s="384" t="s">
        <v>332</v>
      </c>
      <c r="M41" s="395" t="e">
        <f t="shared" ca="1" si="2"/>
        <v>#DIV/0!</v>
      </c>
      <c r="N41" s="395" t="e">
        <f t="shared" ca="1" si="3"/>
        <v>#DIV/0!</v>
      </c>
      <c r="O41" s="211"/>
      <c r="P41" s="266" t="s">
        <v>341</v>
      </c>
      <c r="Q41" s="266" t="s">
        <v>342</v>
      </c>
      <c r="R41" s="136"/>
      <c r="V41" s="403">
        <f t="shared" ca="1" si="4"/>
        <v>0</v>
      </c>
      <c r="W41" s="403">
        <f t="shared" ca="1" si="5"/>
        <v>0</v>
      </c>
    </row>
    <row r="42" spans="2:23">
      <c r="B42" s="136"/>
      <c r="C42" s="264" t="str">
        <f>"Additional costs "&amp;intervencao1</f>
        <v>Additional costs Intrauterine device levonorgestrel</v>
      </c>
      <c r="D42" s="393" t="s">
        <v>43</v>
      </c>
      <c r="E42" s="395">
        <f t="shared" ca="1" si="0"/>
        <v>0</v>
      </c>
      <c r="F42" s="399">
        <f ca="1">Costs!F32</f>
        <v>0</v>
      </c>
      <c r="G42" s="397" t="e">
        <f t="shared" ca="1" si="1"/>
        <v>#DIV/0!</v>
      </c>
      <c r="H42" s="209">
        <v>0.2</v>
      </c>
      <c r="I42" s="265">
        <f t="shared" ca="1" si="6"/>
        <v>0</v>
      </c>
      <c r="J42" s="392"/>
      <c r="K42" s="392"/>
      <c r="L42" s="384" t="s">
        <v>332</v>
      </c>
      <c r="M42" s="395" t="e">
        <f t="shared" ca="1" si="2"/>
        <v>#DIV/0!</v>
      </c>
      <c r="N42" s="395" t="e">
        <f t="shared" ca="1" si="3"/>
        <v>#DIV/0!</v>
      </c>
      <c r="O42" s="211"/>
      <c r="P42" s="266" t="s">
        <v>341</v>
      </c>
      <c r="Q42" s="266" t="s">
        <v>342</v>
      </c>
      <c r="R42" s="136"/>
      <c r="V42" s="403">
        <f t="shared" ca="1" si="4"/>
        <v>0</v>
      </c>
      <c r="W42" s="403">
        <f t="shared" ca="1" si="5"/>
        <v>0</v>
      </c>
    </row>
    <row r="43" spans="2:23">
      <c r="B43" s="136"/>
      <c r="C43" s="264" t="str">
        <f>"Additional costs "&amp;intervencao2</f>
        <v xml:space="preserve">Additional costs </v>
      </c>
      <c r="D43" s="393" t="s">
        <v>44</v>
      </c>
      <c r="E43" s="395">
        <f t="shared" ca="1" si="0"/>
        <v>0</v>
      </c>
      <c r="F43" s="399">
        <f ca="1">Costs!F33</f>
        <v>0</v>
      </c>
      <c r="G43" s="397" t="e">
        <f t="shared" ca="1" si="1"/>
        <v>#DIV/0!</v>
      </c>
      <c r="H43" s="209">
        <v>0.2</v>
      </c>
      <c r="I43" s="265">
        <f t="shared" ca="1" si="6"/>
        <v>0</v>
      </c>
      <c r="J43" s="392"/>
      <c r="K43" s="392"/>
      <c r="L43" s="384" t="s">
        <v>332</v>
      </c>
      <c r="M43" s="395" t="e">
        <f t="shared" ca="1" si="2"/>
        <v>#DIV/0!</v>
      </c>
      <c r="N43" s="395" t="e">
        <f t="shared" ca="1" si="3"/>
        <v>#DIV/0!</v>
      </c>
      <c r="O43" s="211"/>
      <c r="P43" s="266" t="s">
        <v>341</v>
      </c>
      <c r="Q43" s="266" t="s">
        <v>342</v>
      </c>
      <c r="R43" s="136"/>
      <c r="V43" s="403">
        <f t="shared" ca="1" si="4"/>
        <v>0</v>
      </c>
      <c r="W43" s="403">
        <f t="shared" ca="1" si="5"/>
        <v>0</v>
      </c>
    </row>
    <row r="44" spans="2:23">
      <c r="B44" s="136"/>
      <c r="C44" s="264" t="str">
        <f>"Additional costs "&amp;intervencao3</f>
        <v xml:space="preserve">Additional costs </v>
      </c>
      <c r="D44" s="393" t="s">
        <v>45</v>
      </c>
      <c r="E44" s="395">
        <f t="shared" ca="1" si="0"/>
        <v>0</v>
      </c>
      <c r="F44" s="399">
        <f ca="1">Costs!F34</f>
        <v>0</v>
      </c>
      <c r="G44" s="397" t="e">
        <f t="shared" ca="1" si="1"/>
        <v>#DIV/0!</v>
      </c>
      <c r="H44" s="209">
        <v>0.2</v>
      </c>
      <c r="I44" s="265">
        <f t="shared" ca="1" si="6"/>
        <v>0</v>
      </c>
      <c r="J44" s="392"/>
      <c r="K44" s="392"/>
      <c r="L44" s="384" t="s">
        <v>332</v>
      </c>
      <c r="M44" s="395" t="e">
        <f t="shared" ca="1" si="2"/>
        <v>#DIV/0!</v>
      </c>
      <c r="N44" s="395" t="e">
        <f t="shared" ca="1" si="3"/>
        <v>#DIV/0!</v>
      </c>
      <c r="O44" s="211"/>
      <c r="P44" s="266" t="s">
        <v>341</v>
      </c>
      <c r="Q44" s="266" t="s">
        <v>342</v>
      </c>
      <c r="R44" s="136"/>
      <c r="V44" s="403">
        <f t="shared" ca="1" si="4"/>
        <v>0</v>
      </c>
      <c r="W44" s="403">
        <f t="shared" ca="1" si="5"/>
        <v>0</v>
      </c>
    </row>
    <row r="45" spans="2:23">
      <c r="B45" s="136"/>
      <c r="C45" s="264" t="str">
        <f>"Additional costs "&amp;intervencao4</f>
        <v xml:space="preserve">Additional costs </v>
      </c>
      <c r="D45" s="393" t="s">
        <v>46</v>
      </c>
      <c r="E45" s="395">
        <f t="shared" ca="1" si="0"/>
        <v>0</v>
      </c>
      <c r="F45" s="399">
        <f ca="1">Costs!F35</f>
        <v>0</v>
      </c>
      <c r="G45" s="397" t="e">
        <f t="shared" ca="1" si="1"/>
        <v>#DIV/0!</v>
      </c>
      <c r="H45" s="209">
        <v>0.2</v>
      </c>
      <c r="I45" s="265">
        <f t="shared" ca="1" si="6"/>
        <v>0</v>
      </c>
      <c r="J45" s="392"/>
      <c r="K45" s="392"/>
      <c r="L45" s="384" t="s">
        <v>332</v>
      </c>
      <c r="M45" s="395" t="e">
        <f t="shared" ca="1" si="2"/>
        <v>#DIV/0!</v>
      </c>
      <c r="N45" s="395" t="e">
        <f t="shared" ca="1" si="3"/>
        <v>#DIV/0!</v>
      </c>
      <c r="O45" s="211"/>
      <c r="P45" s="266" t="s">
        <v>341</v>
      </c>
      <c r="Q45" s="266" t="s">
        <v>342</v>
      </c>
      <c r="R45" s="136"/>
      <c r="V45" s="403">
        <f t="shared" ca="1" si="4"/>
        <v>0</v>
      </c>
      <c r="W45" s="403">
        <f t="shared" ca="1" si="5"/>
        <v>0</v>
      </c>
    </row>
    <row r="46" spans="2:23">
      <c r="B46" s="136"/>
      <c r="C46" s="264" t="str">
        <f>"Additional costs "&amp;comparador1</f>
        <v>Additional costs Oral contraceptive</v>
      </c>
      <c r="D46" s="393" t="s">
        <v>47</v>
      </c>
      <c r="E46" s="395">
        <f t="shared" ca="1" si="0"/>
        <v>0</v>
      </c>
      <c r="F46" s="399">
        <f ca="1">Costs!F36</f>
        <v>0</v>
      </c>
      <c r="G46" s="397" t="e">
        <f t="shared" ca="1" si="1"/>
        <v>#DIV/0!</v>
      </c>
      <c r="H46" s="209">
        <v>0.2</v>
      </c>
      <c r="I46" s="265">
        <f t="shared" ca="1" si="6"/>
        <v>0</v>
      </c>
      <c r="J46" s="392"/>
      <c r="K46" s="392"/>
      <c r="L46" s="384" t="s">
        <v>332</v>
      </c>
      <c r="M46" s="395" t="e">
        <f t="shared" ca="1" si="2"/>
        <v>#DIV/0!</v>
      </c>
      <c r="N46" s="395" t="e">
        <f t="shared" ca="1" si="3"/>
        <v>#DIV/0!</v>
      </c>
      <c r="O46" s="211"/>
      <c r="P46" s="266" t="s">
        <v>341</v>
      </c>
      <c r="Q46" s="266" t="s">
        <v>342</v>
      </c>
      <c r="R46" s="136"/>
      <c r="V46" s="403">
        <f t="shared" ca="1" si="4"/>
        <v>0</v>
      </c>
      <c r="W46" s="403">
        <f t="shared" ca="1" si="5"/>
        <v>0</v>
      </c>
    </row>
    <row r="47" spans="2:23">
      <c r="B47" s="136"/>
      <c r="C47" s="264" t="str">
        <f>"Additional costs "&amp;comparador2</f>
        <v xml:space="preserve">Additional costs </v>
      </c>
      <c r="D47" s="393" t="s">
        <v>48</v>
      </c>
      <c r="E47" s="395">
        <f t="shared" ca="1" si="0"/>
        <v>0</v>
      </c>
      <c r="F47" s="399">
        <f ca="1">Costs!F37</f>
        <v>0</v>
      </c>
      <c r="G47" s="397" t="e">
        <f t="shared" ca="1" si="1"/>
        <v>#DIV/0!</v>
      </c>
      <c r="H47" s="209">
        <v>0.2</v>
      </c>
      <c r="I47" s="265">
        <f t="shared" ca="1" si="6"/>
        <v>0</v>
      </c>
      <c r="J47" s="392"/>
      <c r="K47" s="392"/>
      <c r="L47" s="384" t="s">
        <v>332</v>
      </c>
      <c r="M47" s="395" t="e">
        <f t="shared" ca="1" si="2"/>
        <v>#DIV/0!</v>
      </c>
      <c r="N47" s="395" t="e">
        <f t="shared" ca="1" si="3"/>
        <v>#DIV/0!</v>
      </c>
      <c r="O47" s="211"/>
      <c r="P47" s="266" t="s">
        <v>341</v>
      </c>
      <c r="Q47" s="266" t="s">
        <v>342</v>
      </c>
      <c r="R47" s="136"/>
      <c r="V47" s="403">
        <f t="shared" ca="1" si="4"/>
        <v>0</v>
      </c>
      <c r="W47" s="403">
        <f t="shared" ca="1" si="5"/>
        <v>0</v>
      </c>
    </row>
    <row r="48" spans="2:23">
      <c r="B48" s="136"/>
      <c r="C48" s="264" t="str">
        <f>"Additional costs "&amp;comparador3</f>
        <v xml:space="preserve">Additional costs </v>
      </c>
      <c r="D48" s="393" t="s">
        <v>49</v>
      </c>
      <c r="E48" s="395">
        <f t="shared" ca="1" si="0"/>
        <v>0</v>
      </c>
      <c r="F48" s="399">
        <f ca="1">Costs!F38</f>
        <v>0</v>
      </c>
      <c r="G48" s="397" t="e">
        <f t="shared" ca="1" si="1"/>
        <v>#DIV/0!</v>
      </c>
      <c r="H48" s="209">
        <v>0.2</v>
      </c>
      <c r="I48" s="265">
        <f t="shared" ca="1" si="6"/>
        <v>0</v>
      </c>
      <c r="J48" s="392"/>
      <c r="K48" s="392"/>
      <c r="L48" s="384" t="s">
        <v>332</v>
      </c>
      <c r="M48" s="395" t="e">
        <f t="shared" ca="1" si="2"/>
        <v>#DIV/0!</v>
      </c>
      <c r="N48" s="395" t="e">
        <f t="shared" ca="1" si="3"/>
        <v>#DIV/0!</v>
      </c>
      <c r="O48" s="211"/>
      <c r="P48" s="266" t="s">
        <v>341</v>
      </c>
      <c r="Q48" s="266" t="s">
        <v>342</v>
      </c>
      <c r="R48" s="136"/>
      <c r="V48" s="403">
        <f t="shared" ca="1" si="4"/>
        <v>0</v>
      </c>
      <c r="W48" s="403">
        <f t="shared" ca="1" si="5"/>
        <v>0</v>
      </c>
    </row>
    <row r="49" spans="3:23">
      <c r="C49" s="264" t="str">
        <f>"Additional costs "&amp;comparador4</f>
        <v xml:space="preserve">Additional costs </v>
      </c>
      <c r="D49" s="393" t="s">
        <v>50</v>
      </c>
      <c r="E49" s="395">
        <f t="shared" ca="1" si="0"/>
        <v>0</v>
      </c>
      <c r="F49" s="399">
        <f ca="1">Costs!F39</f>
        <v>0</v>
      </c>
      <c r="G49" s="397" t="e">
        <f t="shared" ca="1" si="1"/>
        <v>#DIV/0!</v>
      </c>
      <c r="H49" s="209">
        <v>0.2</v>
      </c>
      <c r="I49" s="265">
        <f t="shared" ca="1" si="6"/>
        <v>0</v>
      </c>
      <c r="J49" s="392"/>
      <c r="K49" s="392"/>
      <c r="L49" s="384" t="s">
        <v>332</v>
      </c>
      <c r="M49" s="395" t="e">
        <f t="shared" ca="1" si="2"/>
        <v>#DIV/0!</v>
      </c>
      <c r="N49" s="395" t="e">
        <f t="shared" ca="1" si="3"/>
        <v>#DIV/0!</v>
      </c>
      <c r="O49" s="211"/>
      <c r="P49" s="266" t="s">
        <v>341</v>
      </c>
      <c r="Q49" s="266" t="s">
        <v>342</v>
      </c>
      <c r="V49" s="403">
        <f t="shared" ca="1" si="4"/>
        <v>0</v>
      </c>
      <c r="W49" s="403">
        <f t="shared" ca="1" si="5"/>
        <v>0</v>
      </c>
    </row>
    <row r="50" spans="3:23">
      <c r="C50" s="264" t="str">
        <f>"Additional costs "&amp;comparador5</f>
        <v xml:space="preserve">Additional costs </v>
      </c>
      <c r="D50" s="393" t="s">
        <v>51</v>
      </c>
      <c r="E50" s="395">
        <f t="shared" ca="1" si="0"/>
        <v>0</v>
      </c>
      <c r="F50" s="399">
        <f ca="1">Costs!F40</f>
        <v>0</v>
      </c>
      <c r="G50" s="397" t="e">
        <f t="shared" ca="1" si="1"/>
        <v>#DIV/0!</v>
      </c>
      <c r="H50" s="209">
        <v>0.2</v>
      </c>
      <c r="I50" s="265">
        <f t="shared" ca="1" si="6"/>
        <v>0</v>
      </c>
      <c r="J50" s="392"/>
      <c r="K50" s="392"/>
      <c r="L50" s="384" t="s">
        <v>332</v>
      </c>
      <c r="M50" s="395" t="e">
        <f t="shared" ca="1" si="2"/>
        <v>#DIV/0!</v>
      </c>
      <c r="N50" s="395" t="e">
        <f t="shared" ca="1" si="3"/>
        <v>#DIV/0!</v>
      </c>
      <c r="O50" s="211"/>
      <c r="P50" s="266" t="s">
        <v>341</v>
      </c>
      <c r="Q50" s="266" t="s">
        <v>342</v>
      </c>
      <c r="V50" s="403">
        <f t="shared" ca="1" si="4"/>
        <v>0</v>
      </c>
      <c r="W50" s="403">
        <f t="shared" ca="1" si="5"/>
        <v>0</v>
      </c>
    </row>
    <row r="51" spans="3:23">
      <c r="C51" s="264" t="str">
        <f>"Additional costs "&amp;comparador6</f>
        <v xml:space="preserve">Additional costs </v>
      </c>
      <c r="D51" s="393" t="s">
        <v>52</v>
      </c>
      <c r="E51" s="395">
        <f t="shared" ca="1" si="0"/>
        <v>0</v>
      </c>
      <c r="F51" s="399">
        <f ca="1">Costs!F41</f>
        <v>0</v>
      </c>
      <c r="G51" s="397" t="e">
        <f t="shared" ca="1" si="1"/>
        <v>#DIV/0!</v>
      </c>
      <c r="H51" s="209">
        <v>0.2</v>
      </c>
      <c r="I51" s="265">
        <f t="shared" ca="1" si="6"/>
        <v>0</v>
      </c>
      <c r="J51" s="392"/>
      <c r="K51" s="392"/>
      <c r="L51" s="384" t="s">
        <v>332</v>
      </c>
      <c r="M51" s="395" t="e">
        <f t="shared" ca="1" si="2"/>
        <v>#DIV/0!</v>
      </c>
      <c r="N51" s="395" t="e">
        <f t="shared" ca="1" si="3"/>
        <v>#DIV/0!</v>
      </c>
      <c r="O51" s="211"/>
      <c r="P51" s="266" t="s">
        <v>341</v>
      </c>
      <c r="Q51" s="266" t="s">
        <v>342</v>
      </c>
      <c r="V51" s="403">
        <f t="shared" ca="1" si="4"/>
        <v>0</v>
      </c>
      <c r="W51" s="403">
        <f t="shared" ca="1" si="5"/>
        <v>0</v>
      </c>
    </row>
    <row r="52" spans="3:23">
      <c r="C52" s="264" t="str">
        <f>"Additional costs "&amp;comparador7</f>
        <v xml:space="preserve">Additional costs </v>
      </c>
      <c r="D52" s="393" t="s">
        <v>53</v>
      </c>
      <c r="E52" s="395">
        <f t="shared" ca="1" si="0"/>
        <v>0</v>
      </c>
      <c r="F52" s="399">
        <f ca="1">Costs!F42</f>
        <v>0</v>
      </c>
      <c r="G52" s="397" t="e">
        <f t="shared" ca="1" si="1"/>
        <v>#DIV/0!</v>
      </c>
      <c r="H52" s="209">
        <v>0.2</v>
      </c>
      <c r="I52" s="265">
        <f t="shared" ca="1" si="6"/>
        <v>0</v>
      </c>
      <c r="J52" s="392"/>
      <c r="K52" s="392"/>
      <c r="L52" s="384" t="s">
        <v>332</v>
      </c>
      <c r="M52" s="395" t="e">
        <f t="shared" ca="1" si="2"/>
        <v>#DIV/0!</v>
      </c>
      <c r="N52" s="395" t="e">
        <f t="shared" ca="1" si="3"/>
        <v>#DIV/0!</v>
      </c>
      <c r="O52" s="211"/>
      <c r="P52" s="266" t="s">
        <v>341</v>
      </c>
      <c r="Q52" s="266" t="s">
        <v>342</v>
      </c>
      <c r="V52" s="403">
        <f t="shared" ca="1" si="4"/>
        <v>0</v>
      </c>
      <c r="W52" s="403">
        <f t="shared" ca="1" si="5"/>
        <v>0</v>
      </c>
    </row>
    <row r="53" spans="3:23">
      <c r="C53" s="264" t="str">
        <f>"Additional costs "&amp;comparador8</f>
        <v xml:space="preserve">Additional costs </v>
      </c>
      <c r="D53" s="393" t="s">
        <v>54</v>
      </c>
      <c r="E53" s="395">
        <f t="shared" ca="1" si="0"/>
        <v>0</v>
      </c>
      <c r="F53" s="399">
        <f ca="1">Costs!F43</f>
        <v>0</v>
      </c>
      <c r="G53" s="397" t="e">
        <f t="shared" ca="1" si="1"/>
        <v>#DIV/0!</v>
      </c>
      <c r="H53" s="209">
        <v>0.2</v>
      </c>
      <c r="I53" s="265">
        <f t="shared" ca="1" si="6"/>
        <v>0</v>
      </c>
      <c r="J53" s="392"/>
      <c r="K53" s="392"/>
      <c r="L53" s="384" t="s">
        <v>332</v>
      </c>
      <c r="M53" s="395" t="e">
        <f t="shared" ca="1" si="2"/>
        <v>#DIV/0!</v>
      </c>
      <c r="N53" s="395" t="e">
        <f t="shared" ca="1" si="3"/>
        <v>#DIV/0!</v>
      </c>
      <c r="O53" s="211"/>
      <c r="P53" s="266" t="s">
        <v>341</v>
      </c>
      <c r="Q53" s="266" t="s">
        <v>342</v>
      </c>
      <c r="V53" s="403">
        <f t="shared" ca="1" si="4"/>
        <v>0</v>
      </c>
      <c r="W53" s="403">
        <f t="shared" ca="1" si="5"/>
        <v>0</v>
      </c>
    </row>
    <row r="54" spans="3:23">
      <c r="C54" s="264" t="str">
        <f>"Additional costs "&amp;comparador9</f>
        <v xml:space="preserve">Additional costs </v>
      </c>
      <c r="D54" s="393" t="s">
        <v>55</v>
      </c>
      <c r="E54" s="395">
        <f t="shared" ca="1" si="0"/>
        <v>0</v>
      </c>
      <c r="F54" s="399">
        <f ca="1">Costs!F44</f>
        <v>0</v>
      </c>
      <c r="G54" s="397" t="e">
        <f t="shared" ca="1" si="1"/>
        <v>#DIV/0!</v>
      </c>
      <c r="H54" s="209">
        <v>0.2</v>
      </c>
      <c r="I54" s="265">
        <f t="shared" ca="1" si="6"/>
        <v>0</v>
      </c>
      <c r="J54" s="392"/>
      <c r="K54" s="392"/>
      <c r="L54" s="384" t="s">
        <v>332</v>
      </c>
      <c r="M54" s="395" t="e">
        <f t="shared" ca="1" si="2"/>
        <v>#DIV/0!</v>
      </c>
      <c r="N54" s="395" t="e">
        <f t="shared" ca="1" si="3"/>
        <v>#DIV/0!</v>
      </c>
      <c r="O54" s="211"/>
      <c r="P54" s="266" t="s">
        <v>341</v>
      </c>
      <c r="Q54" s="266" t="s">
        <v>342</v>
      </c>
      <c r="V54" s="403">
        <f t="shared" ca="1" si="4"/>
        <v>0</v>
      </c>
      <c r="W54" s="403">
        <f t="shared" ca="1" si="5"/>
        <v>0</v>
      </c>
    </row>
    <row r="55" spans="3:23">
      <c r="C55" s="264" t="str">
        <f>"Additional costs "&amp;comparador10</f>
        <v xml:space="preserve">Additional costs </v>
      </c>
      <c r="D55" s="393" t="s">
        <v>56</v>
      </c>
      <c r="E55" s="395">
        <f t="shared" ca="1" si="0"/>
        <v>0</v>
      </c>
      <c r="F55" s="399">
        <f ca="1">Costs!F45</f>
        <v>0</v>
      </c>
      <c r="G55" s="397" t="e">
        <f t="shared" ca="1" si="1"/>
        <v>#DIV/0!</v>
      </c>
      <c r="H55" s="209">
        <v>0.2</v>
      </c>
      <c r="I55" s="265">
        <f t="shared" ca="1" si="6"/>
        <v>0</v>
      </c>
      <c r="J55" s="392"/>
      <c r="K55" s="392"/>
      <c r="L55" s="384" t="s">
        <v>332</v>
      </c>
      <c r="M55" s="395" t="e">
        <f t="shared" ca="1" si="2"/>
        <v>#DIV/0!</v>
      </c>
      <c r="N55" s="395" t="e">
        <f t="shared" ca="1" si="3"/>
        <v>#DIV/0!</v>
      </c>
      <c r="O55" s="211"/>
      <c r="P55" s="266" t="s">
        <v>341</v>
      </c>
      <c r="Q55" s="266" t="s">
        <v>342</v>
      </c>
      <c r="V55" s="403">
        <f t="shared" ca="1" si="4"/>
        <v>0</v>
      </c>
      <c r="W55" s="403">
        <f t="shared" ca="1" si="5"/>
        <v>0</v>
      </c>
    </row>
    <row r="56" spans="3:23">
      <c r="C56" s="268" t="str">
        <f>Costs!G31</f>
        <v>Initial general costs</v>
      </c>
      <c r="D56" s="400" t="s">
        <v>57</v>
      </c>
      <c r="E56" s="395">
        <f t="shared" si="0"/>
        <v>0</v>
      </c>
      <c r="F56" s="399">
        <f>Costs!G32</f>
        <v>0</v>
      </c>
      <c r="G56" s="397" t="e">
        <f t="shared" ca="1" si="1"/>
        <v>#DIV/0!</v>
      </c>
      <c r="H56" s="209">
        <v>0.2</v>
      </c>
      <c r="I56" s="265">
        <f t="shared" si="6"/>
        <v>0</v>
      </c>
      <c r="J56" s="392"/>
      <c r="K56" s="392"/>
      <c r="L56" s="384" t="s">
        <v>332</v>
      </c>
      <c r="M56" s="395" t="e">
        <f t="shared" si="2"/>
        <v>#DIV/0!</v>
      </c>
      <c r="N56" s="395" t="e">
        <f t="shared" si="3"/>
        <v>#DIV/0!</v>
      </c>
      <c r="O56" s="211"/>
      <c r="P56" s="266" t="s">
        <v>341</v>
      </c>
      <c r="Q56" s="266" t="s">
        <v>342</v>
      </c>
      <c r="V56" s="403">
        <f t="shared" si="4"/>
        <v>0</v>
      </c>
      <c r="W56" s="403">
        <f t="shared" si="5"/>
        <v>0</v>
      </c>
    </row>
    <row r="57" spans="3:23">
      <c r="C57" s="268" t="str">
        <f>Costs!H31</f>
        <v>Monthly costs during treatment</v>
      </c>
      <c r="D57" s="400" t="s">
        <v>58</v>
      </c>
      <c r="E57" s="395">
        <f t="shared" si="0"/>
        <v>0</v>
      </c>
      <c r="F57" s="399">
        <f>Costs!H32</f>
        <v>0</v>
      </c>
      <c r="G57" s="397" t="e">
        <f t="shared" ca="1" si="1"/>
        <v>#DIV/0!</v>
      </c>
      <c r="H57" s="209">
        <v>0.2</v>
      </c>
      <c r="I57" s="265">
        <f t="shared" si="6"/>
        <v>0</v>
      </c>
      <c r="J57" s="392"/>
      <c r="K57" s="392"/>
      <c r="L57" s="384" t="s">
        <v>332</v>
      </c>
      <c r="M57" s="395" t="e">
        <f t="shared" si="2"/>
        <v>#DIV/0!</v>
      </c>
      <c r="N57" s="395" t="e">
        <f t="shared" si="3"/>
        <v>#DIV/0!</v>
      </c>
      <c r="O57" s="211"/>
      <c r="P57" s="266" t="s">
        <v>341</v>
      </c>
      <c r="Q57" s="266" t="s">
        <v>342</v>
      </c>
      <c r="V57" s="403">
        <f t="shared" si="4"/>
        <v>0</v>
      </c>
      <c r="W57" s="403">
        <f t="shared" si="5"/>
        <v>0</v>
      </c>
    </row>
    <row r="58" spans="3:23">
      <c r="C58" s="268" t="str">
        <f>Costs!I31</f>
        <v>Monthly costs after treatment</v>
      </c>
      <c r="D58" s="400" t="s">
        <v>59</v>
      </c>
      <c r="E58" s="395">
        <f t="shared" si="0"/>
        <v>0</v>
      </c>
      <c r="F58" s="399">
        <f>Costs!I32</f>
        <v>0</v>
      </c>
      <c r="G58" s="397" t="e">
        <f t="shared" ca="1" si="1"/>
        <v>#DIV/0!</v>
      </c>
      <c r="H58" s="209">
        <v>0.2</v>
      </c>
      <c r="I58" s="265">
        <f t="shared" si="6"/>
        <v>0</v>
      </c>
      <c r="J58" s="392"/>
      <c r="K58" s="392"/>
      <c r="L58" s="384" t="s">
        <v>332</v>
      </c>
      <c r="M58" s="395" t="e">
        <f t="shared" si="2"/>
        <v>#DIV/0!</v>
      </c>
      <c r="N58" s="395" t="e">
        <f t="shared" si="3"/>
        <v>#DIV/0!</v>
      </c>
      <c r="O58" s="211"/>
      <c r="P58" s="266" t="s">
        <v>341</v>
      </c>
      <c r="Q58" s="266" t="s">
        <v>342</v>
      </c>
      <c r="V58" s="403">
        <f t="shared" si="4"/>
        <v>0</v>
      </c>
      <c r="W58" s="403">
        <f t="shared" si="5"/>
        <v>0</v>
      </c>
    </row>
    <row r="69" spans="2:24" s="3" customFormat="1" ht="13.95" customHeight="1">
      <c r="B69" s="7"/>
      <c r="C69" s="7"/>
      <c r="D69" s="7"/>
      <c r="E69" s="7"/>
      <c r="F69" s="7"/>
      <c r="G69" s="7"/>
      <c r="H69" s="7"/>
      <c r="I69" s="7"/>
      <c r="J69" s="7"/>
      <c r="K69" s="7"/>
      <c r="L69" s="142"/>
      <c r="M69" s="142"/>
      <c r="N69" s="9"/>
      <c r="O69" s="9"/>
      <c r="P69" s="9"/>
      <c r="Q69" s="9"/>
      <c r="R69" s="9"/>
      <c r="S69" s="9"/>
      <c r="T69" s="9"/>
      <c r="U69" s="4"/>
      <c r="V69" s="4"/>
      <c r="W69" s="4"/>
      <c r="X69" s="4"/>
    </row>
    <row r="70" spans="2:24" s="3" customFormat="1">
      <c r="B70" s="65"/>
      <c r="C70" s="65"/>
      <c r="D70" s="65"/>
      <c r="E70" s="65"/>
      <c r="F70" s="65"/>
      <c r="G70" s="65"/>
      <c r="H70" s="65"/>
      <c r="I70" s="65"/>
      <c r="J70" s="65"/>
      <c r="K70" s="65"/>
      <c r="L70" s="65"/>
      <c r="M70" s="65"/>
      <c r="U70" s="4"/>
      <c r="V70" s="4"/>
      <c r="W70" s="4"/>
      <c r="X70" s="4"/>
    </row>
    <row r="71" spans="2:24" s="3" customFormat="1">
      <c r="B71" s="406" t="s">
        <v>77</v>
      </c>
      <c r="C71" s="406"/>
      <c r="D71" s="406"/>
      <c r="E71" s="406"/>
      <c r="F71" s="406"/>
      <c r="G71" s="406"/>
      <c r="H71" s="406"/>
      <c r="I71" s="406"/>
      <c r="J71" s="406"/>
      <c r="K71" s="406"/>
      <c r="L71" s="406"/>
      <c r="M71" s="406"/>
      <c r="U71" s="4"/>
      <c r="V71" s="4"/>
      <c r="W71" s="4"/>
      <c r="X71" s="4"/>
    </row>
    <row r="72" spans="2:24" s="3" customFormat="1">
      <c r="B72" s="406"/>
      <c r="C72" s="406"/>
      <c r="D72" s="406"/>
      <c r="E72" s="406"/>
      <c r="F72" s="406"/>
      <c r="G72" s="406"/>
      <c r="H72" s="406"/>
      <c r="I72" s="406"/>
      <c r="J72" s="406"/>
      <c r="K72" s="406"/>
      <c r="L72" s="406"/>
      <c r="M72" s="406"/>
      <c r="U72" s="4"/>
      <c r="V72" s="4"/>
      <c r="W72" s="4"/>
      <c r="X72" s="4"/>
    </row>
    <row r="73" spans="2:24" s="1" customFormat="1" ht="85.95" customHeight="1">
      <c r="B73" s="405" t="e" vm="1">
        <v>#VALUE!</v>
      </c>
      <c r="C73" s="405"/>
      <c r="D73" s="405"/>
      <c r="E73" s="405"/>
      <c r="F73" s="405"/>
      <c r="G73" s="405"/>
      <c r="H73" s="405"/>
      <c r="I73" s="405"/>
      <c r="J73" s="405"/>
      <c r="K73" s="405"/>
      <c r="L73" s="405"/>
      <c r="M73" s="405"/>
      <c r="U73" s="404"/>
      <c r="V73" s="404"/>
      <c r="W73" s="404"/>
      <c r="X73" s="404"/>
    </row>
  </sheetData>
  <sheetProtection algorithmName="SHA-512" hashValue="jdVxyVB3Ut0YPmrXRgNA81fE98I8dh3t7yy8E88nADgVGu01ciW+nHVdVEGbHKHDW7qvwOvNTz7QK/cbDbaP+A==" saltValue="H9GZRaRPcGWPBjB9a5FR3A==" spinCount="100000" sheet="1"/>
  <mergeCells count="2">
    <mergeCell ref="B71:M72"/>
    <mergeCell ref="B73:M73"/>
  </mergeCells>
  <phoneticPr fontId="2" type="noConversion"/>
  <dataValidations count="3">
    <dataValidation type="list" allowBlank="1" showInputMessage="1" showErrorMessage="1" sqref="L5:L58" xr:uid="{F2BAF586-5945-4089-A5EF-5C6076AD30C7}">
      <formula1>"Beta, Gamma,Normal"</formula1>
    </dataValidation>
    <dataValidation type="list" allowBlank="1" showInputMessage="1" showErrorMessage="1" sqref="P5:P58" xr:uid="{B9042FCA-4806-4863-8F3D-04F5390D0550}">
      <formula1>"point estimate,lower limit,upper limit"</formula1>
    </dataValidation>
    <dataValidation type="list" allowBlank="1" showInputMessage="1" showErrorMessage="1" sqref="Q5:Q58" xr:uid="{C93D2978-1137-40BC-9B78-1D518B444130}">
      <formula1>"yes,no"</formula1>
    </dataValidation>
  </dataValidations>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BC7E0-3ABF-4847-9CBD-924E5A2BC87D}">
  <sheetPr codeName="Planilha18">
    <tabColor rgb="FF0EB1BA"/>
  </sheetPr>
  <dimension ref="A1:S141"/>
  <sheetViews>
    <sheetView showGridLines="0" showRowColHeaders="0" zoomScaleNormal="100" workbookViewId="0">
      <selection activeCell="B88" sqref="B88"/>
    </sheetView>
  </sheetViews>
  <sheetFormatPr defaultColWidth="8.77734375" defaultRowHeight="14.4"/>
  <cols>
    <col min="1" max="1" width="8.77734375" style="118"/>
    <col min="2" max="2" width="41.77734375" style="1" customWidth="1"/>
    <col min="3" max="5" width="19.44140625" style="1" customWidth="1"/>
    <col min="6" max="7" width="8.77734375" style="1"/>
    <col min="8" max="8" width="58.77734375" style="1" customWidth="1"/>
    <col min="9" max="11" width="19.44140625" style="1" customWidth="1"/>
    <col min="12" max="16384" width="8.77734375" style="1"/>
  </cols>
  <sheetData>
    <row r="1" spans="1:12" s="33" customFormat="1" ht="33.6">
      <c r="A1" s="116"/>
      <c r="B1" s="34" t="str">
        <f>Introduction!$B$1</f>
        <v>Budget impact analysis of Intrauterine device levonorgestrel for treatment of Leiomioma presenting with heavy bleeding</v>
      </c>
      <c r="C1" s="34"/>
      <c r="D1" s="35"/>
      <c r="E1" s="36"/>
      <c r="F1" s="36"/>
      <c r="G1" s="36"/>
      <c r="H1" s="36"/>
      <c r="I1" s="36"/>
      <c r="J1" s="36"/>
      <c r="K1" s="36"/>
      <c r="L1" s="36"/>
    </row>
    <row r="2" spans="1:12" s="33" customFormat="1" ht="18">
      <c r="A2" s="116"/>
      <c r="B2" s="37"/>
      <c r="C2" s="37"/>
      <c r="D2" s="38"/>
      <c r="E2" s="39"/>
      <c r="F2" s="39"/>
      <c r="G2" s="39"/>
      <c r="H2" s="39"/>
      <c r="I2" s="39"/>
      <c r="J2" s="39"/>
      <c r="K2" s="39"/>
      <c r="L2" s="39"/>
    </row>
    <row r="3" spans="1:12" s="45" customFormat="1" ht="2.25" customHeight="1">
      <c r="A3" s="117"/>
      <c r="D3" s="46"/>
    </row>
    <row r="4" spans="1:12">
      <c r="B4" s="52" t="s">
        <v>331</v>
      </c>
      <c r="C4" s="52" t="s">
        <v>321</v>
      </c>
      <c r="D4" s="52" t="s">
        <v>322</v>
      </c>
      <c r="E4" s="8"/>
      <c r="F4" s="8"/>
      <c r="G4" s="118"/>
      <c r="H4" s="52" t="s">
        <v>330</v>
      </c>
      <c r="I4" s="52" t="s">
        <v>321</v>
      </c>
      <c r="J4" s="52" t="s">
        <v>322</v>
      </c>
      <c r="K4" s="8"/>
      <c r="L4" s="8"/>
    </row>
    <row r="5" spans="1:12">
      <c r="A5" s="118">
        <v>1</v>
      </c>
      <c r="B5" s="54">
        <f>Parameters!C5</f>
        <v>0</v>
      </c>
      <c r="C5" s="317">
        <v>0</v>
      </c>
      <c r="D5" s="317">
        <v>0</v>
      </c>
      <c r="E5" s="8"/>
      <c r="F5" s="8"/>
      <c r="G5" s="118">
        <v>1</v>
      </c>
      <c r="H5" s="54">
        <f>Parameters!C5</f>
        <v>0</v>
      </c>
      <c r="I5" s="317">
        <v>0</v>
      </c>
      <c r="J5" s="317">
        <v>0</v>
      </c>
      <c r="K5" s="8"/>
      <c r="L5" s="8"/>
    </row>
    <row r="6" spans="1:12">
      <c r="A6" s="118">
        <v>2</v>
      </c>
      <c r="B6" s="54" t="str">
        <f>Parameters!C6</f>
        <v>Leiomyoma prevalence</v>
      </c>
      <c r="C6" s="317">
        <v>0</v>
      </c>
      <c r="D6" s="317">
        <v>0</v>
      </c>
      <c r="E6" s="8"/>
      <c r="F6" s="8"/>
      <c r="G6" s="118">
        <v>2</v>
      </c>
      <c r="H6" s="54" t="str">
        <f>Parameters!C6</f>
        <v>Leiomyoma prevalence</v>
      </c>
      <c r="I6" s="317">
        <v>0</v>
      </c>
      <c r="J6" s="317">
        <v>0</v>
      </c>
      <c r="K6" s="8"/>
      <c r="L6" s="8"/>
    </row>
    <row r="7" spans="1:12">
      <c r="A7" s="118">
        <v>3</v>
      </c>
      <c r="B7" s="54" t="str">
        <f>Parameters!C7</f>
        <v>FIGO 3-6 (subserosal or intramural)</v>
      </c>
      <c r="C7" s="317">
        <v>0</v>
      </c>
      <c r="D7" s="317">
        <v>0</v>
      </c>
      <c r="E7" s="8"/>
      <c r="F7" s="8"/>
      <c r="G7" s="118">
        <v>3</v>
      </c>
      <c r="H7" s="54" t="str">
        <f>Parameters!C7</f>
        <v>FIGO 3-6 (subserosal or intramural)</v>
      </c>
      <c r="I7" s="317">
        <v>0</v>
      </c>
      <c r="J7" s="317">
        <v>0</v>
      </c>
      <c r="K7" s="8"/>
      <c r="L7" s="8"/>
    </row>
    <row r="8" spans="1:12">
      <c r="A8" s="118">
        <v>4</v>
      </c>
      <c r="B8" s="54" t="str">
        <f>Parameters!C8</f>
        <v>Adequate urterine volume/position</v>
      </c>
      <c r="C8" s="317">
        <v>0</v>
      </c>
      <c r="D8" s="317">
        <v>0</v>
      </c>
      <c r="E8" s="8"/>
      <c r="F8" s="8"/>
      <c r="G8" s="118">
        <v>4</v>
      </c>
      <c r="H8" s="54" t="str">
        <f>Parameters!C8</f>
        <v>Adequate urterine volume/position</v>
      </c>
      <c r="I8" s="317">
        <v>0</v>
      </c>
      <c r="J8" s="317">
        <v>0</v>
      </c>
      <c r="K8" s="8"/>
      <c r="L8" s="8"/>
    </row>
    <row r="9" spans="1:12">
      <c r="A9" s="118">
        <v>5</v>
      </c>
      <c r="B9" s="54" t="str">
        <f>Parameters!C9</f>
        <v>Percentage with heavy uterine bleeding</v>
      </c>
      <c r="C9" s="317">
        <v>0</v>
      </c>
      <c r="D9" s="317">
        <v>0</v>
      </c>
      <c r="E9" s="8"/>
      <c r="F9" s="8"/>
      <c r="G9" s="118">
        <v>5</v>
      </c>
      <c r="H9" s="54" t="str">
        <f>Parameters!C9</f>
        <v>Percentage with heavy uterine bleeding</v>
      </c>
      <c r="I9" s="317">
        <v>0</v>
      </c>
      <c r="J9" s="317">
        <v>0</v>
      </c>
      <c r="K9" s="8"/>
      <c r="L9" s="8"/>
    </row>
    <row r="10" spans="1:12">
      <c r="A10" s="118">
        <v>6</v>
      </c>
      <c r="B10" s="54" t="str">
        <f>Parameters!C10</f>
        <v>Percentage using COCs</v>
      </c>
      <c r="C10" s="317">
        <v>0</v>
      </c>
      <c r="D10" s="317">
        <v>0</v>
      </c>
      <c r="E10" s="8"/>
      <c r="F10" s="8"/>
      <c r="G10" s="118">
        <v>6</v>
      </c>
      <c r="H10" s="54" t="str">
        <f>Parameters!C10</f>
        <v>Percentage using COCs</v>
      </c>
      <c r="I10" s="317">
        <v>0</v>
      </c>
      <c r="J10" s="317">
        <v>0</v>
      </c>
      <c r="K10" s="8"/>
      <c r="L10" s="8"/>
    </row>
    <row r="11" spans="1:12">
      <c r="A11" s="118">
        <v>7</v>
      </c>
      <c r="B11" s="54">
        <f>Parameters!C11</f>
        <v>0</v>
      </c>
      <c r="C11" s="317">
        <v>0</v>
      </c>
      <c r="D11" s="317">
        <v>0</v>
      </c>
      <c r="E11" s="8"/>
      <c r="F11" s="8"/>
      <c r="G11" s="118">
        <v>7</v>
      </c>
      <c r="H11" s="54">
        <f>Parameters!C11</f>
        <v>0</v>
      </c>
      <c r="I11" s="317">
        <v>0</v>
      </c>
      <c r="J11" s="317">
        <v>0</v>
      </c>
      <c r="K11" s="8"/>
      <c r="L11" s="8"/>
    </row>
    <row r="12" spans="1:12">
      <c r="A12" s="118">
        <v>8</v>
      </c>
      <c r="B12" s="54">
        <f>Parameters!C12</f>
        <v>0</v>
      </c>
      <c r="C12" s="317">
        <v>0</v>
      </c>
      <c r="D12" s="317">
        <v>0</v>
      </c>
      <c r="E12" s="8"/>
      <c r="F12" s="8"/>
      <c r="G12" s="118">
        <v>8</v>
      </c>
      <c r="H12" s="54">
        <f>Parameters!C12</f>
        <v>0</v>
      </c>
      <c r="I12" s="317">
        <v>0</v>
      </c>
      <c r="J12" s="317">
        <v>0</v>
      </c>
      <c r="K12" s="8"/>
      <c r="L12" s="8"/>
    </row>
    <row r="13" spans="1:12">
      <c r="A13" s="118">
        <v>9</v>
      </c>
      <c r="B13" s="54">
        <f>Parameters!C13</f>
        <v>0</v>
      </c>
      <c r="C13" s="317">
        <v>0</v>
      </c>
      <c r="D13" s="317">
        <v>0</v>
      </c>
      <c r="E13" s="8"/>
      <c r="F13" s="8"/>
      <c r="G13" s="118">
        <v>9</v>
      </c>
      <c r="H13" s="54">
        <f>Parameters!C13</f>
        <v>0</v>
      </c>
      <c r="I13" s="317">
        <v>0</v>
      </c>
      <c r="J13" s="317">
        <v>0</v>
      </c>
      <c r="K13" s="8"/>
      <c r="L13" s="8"/>
    </row>
    <row r="14" spans="1:12">
      <c r="A14" s="118">
        <v>10</v>
      </c>
      <c r="B14" s="54" t="str">
        <f>Parameters!C14</f>
        <v>Initial costs Intrauterine device levonorgestrel</v>
      </c>
      <c r="C14" s="317">
        <v>0</v>
      </c>
      <c r="D14" s="317">
        <v>0</v>
      </c>
      <c r="E14" s="8"/>
      <c r="F14" s="8"/>
      <c r="G14" s="118">
        <v>10</v>
      </c>
      <c r="H14" s="54" t="str">
        <f>Parameters!C14</f>
        <v>Initial costs Intrauterine device levonorgestrel</v>
      </c>
      <c r="I14" s="317">
        <v>0</v>
      </c>
      <c r="J14" s="317">
        <v>0</v>
      </c>
      <c r="K14" s="8"/>
      <c r="L14" s="8"/>
    </row>
    <row r="15" spans="1:12">
      <c r="A15" s="118">
        <v>11</v>
      </c>
      <c r="B15" s="54" t="str">
        <f>Parameters!C15</f>
        <v xml:space="preserve">Initial costs </v>
      </c>
      <c r="C15" s="317">
        <v>0</v>
      </c>
      <c r="D15" s="317">
        <v>0</v>
      </c>
      <c r="E15" s="8"/>
      <c r="F15" s="8"/>
      <c r="G15" s="118">
        <v>11</v>
      </c>
      <c r="H15" s="54" t="str">
        <f>Parameters!C15</f>
        <v xml:space="preserve">Initial costs </v>
      </c>
      <c r="I15" s="317">
        <v>0</v>
      </c>
      <c r="J15" s="317">
        <v>0</v>
      </c>
      <c r="K15" s="8"/>
      <c r="L15" s="8"/>
    </row>
    <row r="16" spans="1:12">
      <c r="A16" s="118">
        <v>12</v>
      </c>
      <c r="B16" s="54" t="str">
        <f>Parameters!C16</f>
        <v xml:space="preserve">Initial costs </v>
      </c>
      <c r="C16" s="317">
        <v>0</v>
      </c>
      <c r="D16" s="317">
        <v>0</v>
      </c>
      <c r="E16" s="8"/>
      <c r="F16" s="8"/>
      <c r="G16" s="118">
        <v>12</v>
      </c>
      <c r="H16" s="54" t="str">
        <f>Parameters!C16</f>
        <v xml:space="preserve">Initial costs </v>
      </c>
      <c r="I16" s="317">
        <v>0</v>
      </c>
      <c r="J16" s="317">
        <v>0</v>
      </c>
      <c r="K16" s="8"/>
      <c r="L16" s="8"/>
    </row>
    <row r="17" spans="1:12">
      <c r="A17" s="118">
        <v>13</v>
      </c>
      <c r="B17" s="54" t="str">
        <f>Parameters!C17</f>
        <v xml:space="preserve">Initial costs </v>
      </c>
      <c r="C17" s="317">
        <v>0</v>
      </c>
      <c r="D17" s="317">
        <v>0</v>
      </c>
      <c r="E17" s="8"/>
      <c r="F17" s="8"/>
      <c r="G17" s="118">
        <v>13</v>
      </c>
      <c r="H17" s="54" t="str">
        <f>Parameters!C17</f>
        <v xml:space="preserve">Initial costs </v>
      </c>
      <c r="I17" s="317">
        <v>0</v>
      </c>
      <c r="J17" s="317">
        <v>0</v>
      </c>
      <c r="K17" s="8"/>
      <c r="L17" s="8"/>
    </row>
    <row r="18" spans="1:12">
      <c r="A18" s="118">
        <v>14</v>
      </c>
      <c r="B18" s="54" t="str">
        <f>Parameters!C18</f>
        <v>Initial costs Oral contraceptive</v>
      </c>
      <c r="C18" s="317">
        <v>0</v>
      </c>
      <c r="D18" s="317">
        <v>0</v>
      </c>
      <c r="E18" s="8"/>
      <c r="F18" s="8"/>
      <c r="G18" s="118">
        <v>14</v>
      </c>
      <c r="H18" s="54" t="str">
        <f>Parameters!C18</f>
        <v>Initial costs Oral contraceptive</v>
      </c>
      <c r="I18" s="317">
        <v>0</v>
      </c>
      <c r="J18" s="317">
        <v>0</v>
      </c>
      <c r="K18" s="8"/>
      <c r="L18" s="8"/>
    </row>
    <row r="19" spans="1:12">
      <c r="A19" s="118">
        <v>15</v>
      </c>
      <c r="B19" s="54" t="str">
        <f>Parameters!C19</f>
        <v xml:space="preserve">Initial costs </v>
      </c>
      <c r="C19" s="317">
        <v>0</v>
      </c>
      <c r="D19" s="317">
        <v>0</v>
      </c>
      <c r="E19" s="8"/>
      <c r="F19" s="8"/>
      <c r="G19" s="118">
        <v>15</v>
      </c>
      <c r="H19" s="54" t="str">
        <f>Parameters!C19</f>
        <v xml:space="preserve">Initial costs </v>
      </c>
      <c r="I19" s="317">
        <v>0</v>
      </c>
      <c r="J19" s="317">
        <v>0</v>
      </c>
      <c r="K19" s="8"/>
      <c r="L19" s="8"/>
    </row>
    <row r="20" spans="1:12">
      <c r="A20" s="118">
        <v>16</v>
      </c>
      <c r="B20" s="54" t="str">
        <f>Parameters!C20</f>
        <v xml:space="preserve">Initial costs </v>
      </c>
      <c r="C20" s="317">
        <v>0</v>
      </c>
      <c r="D20" s="317">
        <v>0</v>
      </c>
      <c r="E20" s="8"/>
      <c r="F20" s="8"/>
      <c r="G20" s="118">
        <v>16</v>
      </c>
      <c r="H20" s="54" t="str">
        <f>Parameters!C20</f>
        <v xml:space="preserve">Initial costs </v>
      </c>
      <c r="I20" s="317">
        <v>0</v>
      </c>
      <c r="J20" s="317">
        <v>0</v>
      </c>
      <c r="K20" s="8"/>
      <c r="L20" s="8"/>
    </row>
    <row r="21" spans="1:12">
      <c r="A21" s="118">
        <v>17</v>
      </c>
      <c r="B21" s="54" t="str">
        <f>Parameters!C21</f>
        <v xml:space="preserve">Initial costs </v>
      </c>
      <c r="C21" s="317">
        <v>0</v>
      </c>
      <c r="D21" s="317">
        <v>0</v>
      </c>
      <c r="E21" s="8"/>
      <c r="F21" s="8"/>
      <c r="G21" s="118">
        <v>17</v>
      </c>
      <c r="H21" s="54" t="str">
        <f>Parameters!C21</f>
        <v xml:space="preserve">Initial costs </v>
      </c>
      <c r="I21" s="317">
        <v>0</v>
      </c>
      <c r="J21" s="317">
        <v>0</v>
      </c>
      <c r="K21" s="8"/>
      <c r="L21" s="8"/>
    </row>
    <row r="22" spans="1:12">
      <c r="A22" s="118">
        <v>18</v>
      </c>
      <c r="B22" s="54" t="str">
        <f>Parameters!C22</f>
        <v xml:space="preserve">Initial costs </v>
      </c>
      <c r="C22" s="317">
        <v>0</v>
      </c>
      <c r="D22" s="317">
        <v>0</v>
      </c>
      <c r="E22" s="8"/>
      <c r="F22" s="8"/>
      <c r="G22" s="118">
        <v>18</v>
      </c>
      <c r="H22" s="54" t="str">
        <f>Parameters!C22</f>
        <v xml:space="preserve">Initial costs </v>
      </c>
      <c r="I22" s="317">
        <v>0</v>
      </c>
      <c r="J22" s="317">
        <v>0</v>
      </c>
      <c r="K22" s="8"/>
      <c r="L22" s="8"/>
    </row>
    <row r="23" spans="1:12">
      <c r="A23" s="118">
        <v>19</v>
      </c>
      <c r="B23" s="54" t="str">
        <f>Parameters!C23</f>
        <v xml:space="preserve">Initial costs </v>
      </c>
      <c r="C23" s="317">
        <v>0</v>
      </c>
      <c r="D23" s="317">
        <v>0</v>
      </c>
      <c r="E23" s="8"/>
      <c r="F23" s="8"/>
      <c r="G23" s="118">
        <v>19</v>
      </c>
      <c r="H23" s="54" t="str">
        <f>Parameters!C23</f>
        <v xml:space="preserve">Initial costs </v>
      </c>
      <c r="I23" s="317">
        <v>0</v>
      </c>
      <c r="J23" s="317">
        <v>0</v>
      </c>
      <c r="K23" s="8"/>
      <c r="L23" s="8"/>
    </row>
    <row r="24" spans="1:12">
      <c r="A24" s="118">
        <v>20</v>
      </c>
      <c r="B24" s="54" t="str">
        <f>Parameters!C24</f>
        <v xml:space="preserve">Initial costs </v>
      </c>
      <c r="C24" s="317">
        <v>0</v>
      </c>
      <c r="D24" s="317">
        <v>0</v>
      </c>
      <c r="E24" s="8"/>
      <c r="F24" s="8"/>
      <c r="G24" s="118">
        <v>20</v>
      </c>
      <c r="H24" s="54" t="str">
        <f>Parameters!C24</f>
        <v xml:space="preserve">Initial costs </v>
      </c>
      <c r="I24" s="317">
        <v>0</v>
      </c>
      <c r="J24" s="317">
        <v>0</v>
      </c>
      <c r="K24" s="8"/>
      <c r="L24" s="8"/>
    </row>
    <row r="25" spans="1:12">
      <c r="A25" s="118">
        <v>21</v>
      </c>
      <c r="B25" s="54" t="str">
        <f>Parameters!C25</f>
        <v xml:space="preserve">Initial costs </v>
      </c>
      <c r="C25" s="317">
        <v>0</v>
      </c>
      <c r="D25" s="317">
        <v>0</v>
      </c>
      <c r="E25" s="8"/>
      <c r="F25" s="8"/>
      <c r="G25" s="118">
        <v>21</v>
      </c>
      <c r="H25" s="54" t="str">
        <f>Parameters!C25</f>
        <v xml:space="preserve">Initial costs </v>
      </c>
      <c r="I25" s="317">
        <v>0</v>
      </c>
      <c r="J25" s="317">
        <v>0</v>
      </c>
      <c r="K25" s="8"/>
      <c r="L25" s="8"/>
    </row>
    <row r="26" spans="1:12">
      <c r="A26" s="118">
        <v>22</v>
      </c>
      <c r="B26" s="54" t="str">
        <f>Parameters!C26</f>
        <v xml:space="preserve">Initial costs </v>
      </c>
      <c r="C26" s="317">
        <v>0</v>
      </c>
      <c r="D26" s="317">
        <v>0</v>
      </c>
      <c r="E26" s="8"/>
      <c r="F26" s="8"/>
      <c r="G26" s="118">
        <v>22</v>
      </c>
      <c r="H26" s="54" t="str">
        <f>Parameters!C26</f>
        <v xml:space="preserve">Initial costs </v>
      </c>
      <c r="I26" s="317">
        <v>0</v>
      </c>
      <c r="J26" s="317">
        <v>0</v>
      </c>
      <c r="K26" s="8"/>
      <c r="L26" s="8"/>
    </row>
    <row r="27" spans="1:12">
      <c r="A27" s="118">
        <v>23</v>
      </c>
      <c r="B27" s="54" t="str">
        <f>Parameters!C27</f>
        <v xml:space="preserve">Initial costs </v>
      </c>
      <c r="C27" s="317">
        <v>0</v>
      </c>
      <c r="D27" s="317">
        <v>0</v>
      </c>
      <c r="E27" s="8"/>
      <c r="F27" s="8"/>
      <c r="G27" s="118">
        <v>23</v>
      </c>
      <c r="H27" s="54" t="str">
        <f>Parameters!C27</f>
        <v xml:space="preserve">Initial costs </v>
      </c>
      <c r="I27" s="317">
        <v>0</v>
      </c>
      <c r="J27" s="317">
        <v>0</v>
      </c>
      <c r="K27" s="8"/>
      <c r="L27" s="8"/>
    </row>
    <row r="28" spans="1:12">
      <c r="A28" s="118">
        <v>24</v>
      </c>
      <c r="B28" s="54" t="str">
        <f>Parameters!C28</f>
        <v>Treatment costs Intrauterine device levonorgestrel</v>
      </c>
      <c r="C28" s="317">
        <v>0</v>
      </c>
      <c r="D28" s="317">
        <v>0</v>
      </c>
      <c r="E28" s="8"/>
      <c r="F28" s="8"/>
      <c r="G28" s="118">
        <v>24</v>
      </c>
      <c r="H28" s="54" t="str">
        <f>Parameters!C28</f>
        <v>Treatment costs Intrauterine device levonorgestrel</v>
      </c>
      <c r="I28" s="317">
        <v>0</v>
      </c>
      <c r="J28" s="317">
        <v>0</v>
      </c>
      <c r="K28" s="8"/>
      <c r="L28" s="8"/>
    </row>
    <row r="29" spans="1:12">
      <c r="A29" s="118">
        <v>25</v>
      </c>
      <c r="B29" s="54" t="str">
        <f>Parameters!C29</f>
        <v xml:space="preserve">Treatment costs </v>
      </c>
      <c r="C29" s="317">
        <v>0</v>
      </c>
      <c r="D29" s="317">
        <v>0</v>
      </c>
      <c r="E29" s="8"/>
      <c r="F29" s="8"/>
      <c r="G29" s="118">
        <v>25</v>
      </c>
      <c r="H29" s="54" t="str">
        <f>Parameters!C29</f>
        <v xml:space="preserve">Treatment costs </v>
      </c>
      <c r="I29" s="317">
        <v>0</v>
      </c>
      <c r="J29" s="317">
        <v>0</v>
      </c>
      <c r="K29" s="8"/>
      <c r="L29" s="8"/>
    </row>
    <row r="30" spans="1:12">
      <c r="A30" s="118">
        <v>26</v>
      </c>
      <c r="B30" s="54" t="str">
        <f>Parameters!C30</f>
        <v xml:space="preserve">Treatment costs </v>
      </c>
      <c r="C30" s="317">
        <v>0</v>
      </c>
      <c r="D30" s="317">
        <v>0</v>
      </c>
      <c r="E30" s="8"/>
      <c r="F30" s="8"/>
      <c r="G30" s="118">
        <v>26</v>
      </c>
      <c r="H30" s="54" t="str">
        <f>Parameters!C30</f>
        <v xml:space="preserve">Treatment costs </v>
      </c>
      <c r="I30" s="317">
        <v>0</v>
      </c>
      <c r="J30" s="317">
        <v>0</v>
      </c>
      <c r="K30" s="8"/>
      <c r="L30" s="8"/>
    </row>
    <row r="31" spans="1:12">
      <c r="A31" s="118">
        <v>27</v>
      </c>
      <c r="B31" s="54" t="str">
        <f>Parameters!C31</f>
        <v xml:space="preserve">Treatment costs </v>
      </c>
      <c r="C31" s="317">
        <v>0</v>
      </c>
      <c r="D31" s="317">
        <v>0</v>
      </c>
      <c r="E31" s="8"/>
      <c r="F31" s="8"/>
      <c r="G31" s="118">
        <v>27</v>
      </c>
      <c r="H31" s="54" t="str">
        <f>Parameters!C31</f>
        <v xml:space="preserve">Treatment costs </v>
      </c>
      <c r="I31" s="317">
        <v>0</v>
      </c>
      <c r="J31" s="317">
        <v>0</v>
      </c>
      <c r="K31" s="8"/>
      <c r="L31" s="8"/>
    </row>
    <row r="32" spans="1:12">
      <c r="A32" s="118">
        <v>28</v>
      </c>
      <c r="B32" s="54" t="str">
        <f>Parameters!C32</f>
        <v>Treatment costs Oral contraceptive</v>
      </c>
      <c r="C32" s="317">
        <v>0</v>
      </c>
      <c r="D32" s="317">
        <v>0</v>
      </c>
      <c r="E32" s="8"/>
      <c r="F32" s="8"/>
      <c r="G32" s="118">
        <v>28</v>
      </c>
      <c r="H32" s="54" t="str">
        <f>Parameters!C32</f>
        <v>Treatment costs Oral contraceptive</v>
      </c>
      <c r="I32" s="317">
        <v>0</v>
      </c>
      <c r="J32" s="317">
        <v>0</v>
      </c>
      <c r="K32" s="8"/>
      <c r="L32" s="8"/>
    </row>
    <row r="33" spans="1:12">
      <c r="A33" s="118">
        <v>29</v>
      </c>
      <c r="B33" s="54" t="str">
        <f>Parameters!C33</f>
        <v xml:space="preserve">Treatment costs </v>
      </c>
      <c r="C33" s="317">
        <v>0</v>
      </c>
      <c r="D33" s="317">
        <v>0</v>
      </c>
      <c r="E33" s="8"/>
      <c r="F33" s="8"/>
      <c r="G33" s="118">
        <v>29</v>
      </c>
      <c r="H33" s="54" t="str">
        <f>Parameters!C33</f>
        <v xml:space="preserve">Treatment costs </v>
      </c>
      <c r="I33" s="317">
        <v>0</v>
      </c>
      <c r="J33" s="317">
        <v>0</v>
      </c>
      <c r="K33" s="8"/>
      <c r="L33" s="8"/>
    </row>
    <row r="34" spans="1:12">
      <c r="A34" s="118">
        <v>30</v>
      </c>
      <c r="B34" s="54" t="str">
        <f>Parameters!C34</f>
        <v xml:space="preserve">Treatment costs </v>
      </c>
      <c r="C34" s="317">
        <v>0</v>
      </c>
      <c r="D34" s="317">
        <v>0</v>
      </c>
      <c r="E34" s="8"/>
      <c r="F34" s="8"/>
      <c r="G34" s="118">
        <v>30</v>
      </c>
      <c r="H34" s="54" t="str">
        <f>Parameters!C34</f>
        <v xml:space="preserve">Treatment costs </v>
      </c>
      <c r="I34" s="317">
        <v>0</v>
      </c>
      <c r="J34" s="317">
        <v>0</v>
      </c>
      <c r="K34" s="8"/>
      <c r="L34" s="8"/>
    </row>
    <row r="35" spans="1:12">
      <c r="A35" s="118">
        <v>31</v>
      </c>
      <c r="B35" s="54" t="str">
        <f>Parameters!C35</f>
        <v xml:space="preserve">Treatment costs </v>
      </c>
      <c r="C35" s="317">
        <v>0</v>
      </c>
      <c r="D35" s="317">
        <v>0</v>
      </c>
      <c r="E35" s="8"/>
      <c r="F35" s="8"/>
      <c r="G35" s="118">
        <v>31</v>
      </c>
      <c r="H35" s="54" t="str">
        <f>Parameters!C35</f>
        <v xml:space="preserve">Treatment costs </v>
      </c>
      <c r="I35" s="317">
        <v>0</v>
      </c>
      <c r="J35" s="317">
        <v>0</v>
      </c>
      <c r="K35" s="8"/>
      <c r="L35" s="8"/>
    </row>
    <row r="36" spans="1:12">
      <c r="A36" s="118">
        <v>32</v>
      </c>
      <c r="B36" s="54" t="str">
        <f>Parameters!C36</f>
        <v xml:space="preserve">Treatment costs </v>
      </c>
      <c r="C36" s="317">
        <v>0</v>
      </c>
      <c r="D36" s="317">
        <v>0</v>
      </c>
      <c r="E36" s="8"/>
      <c r="F36" s="8"/>
      <c r="G36" s="118">
        <v>32</v>
      </c>
      <c r="H36" s="54" t="str">
        <f>Parameters!C36</f>
        <v xml:space="preserve">Treatment costs </v>
      </c>
      <c r="I36" s="317">
        <v>0</v>
      </c>
      <c r="J36" s="317">
        <v>0</v>
      </c>
      <c r="K36" s="8"/>
      <c r="L36" s="8"/>
    </row>
    <row r="37" spans="1:12">
      <c r="A37" s="118">
        <v>33</v>
      </c>
      <c r="B37" s="54" t="str">
        <f>Parameters!C37</f>
        <v xml:space="preserve">Treatment costs </v>
      </c>
      <c r="C37" s="317">
        <v>0</v>
      </c>
      <c r="D37" s="317">
        <v>0</v>
      </c>
      <c r="E37" s="8"/>
      <c r="F37" s="8"/>
      <c r="G37" s="118">
        <v>33</v>
      </c>
      <c r="H37" s="54" t="str">
        <f>Parameters!C37</f>
        <v xml:space="preserve">Treatment costs </v>
      </c>
      <c r="I37" s="317">
        <v>0</v>
      </c>
      <c r="J37" s="317">
        <v>0</v>
      </c>
      <c r="K37" s="8"/>
      <c r="L37" s="8"/>
    </row>
    <row r="38" spans="1:12">
      <c r="A38" s="118">
        <v>34</v>
      </c>
      <c r="B38" s="54" t="str">
        <f>Parameters!C38</f>
        <v xml:space="preserve">Treatment costs </v>
      </c>
      <c r="C38" s="317">
        <v>0</v>
      </c>
      <c r="D38" s="317">
        <v>0</v>
      </c>
      <c r="E38" s="8"/>
      <c r="F38" s="8"/>
      <c r="G38" s="118">
        <v>34</v>
      </c>
      <c r="H38" s="54" t="str">
        <f>Parameters!C38</f>
        <v xml:space="preserve">Treatment costs </v>
      </c>
      <c r="I38" s="317">
        <v>0</v>
      </c>
      <c r="J38" s="317">
        <v>0</v>
      </c>
      <c r="K38" s="8"/>
      <c r="L38" s="8"/>
    </row>
    <row r="39" spans="1:12">
      <c r="A39" s="118">
        <v>35</v>
      </c>
      <c r="B39" s="54" t="str">
        <f>Parameters!C39</f>
        <v xml:space="preserve">Treatment costs </v>
      </c>
      <c r="C39" s="317">
        <v>0</v>
      </c>
      <c r="D39" s="317">
        <v>0</v>
      </c>
      <c r="E39" s="8"/>
      <c r="F39" s="8"/>
      <c r="G39" s="118">
        <v>35</v>
      </c>
      <c r="H39" s="54" t="str">
        <f>Parameters!C39</f>
        <v xml:space="preserve">Treatment costs </v>
      </c>
      <c r="I39" s="317">
        <v>0</v>
      </c>
      <c r="J39" s="317">
        <v>0</v>
      </c>
      <c r="K39" s="8"/>
      <c r="L39" s="8"/>
    </row>
    <row r="40" spans="1:12">
      <c r="A40" s="118">
        <v>36</v>
      </c>
      <c r="B40" s="54" t="str">
        <f>Parameters!C40</f>
        <v xml:space="preserve">Treatment costs </v>
      </c>
      <c r="C40" s="317">
        <v>0</v>
      </c>
      <c r="D40" s="317">
        <v>0</v>
      </c>
      <c r="E40" s="8"/>
      <c r="F40" s="8"/>
      <c r="G40" s="118">
        <v>36</v>
      </c>
      <c r="H40" s="54" t="str">
        <f>Parameters!C40</f>
        <v xml:space="preserve">Treatment costs </v>
      </c>
      <c r="I40" s="317">
        <v>0</v>
      </c>
      <c r="J40" s="317">
        <v>0</v>
      </c>
      <c r="K40" s="8"/>
      <c r="L40" s="8"/>
    </row>
    <row r="41" spans="1:12">
      <c r="A41" s="118">
        <v>37</v>
      </c>
      <c r="B41" s="54" t="str">
        <f>Parameters!C41</f>
        <v xml:space="preserve">Treatment costs </v>
      </c>
      <c r="C41" s="317">
        <v>0</v>
      </c>
      <c r="D41" s="317">
        <v>0</v>
      </c>
      <c r="E41" s="8"/>
      <c r="F41" s="8"/>
      <c r="G41" s="118">
        <v>37</v>
      </c>
      <c r="H41" s="54" t="str">
        <f>Parameters!C41</f>
        <v xml:space="preserve">Treatment costs </v>
      </c>
      <c r="I41" s="317">
        <v>0</v>
      </c>
      <c r="J41" s="317">
        <v>0</v>
      </c>
      <c r="K41" s="8"/>
      <c r="L41" s="8"/>
    </row>
    <row r="42" spans="1:12">
      <c r="A42" s="118">
        <v>38</v>
      </c>
      <c r="B42" s="54" t="str">
        <f>Parameters!C42</f>
        <v>Additional costs Intrauterine device levonorgestrel</v>
      </c>
      <c r="C42" s="317">
        <v>0</v>
      </c>
      <c r="D42" s="317">
        <v>0</v>
      </c>
      <c r="E42" s="8"/>
      <c r="F42" s="8"/>
      <c r="G42" s="118">
        <v>38</v>
      </c>
      <c r="H42" s="54" t="str">
        <f>Parameters!C42</f>
        <v>Additional costs Intrauterine device levonorgestrel</v>
      </c>
      <c r="I42" s="317">
        <v>0</v>
      </c>
      <c r="J42" s="317">
        <v>0</v>
      </c>
      <c r="K42" s="8"/>
      <c r="L42" s="8"/>
    </row>
    <row r="43" spans="1:12">
      <c r="A43" s="118">
        <v>39</v>
      </c>
      <c r="B43" s="54" t="str">
        <f>Parameters!C43</f>
        <v xml:space="preserve">Additional costs </v>
      </c>
      <c r="C43" s="317">
        <v>0</v>
      </c>
      <c r="D43" s="317">
        <v>0</v>
      </c>
      <c r="E43" s="8"/>
      <c r="F43" s="8"/>
      <c r="G43" s="118">
        <v>39</v>
      </c>
      <c r="H43" s="54" t="str">
        <f>Parameters!C43</f>
        <v xml:space="preserve">Additional costs </v>
      </c>
      <c r="I43" s="317">
        <v>0</v>
      </c>
      <c r="J43" s="317">
        <v>0</v>
      </c>
      <c r="K43" s="8"/>
      <c r="L43" s="8"/>
    </row>
    <row r="44" spans="1:12">
      <c r="A44" s="118">
        <v>40</v>
      </c>
      <c r="B44" s="54" t="str">
        <f>Parameters!C44</f>
        <v xml:space="preserve">Additional costs </v>
      </c>
      <c r="C44" s="317">
        <v>0</v>
      </c>
      <c r="D44" s="317">
        <v>0</v>
      </c>
      <c r="E44" s="8"/>
      <c r="F44" s="8"/>
      <c r="G44" s="118">
        <v>40</v>
      </c>
      <c r="H44" s="54" t="str">
        <f>Parameters!C44</f>
        <v xml:space="preserve">Additional costs </v>
      </c>
      <c r="I44" s="317">
        <v>0</v>
      </c>
      <c r="J44" s="317">
        <v>0</v>
      </c>
      <c r="K44" s="8"/>
      <c r="L44" s="8"/>
    </row>
    <row r="45" spans="1:12">
      <c r="A45" s="118">
        <v>41</v>
      </c>
      <c r="B45" s="54" t="str">
        <f>Parameters!C45</f>
        <v xml:space="preserve">Additional costs </v>
      </c>
      <c r="C45" s="317">
        <v>0</v>
      </c>
      <c r="D45" s="317">
        <v>0</v>
      </c>
      <c r="E45" s="8"/>
      <c r="F45" s="8"/>
      <c r="G45" s="118">
        <v>41</v>
      </c>
      <c r="H45" s="54" t="str">
        <f>Parameters!C45</f>
        <v xml:space="preserve">Additional costs </v>
      </c>
      <c r="I45" s="317">
        <v>0</v>
      </c>
      <c r="J45" s="317">
        <v>0</v>
      </c>
      <c r="K45" s="8"/>
      <c r="L45" s="8"/>
    </row>
    <row r="46" spans="1:12">
      <c r="A46" s="118">
        <v>42</v>
      </c>
      <c r="B46" s="54" t="str">
        <f>Parameters!C46</f>
        <v>Additional costs Oral contraceptive</v>
      </c>
      <c r="C46" s="317">
        <v>0</v>
      </c>
      <c r="D46" s="317">
        <v>0</v>
      </c>
      <c r="E46" s="8"/>
      <c r="F46" s="8"/>
      <c r="G46" s="118">
        <v>42</v>
      </c>
      <c r="H46" s="54" t="str">
        <f>Parameters!C46</f>
        <v>Additional costs Oral contraceptive</v>
      </c>
      <c r="I46" s="317">
        <v>0</v>
      </c>
      <c r="J46" s="317">
        <v>0</v>
      </c>
      <c r="K46" s="8"/>
      <c r="L46" s="8"/>
    </row>
    <row r="47" spans="1:12">
      <c r="A47" s="118">
        <v>43</v>
      </c>
      <c r="B47" s="54" t="str">
        <f>Parameters!C47</f>
        <v xml:space="preserve">Additional costs </v>
      </c>
      <c r="C47" s="317">
        <v>0</v>
      </c>
      <c r="D47" s="317">
        <v>0</v>
      </c>
      <c r="E47" s="8"/>
      <c r="F47" s="8"/>
      <c r="G47" s="118">
        <v>43</v>
      </c>
      <c r="H47" s="54" t="str">
        <f>Parameters!C47</f>
        <v xml:space="preserve">Additional costs </v>
      </c>
      <c r="I47" s="317">
        <v>0</v>
      </c>
      <c r="J47" s="317">
        <v>0</v>
      </c>
      <c r="K47" s="8"/>
      <c r="L47" s="8"/>
    </row>
    <row r="48" spans="1:12">
      <c r="A48" s="118">
        <v>44</v>
      </c>
      <c r="B48" s="54" t="str">
        <f>Parameters!C48</f>
        <v xml:space="preserve">Additional costs </v>
      </c>
      <c r="C48" s="317">
        <v>0</v>
      </c>
      <c r="D48" s="317">
        <v>0</v>
      </c>
      <c r="E48" s="8"/>
      <c r="F48" s="8"/>
      <c r="G48" s="118">
        <v>44</v>
      </c>
      <c r="H48" s="54" t="str">
        <f>Parameters!C48</f>
        <v xml:space="preserve">Additional costs </v>
      </c>
      <c r="I48" s="317">
        <v>0</v>
      </c>
      <c r="J48" s="317">
        <v>0</v>
      </c>
      <c r="K48" s="8"/>
      <c r="L48" s="8"/>
    </row>
    <row r="49" spans="1:12">
      <c r="A49" s="118">
        <v>45</v>
      </c>
      <c r="B49" s="54" t="str">
        <f>Parameters!C49</f>
        <v xml:space="preserve">Additional costs </v>
      </c>
      <c r="C49" s="317">
        <v>0</v>
      </c>
      <c r="D49" s="317">
        <v>0</v>
      </c>
      <c r="E49" s="8"/>
      <c r="F49" s="8"/>
      <c r="G49" s="118">
        <v>45</v>
      </c>
      <c r="H49" s="54" t="str">
        <f>Parameters!C49</f>
        <v xml:space="preserve">Additional costs </v>
      </c>
      <c r="I49" s="317">
        <v>0</v>
      </c>
      <c r="J49" s="317">
        <v>0</v>
      </c>
      <c r="K49" s="8"/>
      <c r="L49" s="8"/>
    </row>
    <row r="50" spans="1:12">
      <c r="A50" s="118">
        <v>46</v>
      </c>
      <c r="B50" s="54" t="str">
        <f>Parameters!C50</f>
        <v xml:space="preserve">Additional costs </v>
      </c>
      <c r="C50" s="317">
        <v>0</v>
      </c>
      <c r="D50" s="317">
        <v>0</v>
      </c>
      <c r="E50" s="8"/>
      <c r="F50" s="8"/>
      <c r="G50" s="118">
        <v>46</v>
      </c>
      <c r="H50" s="54" t="str">
        <f>Parameters!C50</f>
        <v xml:space="preserve">Additional costs </v>
      </c>
      <c r="I50" s="317">
        <v>0</v>
      </c>
      <c r="J50" s="317">
        <v>0</v>
      </c>
      <c r="K50" s="8"/>
      <c r="L50" s="8"/>
    </row>
    <row r="51" spans="1:12">
      <c r="A51" s="118">
        <v>47</v>
      </c>
      <c r="B51" s="54" t="str">
        <f>Parameters!C51</f>
        <v xml:space="preserve">Additional costs </v>
      </c>
      <c r="C51" s="317">
        <v>0</v>
      </c>
      <c r="D51" s="317">
        <v>0</v>
      </c>
      <c r="E51" s="8"/>
      <c r="F51" s="8"/>
      <c r="G51" s="118">
        <v>47</v>
      </c>
      <c r="H51" s="54" t="str">
        <f>Parameters!C51</f>
        <v xml:space="preserve">Additional costs </v>
      </c>
      <c r="I51" s="317">
        <v>0</v>
      </c>
      <c r="J51" s="317">
        <v>0</v>
      </c>
      <c r="K51" s="8"/>
      <c r="L51" s="8"/>
    </row>
    <row r="52" spans="1:12">
      <c r="A52" s="118">
        <v>48</v>
      </c>
      <c r="B52" s="54" t="str">
        <f>Parameters!C52</f>
        <v xml:space="preserve">Additional costs </v>
      </c>
      <c r="C52" s="317">
        <v>0</v>
      </c>
      <c r="D52" s="317">
        <v>0</v>
      </c>
      <c r="E52" s="8"/>
      <c r="F52" s="8"/>
      <c r="G52" s="118">
        <v>48</v>
      </c>
      <c r="H52" s="54" t="str">
        <f>Parameters!C52</f>
        <v xml:space="preserve">Additional costs </v>
      </c>
      <c r="I52" s="317">
        <v>0</v>
      </c>
      <c r="J52" s="317">
        <v>0</v>
      </c>
      <c r="K52" s="8"/>
      <c r="L52" s="8"/>
    </row>
    <row r="53" spans="1:12">
      <c r="A53" s="118">
        <v>49</v>
      </c>
      <c r="B53" s="54" t="str">
        <f>Parameters!C53</f>
        <v xml:space="preserve">Additional costs </v>
      </c>
      <c r="C53" s="317">
        <v>0</v>
      </c>
      <c r="D53" s="317">
        <v>0</v>
      </c>
      <c r="E53" s="8"/>
      <c r="F53" s="8"/>
      <c r="G53" s="118">
        <v>49</v>
      </c>
      <c r="H53" s="54" t="str">
        <f>Parameters!C53</f>
        <v xml:space="preserve">Additional costs </v>
      </c>
      <c r="I53" s="317">
        <v>0</v>
      </c>
      <c r="J53" s="317">
        <v>0</v>
      </c>
      <c r="K53" s="8"/>
      <c r="L53" s="8"/>
    </row>
    <row r="54" spans="1:12">
      <c r="A54" s="118">
        <v>50</v>
      </c>
      <c r="B54" s="54" t="str">
        <f>Parameters!C54</f>
        <v xml:space="preserve">Additional costs </v>
      </c>
      <c r="C54" s="317">
        <v>0</v>
      </c>
      <c r="D54" s="317">
        <v>0</v>
      </c>
      <c r="E54" s="8"/>
      <c r="F54" s="8"/>
      <c r="G54" s="118">
        <v>50</v>
      </c>
      <c r="H54" s="54" t="str">
        <f>Parameters!C54</f>
        <v xml:space="preserve">Additional costs </v>
      </c>
      <c r="I54" s="317">
        <v>0</v>
      </c>
      <c r="J54" s="317">
        <v>0</v>
      </c>
      <c r="K54" s="8"/>
      <c r="L54" s="8"/>
    </row>
    <row r="55" spans="1:12">
      <c r="A55" s="118">
        <v>51</v>
      </c>
      <c r="B55" s="54" t="str">
        <f>Parameters!C55</f>
        <v xml:space="preserve">Additional costs </v>
      </c>
      <c r="C55" s="317">
        <v>0</v>
      </c>
      <c r="D55" s="317">
        <v>0</v>
      </c>
      <c r="E55" s="8"/>
      <c r="F55" s="8"/>
      <c r="G55" s="118">
        <v>51</v>
      </c>
      <c r="H55" s="54" t="str">
        <f>Parameters!C55</f>
        <v xml:space="preserve">Additional costs </v>
      </c>
      <c r="I55" s="317">
        <v>0</v>
      </c>
      <c r="J55" s="317">
        <v>0</v>
      </c>
      <c r="K55" s="8"/>
      <c r="L55" s="8"/>
    </row>
    <row r="56" spans="1:12">
      <c r="A56" s="118">
        <v>52</v>
      </c>
      <c r="B56" s="54" t="str">
        <f>Parameters!C56</f>
        <v>Initial general costs</v>
      </c>
      <c r="C56" s="317">
        <v>0</v>
      </c>
      <c r="D56" s="317">
        <v>0</v>
      </c>
      <c r="E56" s="8"/>
      <c r="F56" s="8"/>
      <c r="G56" s="118">
        <v>52</v>
      </c>
      <c r="H56" s="54" t="str">
        <f>Parameters!C56</f>
        <v>Initial general costs</v>
      </c>
      <c r="I56" s="317">
        <v>0</v>
      </c>
      <c r="J56" s="317">
        <v>0</v>
      </c>
      <c r="K56" s="8"/>
      <c r="L56" s="8"/>
    </row>
    <row r="57" spans="1:12">
      <c r="A57" s="118">
        <v>53</v>
      </c>
      <c r="B57" s="54" t="str">
        <f>Parameters!C57</f>
        <v>Monthly costs during treatment</v>
      </c>
      <c r="C57" s="317">
        <v>0</v>
      </c>
      <c r="D57" s="317">
        <v>0</v>
      </c>
      <c r="E57" s="8"/>
      <c r="F57" s="8"/>
      <c r="G57" s="118">
        <v>53</v>
      </c>
      <c r="H57" s="54" t="str">
        <f>Parameters!C57</f>
        <v>Monthly costs during treatment</v>
      </c>
      <c r="I57" s="317">
        <v>0</v>
      </c>
      <c r="J57" s="317">
        <v>0</v>
      </c>
      <c r="K57" s="8"/>
      <c r="L57" s="8"/>
    </row>
    <row r="58" spans="1:12">
      <c r="A58" s="118">
        <v>54</v>
      </c>
      <c r="B58" s="54" t="str">
        <f>Parameters!C58</f>
        <v>Monthly costs after treatment</v>
      </c>
      <c r="C58" s="317">
        <v>0</v>
      </c>
      <c r="D58" s="317">
        <v>0</v>
      </c>
      <c r="E58" s="8"/>
      <c r="F58" s="8"/>
      <c r="G58" s="118">
        <v>54</v>
      </c>
      <c r="H58" s="54" t="str">
        <f>Parameters!C58</f>
        <v>Monthly costs after treatment</v>
      </c>
      <c r="I58" s="317">
        <v>0</v>
      </c>
      <c r="J58" s="317">
        <v>0</v>
      </c>
      <c r="K58" s="8"/>
      <c r="L58" s="8"/>
    </row>
    <row r="59" spans="1:12">
      <c r="A59" s="118">
        <v>55</v>
      </c>
      <c r="B59" s="54"/>
      <c r="C59" s="54"/>
      <c r="D59" s="54"/>
      <c r="E59" s="8"/>
      <c r="F59" s="8"/>
      <c r="G59" s="118">
        <v>55</v>
      </c>
      <c r="H59" s="54"/>
      <c r="I59" s="54"/>
      <c r="J59" s="54"/>
      <c r="K59" s="8"/>
      <c r="L59" s="8"/>
    </row>
    <row r="60" spans="1:12">
      <c r="A60" s="118">
        <v>56</v>
      </c>
      <c r="B60" s="54"/>
      <c r="C60" s="54"/>
      <c r="D60" s="54"/>
      <c r="E60" s="8"/>
      <c r="F60" s="8"/>
      <c r="G60" s="118">
        <v>56</v>
      </c>
      <c r="H60" s="54"/>
      <c r="I60" s="54"/>
      <c r="J60" s="54"/>
      <c r="K60" s="8"/>
      <c r="L60" s="8"/>
    </row>
    <row r="61" spans="1:12">
      <c r="A61" s="118">
        <v>57</v>
      </c>
      <c r="B61" s="54"/>
      <c r="C61" s="54"/>
      <c r="D61" s="54"/>
      <c r="E61" s="8"/>
      <c r="F61" s="8"/>
      <c r="G61" s="118">
        <v>57</v>
      </c>
      <c r="H61" s="54"/>
      <c r="I61" s="54"/>
      <c r="J61" s="54"/>
      <c r="K61" s="8"/>
      <c r="L61" s="8"/>
    </row>
    <row r="62" spans="1:12">
      <c r="A62" s="118">
        <v>58</v>
      </c>
      <c r="B62" s="54"/>
      <c r="C62" s="54"/>
      <c r="D62" s="54"/>
      <c r="E62" s="8"/>
      <c r="F62" s="8"/>
      <c r="G62" s="118">
        <v>58</v>
      </c>
      <c r="H62" s="54"/>
      <c r="I62" s="54"/>
      <c r="J62" s="54"/>
      <c r="K62" s="8"/>
      <c r="L62" s="8"/>
    </row>
    <row r="63" spans="1:12">
      <c r="A63" s="118">
        <v>59</v>
      </c>
      <c r="B63" s="54"/>
      <c r="C63" s="54"/>
      <c r="D63" s="54"/>
      <c r="E63" s="8"/>
      <c r="F63" s="8"/>
      <c r="G63" s="118">
        <v>59</v>
      </c>
      <c r="H63" s="54"/>
      <c r="I63" s="54"/>
      <c r="J63" s="54"/>
      <c r="K63" s="8"/>
      <c r="L63" s="8"/>
    </row>
    <row r="64" spans="1:12">
      <c r="A64" s="118">
        <v>60</v>
      </c>
      <c r="B64" s="54"/>
      <c r="C64" s="54"/>
      <c r="D64" s="54"/>
      <c r="E64" s="8"/>
      <c r="F64" s="8"/>
      <c r="G64" s="118">
        <v>60</v>
      </c>
      <c r="H64" s="54"/>
      <c r="I64" s="54"/>
      <c r="J64" s="54"/>
      <c r="K64" s="8"/>
      <c r="L64" s="8"/>
    </row>
    <row r="65" spans="1:12">
      <c r="B65" s="8"/>
      <c r="C65" s="12"/>
      <c r="D65" s="12"/>
      <c r="E65" s="8"/>
      <c r="F65" s="8"/>
      <c r="G65" s="118"/>
      <c r="H65" s="8"/>
      <c r="I65" s="12"/>
      <c r="J65" s="12"/>
      <c r="K65" s="8"/>
      <c r="L65" s="8"/>
    </row>
    <row r="66" spans="1:12">
      <c r="B66" s="8"/>
      <c r="C66" s="12"/>
      <c r="D66" s="12"/>
      <c r="E66" s="8"/>
      <c r="F66" s="8"/>
      <c r="G66" s="118"/>
      <c r="H66" s="8"/>
      <c r="I66" s="12"/>
      <c r="J66" s="12"/>
      <c r="K66" s="8"/>
      <c r="L66" s="8"/>
    </row>
    <row r="67" spans="1:12">
      <c r="B67" s="8"/>
      <c r="C67" s="12"/>
      <c r="D67" s="12"/>
      <c r="E67" s="8"/>
      <c r="F67" s="8"/>
      <c r="G67" s="118"/>
      <c r="H67" s="8"/>
      <c r="I67" s="12"/>
      <c r="J67" s="12"/>
      <c r="K67" s="8"/>
      <c r="L67" s="8"/>
    </row>
    <row r="68" spans="1:12">
      <c r="B68" s="8"/>
      <c r="C68" s="8"/>
      <c r="D68" s="8"/>
      <c r="E68" s="8"/>
      <c r="F68" s="8"/>
      <c r="G68" s="118"/>
      <c r="H68" s="8"/>
      <c r="I68" s="8"/>
      <c r="J68" s="8"/>
      <c r="K68" s="8"/>
      <c r="L68" s="8"/>
    </row>
    <row r="69" spans="1:12">
      <c r="B69" s="52" t="s">
        <v>331</v>
      </c>
      <c r="C69" s="52" t="s">
        <v>321</v>
      </c>
      <c r="D69" s="52" t="s">
        <v>322</v>
      </c>
      <c r="E69" s="52" t="s">
        <v>320</v>
      </c>
      <c r="F69" s="8"/>
      <c r="G69" s="118"/>
      <c r="H69" s="52" t="s">
        <v>330</v>
      </c>
      <c r="I69" s="52" t="s">
        <v>321</v>
      </c>
      <c r="J69" s="52" t="s">
        <v>322</v>
      </c>
      <c r="K69" s="52" t="s">
        <v>320</v>
      </c>
      <c r="L69" s="8"/>
    </row>
    <row r="70" spans="1:12">
      <c r="A70" s="118">
        <v>1</v>
      </c>
      <c r="B70" s="54">
        <v>0</v>
      </c>
      <c r="C70" s="317">
        <v>0</v>
      </c>
      <c r="D70" s="317">
        <v>0</v>
      </c>
      <c r="E70" s="317">
        <f t="shared" ref="E70:E101" si="0">IF(C70="","",ABS(D70-C70))</f>
        <v>0</v>
      </c>
      <c r="F70" s="8"/>
      <c r="G70" s="118">
        <v>1</v>
      </c>
      <c r="H70" s="54">
        <v>0</v>
      </c>
      <c r="I70" s="317">
        <v>0</v>
      </c>
      <c r="J70" s="317">
        <v>0</v>
      </c>
      <c r="K70" s="317">
        <f t="shared" ref="K70:K101" si="1">IF(I70="","",ABS(J70-I70))</f>
        <v>0</v>
      </c>
      <c r="L70" s="8"/>
    </row>
    <row r="71" spans="1:12">
      <c r="A71" s="118">
        <v>2</v>
      </c>
      <c r="B71" s="54">
        <v>0</v>
      </c>
      <c r="C71" s="317">
        <v>0</v>
      </c>
      <c r="D71" s="317">
        <v>0</v>
      </c>
      <c r="E71" s="317">
        <f t="shared" si="0"/>
        <v>0</v>
      </c>
      <c r="F71" s="8"/>
      <c r="G71" s="118">
        <v>2</v>
      </c>
      <c r="H71" s="54">
        <v>0</v>
      </c>
      <c r="I71" s="317">
        <v>0</v>
      </c>
      <c r="J71" s="317">
        <v>0</v>
      </c>
      <c r="K71" s="317">
        <f t="shared" si="1"/>
        <v>0</v>
      </c>
      <c r="L71" s="8"/>
    </row>
    <row r="72" spans="1:12">
      <c r="A72" s="118">
        <v>3</v>
      </c>
      <c r="B72" s="54">
        <v>0</v>
      </c>
      <c r="C72" s="317">
        <v>0</v>
      </c>
      <c r="D72" s="317">
        <v>0</v>
      </c>
      <c r="E72" s="317">
        <f t="shared" si="0"/>
        <v>0</v>
      </c>
      <c r="F72" s="8"/>
      <c r="G72" s="118">
        <v>3</v>
      </c>
      <c r="H72" s="54">
        <v>0</v>
      </c>
      <c r="I72" s="317">
        <v>0</v>
      </c>
      <c r="J72" s="317">
        <v>0</v>
      </c>
      <c r="K72" s="317">
        <f t="shared" si="1"/>
        <v>0</v>
      </c>
      <c r="L72" s="8"/>
    </row>
    <row r="73" spans="1:12">
      <c r="A73" s="118">
        <v>4</v>
      </c>
      <c r="B73" s="54">
        <v>0</v>
      </c>
      <c r="C73" s="317">
        <v>0</v>
      </c>
      <c r="D73" s="317">
        <v>0</v>
      </c>
      <c r="E73" s="317">
        <f t="shared" si="0"/>
        <v>0</v>
      </c>
      <c r="F73" s="8"/>
      <c r="G73" s="118">
        <v>4</v>
      </c>
      <c r="H73" s="54">
        <v>0</v>
      </c>
      <c r="I73" s="317">
        <v>0</v>
      </c>
      <c r="J73" s="317">
        <v>0</v>
      </c>
      <c r="K73" s="317">
        <f t="shared" si="1"/>
        <v>0</v>
      </c>
      <c r="L73" s="8"/>
    </row>
    <row r="74" spans="1:12">
      <c r="A74" s="118">
        <v>5</v>
      </c>
      <c r="B74" s="54">
        <v>0</v>
      </c>
      <c r="C74" s="317">
        <v>0</v>
      </c>
      <c r="D74" s="317">
        <v>0</v>
      </c>
      <c r="E74" s="317">
        <f t="shared" si="0"/>
        <v>0</v>
      </c>
      <c r="F74" s="8"/>
      <c r="G74" s="118">
        <v>5</v>
      </c>
      <c r="H74" s="54">
        <v>0</v>
      </c>
      <c r="I74" s="317">
        <v>0</v>
      </c>
      <c r="J74" s="317">
        <v>0</v>
      </c>
      <c r="K74" s="317">
        <f t="shared" si="1"/>
        <v>0</v>
      </c>
      <c r="L74" s="8"/>
    </row>
    <row r="75" spans="1:12">
      <c r="A75" s="118">
        <v>6</v>
      </c>
      <c r="B75" s="54">
        <v>0</v>
      </c>
      <c r="C75" s="317">
        <v>0</v>
      </c>
      <c r="D75" s="317">
        <v>0</v>
      </c>
      <c r="E75" s="317">
        <f t="shared" si="0"/>
        <v>0</v>
      </c>
      <c r="F75" s="8"/>
      <c r="G75" s="118">
        <v>6</v>
      </c>
      <c r="H75" s="54">
        <v>0</v>
      </c>
      <c r="I75" s="317">
        <v>0</v>
      </c>
      <c r="J75" s="317">
        <v>0</v>
      </c>
      <c r="K75" s="317">
        <f t="shared" si="1"/>
        <v>0</v>
      </c>
      <c r="L75" s="8"/>
    </row>
    <row r="76" spans="1:12">
      <c r="A76" s="118">
        <v>7</v>
      </c>
      <c r="B76" s="54">
        <v>0</v>
      </c>
      <c r="C76" s="317">
        <v>0</v>
      </c>
      <c r="D76" s="317">
        <v>0</v>
      </c>
      <c r="E76" s="317">
        <f t="shared" si="0"/>
        <v>0</v>
      </c>
      <c r="F76" s="8"/>
      <c r="G76" s="118">
        <v>7</v>
      </c>
      <c r="H76" s="54">
        <v>0</v>
      </c>
      <c r="I76" s="317">
        <v>0</v>
      </c>
      <c r="J76" s="317">
        <v>0</v>
      </c>
      <c r="K76" s="317">
        <f t="shared" si="1"/>
        <v>0</v>
      </c>
      <c r="L76" s="8"/>
    </row>
    <row r="77" spans="1:12">
      <c r="A77" s="118">
        <v>8</v>
      </c>
      <c r="B77" s="54">
        <v>0</v>
      </c>
      <c r="C77" s="317">
        <v>0</v>
      </c>
      <c r="D77" s="317">
        <v>0</v>
      </c>
      <c r="E77" s="317">
        <f t="shared" si="0"/>
        <v>0</v>
      </c>
      <c r="F77" s="8"/>
      <c r="G77" s="118">
        <v>8</v>
      </c>
      <c r="H77" s="54">
        <v>0</v>
      </c>
      <c r="I77" s="317">
        <v>0</v>
      </c>
      <c r="J77" s="317">
        <v>0</v>
      </c>
      <c r="K77" s="317">
        <f t="shared" si="1"/>
        <v>0</v>
      </c>
      <c r="L77" s="8"/>
    </row>
    <row r="78" spans="1:12">
      <c r="A78" s="118">
        <v>9</v>
      </c>
      <c r="B78" s="54">
        <v>0</v>
      </c>
      <c r="C78" s="317">
        <v>0</v>
      </c>
      <c r="D78" s="317">
        <v>0</v>
      </c>
      <c r="E78" s="317">
        <f t="shared" si="0"/>
        <v>0</v>
      </c>
      <c r="F78" s="8"/>
      <c r="G78" s="118">
        <v>9</v>
      </c>
      <c r="H78" s="54">
        <v>0</v>
      </c>
      <c r="I78" s="317">
        <v>0</v>
      </c>
      <c r="J78" s="317">
        <v>0</v>
      </c>
      <c r="K78" s="317">
        <f t="shared" si="1"/>
        <v>0</v>
      </c>
      <c r="L78" s="8"/>
    </row>
    <row r="79" spans="1:12">
      <c r="A79" s="118">
        <v>10</v>
      </c>
      <c r="B79" s="54" t="s">
        <v>343</v>
      </c>
      <c r="C79" s="317">
        <v>0</v>
      </c>
      <c r="D79" s="317">
        <v>0</v>
      </c>
      <c r="E79" s="317">
        <f t="shared" si="0"/>
        <v>0</v>
      </c>
      <c r="F79" s="8"/>
      <c r="G79" s="118">
        <v>10</v>
      </c>
      <c r="H79" s="54" t="s">
        <v>343</v>
      </c>
      <c r="I79" s="317">
        <v>0</v>
      </c>
      <c r="J79" s="317">
        <v>0</v>
      </c>
      <c r="K79" s="317">
        <f t="shared" si="1"/>
        <v>0</v>
      </c>
      <c r="L79" s="8"/>
    </row>
    <row r="80" spans="1:12">
      <c r="A80" s="118">
        <v>11</v>
      </c>
      <c r="B80" s="54" t="s">
        <v>343</v>
      </c>
      <c r="C80" s="317">
        <v>0</v>
      </c>
      <c r="D80" s="317">
        <v>0</v>
      </c>
      <c r="E80" s="317">
        <f t="shared" si="0"/>
        <v>0</v>
      </c>
      <c r="F80" s="8"/>
      <c r="G80" s="118">
        <v>11</v>
      </c>
      <c r="H80" s="54" t="s">
        <v>343</v>
      </c>
      <c r="I80" s="317">
        <v>0</v>
      </c>
      <c r="J80" s="317">
        <v>0</v>
      </c>
      <c r="K80" s="317">
        <f t="shared" si="1"/>
        <v>0</v>
      </c>
      <c r="L80" s="8"/>
    </row>
    <row r="81" spans="1:12">
      <c r="A81" s="118">
        <v>12</v>
      </c>
      <c r="B81" s="54" t="s">
        <v>343</v>
      </c>
      <c r="C81" s="317">
        <v>0</v>
      </c>
      <c r="D81" s="317">
        <v>0</v>
      </c>
      <c r="E81" s="317">
        <f t="shared" si="0"/>
        <v>0</v>
      </c>
      <c r="F81" s="8"/>
      <c r="G81" s="118">
        <v>12</v>
      </c>
      <c r="H81" s="54" t="s">
        <v>343</v>
      </c>
      <c r="I81" s="317">
        <v>0</v>
      </c>
      <c r="J81" s="317">
        <v>0</v>
      </c>
      <c r="K81" s="317">
        <f t="shared" si="1"/>
        <v>0</v>
      </c>
      <c r="L81" s="8"/>
    </row>
    <row r="82" spans="1:12">
      <c r="A82" s="118">
        <v>13</v>
      </c>
      <c r="B82" s="54" t="s">
        <v>343</v>
      </c>
      <c r="C82" s="317">
        <v>0</v>
      </c>
      <c r="D82" s="317">
        <v>0</v>
      </c>
      <c r="E82" s="317">
        <f t="shared" si="0"/>
        <v>0</v>
      </c>
      <c r="F82" s="8"/>
      <c r="G82" s="118">
        <v>13</v>
      </c>
      <c r="H82" s="54" t="s">
        <v>343</v>
      </c>
      <c r="I82" s="317">
        <v>0</v>
      </c>
      <c r="J82" s="317">
        <v>0</v>
      </c>
      <c r="K82" s="317">
        <f t="shared" si="1"/>
        <v>0</v>
      </c>
      <c r="L82" s="8"/>
    </row>
    <row r="83" spans="1:12">
      <c r="A83" s="118">
        <v>14</v>
      </c>
      <c r="B83" s="54" t="s">
        <v>343</v>
      </c>
      <c r="C83" s="317">
        <v>0</v>
      </c>
      <c r="D83" s="317">
        <v>0</v>
      </c>
      <c r="E83" s="317">
        <f t="shared" si="0"/>
        <v>0</v>
      </c>
      <c r="F83" s="8"/>
      <c r="G83" s="118">
        <v>14</v>
      </c>
      <c r="H83" s="54" t="s">
        <v>343</v>
      </c>
      <c r="I83" s="317">
        <v>0</v>
      </c>
      <c r="J83" s="317">
        <v>0</v>
      </c>
      <c r="K83" s="317">
        <f t="shared" si="1"/>
        <v>0</v>
      </c>
      <c r="L83" s="8"/>
    </row>
    <row r="84" spans="1:12">
      <c r="A84" s="118">
        <v>15</v>
      </c>
      <c r="B84" s="54" t="s">
        <v>343</v>
      </c>
      <c r="C84" s="317">
        <v>0</v>
      </c>
      <c r="D84" s="317">
        <v>0</v>
      </c>
      <c r="E84" s="317">
        <f t="shared" si="0"/>
        <v>0</v>
      </c>
      <c r="F84" s="8"/>
      <c r="G84" s="118">
        <v>15</v>
      </c>
      <c r="H84" s="54" t="s">
        <v>343</v>
      </c>
      <c r="I84" s="317">
        <v>0</v>
      </c>
      <c r="J84" s="317">
        <v>0</v>
      </c>
      <c r="K84" s="317">
        <f t="shared" si="1"/>
        <v>0</v>
      </c>
      <c r="L84" s="8"/>
    </row>
    <row r="85" spans="1:12">
      <c r="A85" s="118">
        <v>16</v>
      </c>
      <c r="B85" s="54" t="s">
        <v>343</v>
      </c>
      <c r="C85" s="317">
        <v>0</v>
      </c>
      <c r="D85" s="317">
        <v>0</v>
      </c>
      <c r="E85" s="317">
        <f t="shared" si="0"/>
        <v>0</v>
      </c>
      <c r="F85" s="8"/>
      <c r="G85" s="118">
        <v>16</v>
      </c>
      <c r="H85" s="54" t="s">
        <v>343</v>
      </c>
      <c r="I85" s="317">
        <v>0</v>
      </c>
      <c r="J85" s="317">
        <v>0</v>
      </c>
      <c r="K85" s="317">
        <f t="shared" si="1"/>
        <v>0</v>
      </c>
      <c r="L85" s="8"/>
    </row>
    <row r="86" spans="1:12">
      <c r="A86" s="118">
        <v>17</v>
      </c>
      <c r="B86" s="54" t="s">
        <v>343</v>
      </c>
      <c r="C86" s="317">
        <v>0</v>
      </c>
      <c r="D86" s="317">
        <v>0</v>
      </c>
      <c r="E86" s="317">
        <f t="shared" si="0"/>
        <v>0</v>
      </c>
      <c r="F86" s="8"/>
      <c r="G86" s="118">
        <v>17</v>
      </c>
      <c r="H86" s="54" t="s">
        <v>343</v>
      </c>
      <c r="I86" s="317">
        <v>0</v>
      </c>
      <c r="J86" s="317">
        <v>0</v>
      </c>
      <c r="K86" s="317">
        <f t="shared" si="1"/>
        <v>0</v>
      </c>
      <c r="L86" s="8"/>
    </row>
    <row r="87" spans="1:12">
      <c r="A87" s="118">
        <v>18</v>
      </c>
      <c r="B87" s="54" t="s">
        <v>343</v>
      </c>
      <c r="C87" s="317">
        <v>0</v>
      </c>
      <c r="D87" s="317">
        <v>0</v>
      </c>
      <c r="E87" s="317">
        <f t="shared" si="0"/>
        <v>0</v>
      </c>
      <c r="F87" s="8"/>
      <c r="G87" s="118">
        <v>18</v>
      </c>
      <c r="H87" s="54" t="s">
        <v>343</v>
      </c>
      <c r="I87" s="317">
        <v>0</v>
      </c>
      <c r="J87" s="317">
        <v>0</v>
      </c>
      <c r="K87" s="317">
        <f t="shared" si="1"/>
        <v>0</v>
      </c>
      <c r="L87" s="8"/>
    </row>
    <row r="88" spans="1:12">
      <c r="A88" s="118">
        <v>19</v>
      </c>
      <c r="B88" s="54" t="s">
        <v>343</v>
      </c>
      <c r="C88" s="317">
        <v>0</v>
      </c>
      <c r="D88" s="317">
        <v>0</v>
      </c>
      <c r="E88" s="317">
        <f t="shared" si="0"/>
        <v>0</v>
      </c>
      <c r="F88" s="8"/>
      <c r="G88" s="118">
        <v>19</v>
      </c>
      <c r="H88" s="54" t="s">
        <v>343</v>
      </c>
      <c r="I88" s="317">
        <v>0</v>
      </c>
      <c r="J88" s="317">
        <v>0</v>
      </c>
      <c r="K88" s="317">
        <f t="shared" si="1"/>
        <v>0</v>
      </c>
      <c r="L88" s="8"/>
    </row>
    <row r="89" spans="1:12">
      <c r="A89" s="118">
        <v>20</v>
      </c>
      <c r="B89" s="54" t="s">
        <v>343</v>
      </c>
      <c r="C89" s="317">
        <v>0</v>
      </c>
      <c r="D89" s="317">
        <v>0</v>
      </c>
      <c r="E89" s="317">
        <f t="shared" si="0"/>
        <v>0</v>
      </c>
      <c r="F89" s="8"/>
      <c r="G89" s="118">
        <v>20</v>
      </c>
      <c r="H89" s="54" t="s">
        <v>343</v>
      </c>
      <c r="I89" s="317">
        <v>0</v>
      </c>
      <c r="J89" s="317">
        <v>0</v>
      </c>
      <c r="K89" s="317">
        <f t="shared" si="1"/>
        <v>0</v>
      </c>
      <c r="L89" s="8"/>
    </row>
    <row r="90" spans="1:12">
      <c r="A90" s="118">
        <v>21</v>
      </c>
      <c r="B90" s="54" t="s">
        <v>343</v>
      </c>
      <c r="C90" s="317">
        <v>0</v>
      </c>
      <c r="D90" s="317">
        <v>0</v>
      </c>
      <c r="E90" s="317">
        <f t="shared" si="0"/>
        <v>0</v>
      </c>
      <c r="F90" s="8"/>
      <c r="G90" s="118">
        <v>21</v>
      </c>
      <c r="H90" s="54" t="s">
        <v>343</v>
      </c>
      <c r="I90" s="317">
        <v>0</v>
      </c>
      <c r="J90" s="317">
        <v>0</v>
      </c>
      <c r="K90" s="317">
        <f t="shared" si="1"/>
        <v>0</v>
      </c>
      <c r="L90" s="8"/>
    </row>
    <row r="91" spans="1:12">
      <c r="A91" s="118">
        <v>22</v>
      </c>
      <c r="B91" s="54" t="s">
        <v>343</v>
      </c>
      <c r="C91" s="317">
        <v>0</v>
      </c>
      <c r="D91" s="317">
        <v>0</v>
      </c>
      <c r="E91" s="317">
        <f t="shared" si="0"/>
        <v>0</v>
      </c>
      <c r="F91" s="8"/>
      <c r="G91" s="118">
        <v>22</v>
      </c>
      <c r="H91" s="54" t="s">
        <v>343</v>
      </c>
      <c r="I91" s="317">
        <v>0</v>
      </c>
      <c r="J91" s="317">
        <v>0</v>
      </c>
      <c r="K91" s="317">
        <f t="shared" si="1"/>
        <v>0</v>
      </c>
      <c r="L91" s="8"/>
    </row>
    <row r="92" spans="1:12">
      <c r="A92" s="118">
        <v>23</v>
      </c>
      <c r="B92" s="54" t="s">
        <v>343</v>
      </c>
      <c r="C92" s="317">
        <v>0</v>
      </c>
      <c r="D92" s="317">
        <v>0</v>
      </c>
      <c r="E92" s="317">
        <f t="shared" si="0"/>
        <v>0</v>
      </c>
      <c r="F92" s="8"/>
      <c r="G92" s="118">
        <v>23</v>
      </c>
      <c r="H92" s="54" t="s">
        <v>343</v>
      </c>
      <c r="I92" s="317">
        <v>0</v>
      </c>
      <c r="J92" s="317">
        <v>0</v>
      </c>
      <c r="K92" s="317">
        <f t="shared" si="1"/>
        <v>0</v>
      </c>
      <c r="L92" s="8"/>
    </row>
    <row r="93" spans="1:12">
      <c r="A93" s="118">
        <v>24</v>
      </c>
      <c r="B93" s="54" t="s">
        <v>344</v>
      </c>
      <c r="C93" s="317">
        <v>0</v>
      </c>
      <c r="D93" s="317">
        <v>0</v>
      </c>
      <c r="E93" s="317">
        <f t="shared" si="0"/>
        <v>0</v>
      </c>
      <c r="F93" s="8"/>
      <c r="G93" s="118">
        <v>24</v>
      </c>
      <c r="H93" s="54" t="s">
        <v>344</v>
      </c>
      <c r="I93" s="317">
        <v>0</v>
      </c>
      <c r="J93" s="317">
        <v>0</v>
      </c>
      <c r="K93" s="317">
        <f t="shared" si="1"/>
        <v>0</v>
      </c>
      <c r="L93" s="8"/>
    </row>
    <row r="94" spans="1:12">
      <c r="A94" s="118">
        <v>25</v>
      </c>
      <c r="B94" s="54" t="s">
        <v>344</v>
      </c>
      <c r="C94" s="317">
        <v>0</v>
      </c>
      <c r="D94" s="317">
        <v>0</v>
      </c>
      <c r="E94" s="317">
        <f t="shared" si="0"/>
        <v>0</v>
      </c>
      <c r="F94" s="8"/>
      <c r="G94" s="118">
        <v>25</v>
      </c>
      <c r="H94" s="54" t="s">
        <v>344</v>
      </c>
      <c r="I94" s="317">
        <v>0</v>
      </c>
      <c r="J94" s="317">
        <v>0</v>
      </c>
      <c r="K94" s="317">
        <f t="shared" si="1"/>
        <v>0</v>
      </c>
      <c r="L94" s="8"/>
    </row>
    <row r="95" spans="1:12">
      <c r="A95" s="118">
        <v>26</v>
      </c>
      <c r="B95" s="54" t="s">
        <v>344</v>
      </c>
      <c r="C95" s="317">
        <v>0</v>
      </c>
      <c r="D95" s="317">
        <v>0</v>
      </c>
      <c r="E95" s="317">
        <f t="shared" si="0"/>
        <v>0</v>
      </c>
      <c r="F95" s="8"/>
      <c r="G95" s="118">
        <v>26</v>
      </c>
      <c r="H95" s="54" t="s">
        <v>344</v>
      </c>
      <c r="I95" s="317">
        <v>0</v>
      </c>
      <c r="J95" s="317">
        <v>0</v>
      </c>
      <c r="K95" s="317">
        <f t="shared" si="1"/>
        <v>0</v>
      </c>
      <c r="L95" s="8"/>
    </row>
    <row r="96" spans="1:12">
      <c r="A96" s="118">
        <v>27</v>
      </c>
      <c r="B96" s="54" t="s">
        <v>344</v>
      </c>
      <c r="C96" s="317">
        <v>0</v>
      </c>
      <c r="D96" s="317">
        <v>0</v>
      </c>
      <c r="E96" s="317">
        <f t="shared" si="0"/>
        <v>0</v>
      </c>
      <c r="F96" s="8"/>
      <c r="G96" s="118">
        <v>27</v>
      </c>
      <c r="H96" s="54" t="s">
        <v>344</v>
      </c>
      <c r="I96" s="317">
        <v>0</v>
      </c>
      <c r="J96" s="317">
        <v>0</v>
      </c>
      <c r="K96" s="317">
        <f t="shared" si="1"/>
        <v>0</v>
      </c>
      <c r="L96" s="8"/>
    </row>
    <row r="97" spans="1:12">
      <c r="A97" s="118">
        <v>28</v>
      </c>
      <c r="B97" s="54" t="s">
        <v>344</v>
      </c>
      <c r="C97" s="317">
        <v>0</v>
      </c>
      <c r="D97" s="317">
        <v>0</v>
      </c>
      <c r="E97" s="317">
        <f t="shared" si="0"/>
        <v>0</v>
      </c>
      <c r="F97" s="8"/>
      <c r="G97" s="118">
        <v>28</v>
      </c>
      <c r="H97" s="54" t="s">
        <v>344</v>
      </c>
      <c r="I97" s="317">
        <v>0</v>
      </c>
      <c r="J97" s="317">
        <v>0</v>
      </c>
      <c r="K97" s="317">
        <f t="shared" si="1"/>
        <v>0</v>
      </c>
      <c r="L97" s="8"/>
    </row>
    <row r="98" spans="1:12">
      <c r="A98" s="118">
        <v>29</v>
      </c>
      <c r="B98" s="54" t="s">
        <v>344</v>
      </c>
      <c r="C98" s="317">
        <v>0</v>
      </c>
      <c r="D98" s="317">
        <v>0</v>
      </c>
      <c r="E98" s="317">
        <f t="shared" si="0"/>
        <v>0</v>
      </c>
      <c r="F98" s="8"/>
      <c r="G98" s="118">
        <v>29</v>
      </c>
      <c r="H98" s="54" t="s">
        <v>344</v>
      </c>
      <c r="I98" s="317">
        <v>0</v>
      </c>
      <c r="J98" s="317">
        <v>0</v>
      </c>
      <c r="K98" s="317">
        <f t="shared" si="1"/>
        <v>0</v>
      </c>
      <c r="L98" s="8"/>
    </row>
    <row r="99" spans="1:12">
      <c r="A99" s="118">
        <v>30</v>
      </c>
      <c r="B99" s="54" t="s">
        <v>344</v>
      </c>
      <c r="C99" s="317">
        <v>0</v>
      </c>
      <c r="D99" s="317">
        <v>0</v>
      </c>
      <c r="E99" s="317">
        <f t="shared" si="0"/>
        <v>0</v>
      </c>
      <c r="F99" s="8"/>
      <c r="G99" s="118">
        <v>30</v>
      </c>
      <c r="H99" s="54" t="s">
        <v>344</v>
      </c>
      <c r="I99" s="317">
        <v>0</v>
      </c>
      <c r="J99" s="317">
        <v>0</v>
      </c>
      <c r="K99" s="317">
        <f t="shared" si="1"/>
        <v>0</v>
      </c>
      <c r="L99" s="8"/>
    </row>
    <row r="100" spans="1:12">
      <c r="A100" s="118">
        <v>31</v>
      </c>
      <c r="B100" s="54" t="s">
        <v>344</v>
      </c>
      <c r="C100" s="317">
        <v>0</v>
      </c>
      <c r="D100" s="317">
        <v>0</v>
      </c>
      <c r="E100" s="317">
        <f t="shared" si="0"/>
        <v>0</v>
      </c>
      <c r="F100" s="8"/>
      <c r="G100" s="118">
        <v>31</v>
      </c>
      <c r="H100" s="54" t="s">
        <v>344</v>
      </c>
      <c r="I100" s="317">
        <v>0</v>
      </c>
      <c r="J100" s="317">
        <v>0</v>
      </c>
      <c r="K100" s="317">
        <f t="shared" si="1"/>
        <v>0</v>
      </c>
      <c r="L100" s="8"/>
    </row>
    <row r="101" spans="1:12">
      <c r="A101" s="118">
        <v>32</v>
      </c>
      <c r="B101" s="54" t="s">
        <v>344</v>
      </c>
      <c r="C101" s="317">
        <v>0</v>
      </c>
      <c r="D101" s="317">
        <v>0</v>
      </c>
      <c r="E101" s="317">
        <f t="shared" si="0"/>
        <v>0</v>
      </c>
      <c r="F101" s="8"/>
      <c r="G101" s="118">
        <v>32</v>
      </c>
      <c r="H101" s="54" t="s">
        <v>344</v>
      </c>
      <c r="I101" s="317">
        <v>0</v>
      </c>
      <c r="J101" s="317">
        <v>0</v>
      </c>
      <c r="K101" s="317">
        <f t="shared" si="1"/>
        <v>0</v>
      </c>
      <c r="L101" s="8"/>
    </row>
    <row r="102" spans="1:12">
      <c r="A102" s="118">
        <v>33</v>
      </c>
      <c r="B102" s="54" t="s">
        <v>344</v>
      </c>
      <c r="C102" s="317">
        <v>0</v>
      </c>
      <c r="D102" s="317">
        <v>0</v>
      </c>
      <c r="E102" s="317">
        <f t="shared" ref="E102:E129" si="2">IF(C102="","",ABS(D102-C102))</f>
        <v>0</v>
      </c>
      <c r="F102" s="8"/>
      <c r="G102" s="118">
        <v>33</v>
      </c>
      <c r="H102" s="54" t="s">
        <v>344</v>
      </c>
      <c r="I102" s="317">
        <v>0</v>
      </c>
      <c r="J102" s="317">
        <v>0</v>
      </c>
      <c r="K102" s="317">
        <f t="shared" ref="K102:K129" si="3">IF(I102="","",ABS(J102-I102))</f>
        <v>0</v>
      </c>
      <c r="L102" s="8"/>
    </row>
    <row r="103" spans="1:12">
      <c r="A103" s="118">
        <v>34</v>
      </c>
      <c r="B103" s="54" t="s">
        <v>344</v>
      </c>
      <c r="C103" s="317">
        <v>0</v>
      </c>
      <c r="D103" s="317">
        <v>0</v>
      </c>
      <c r="E103" s="317">
        <f t="shared" si="2"/>
        <v>0</v>
      </c>
      <c r="F103" s="8"/>
      <c r="G103" s="118">
        <v>34</v>
      </c>
      <c r="H103" s="54" t="s">
        <v>344</v>
      </c>
      <c r="I103" s="317">
        <v>0</v>
      </c>
      <c r="J103" s="317">
        <v>0</v>
      </c>
      <c r="K103" s="317">
        <f t="shared" si="3"/>
        <v>0</v>
      </c>
      <c r="L103" s="8"/>
    </row>
    <row r="104" spans="1:12">
      <c r="A104" s="118">
        <v>35</v>
      </c>
      <c r="B104" s="54" t="s">
        <v>344</v>
      </c>
      <c r="C104" s="317">
        <v>0</v>
      </c>
      <c r="D104" s="317">
        <v>0</v>
      </c>
      <c r="E104" s="317">
        <f t="shared" si="2"/>
        <v>0</v>
      </c>
      <c r="F104" s="8"/>
      <c r="G104" s="118">
        <v>35</v>
      </c>
      <c r="H104" s="54" t="s">
        <v>344</v>
      </c>
      <c r="I104" s="317">
        <v>0</v>
      </c>
      <c r="J104" s="317">
        <v>0</v>
      </c>
      <c r="K104" s="317">
        <f t="shared" si="3"/>
        <v>0</v>
      </c>
      <c r="L104" s="8"/>
    </row>
    <row r="105" spans="1:12">
      <c r="A105" s="118">
        <v>36</v>
      </c>
      <c r="B105" s="54" t="s">
        <v>344</v>
      </c>
      <c r="C105" s="317">
        <v>0</v>
      </c>
      <c r="D105" s="317">
        <v>0</v>
      </c>
      <c r="E105" s="317">
        <f t="shared" si="2"/>
        <v>0</v>
      </c>
      <c r="F105" s="8"/>
      <c r="G105" s="118">
        <v>36</v>
      </c>
      <c r="H105" s="54" t="s">
        <v>344</v>
      </c>
      <c r="I105" s="317">
        <v>0</v>
      </c>
      <c r="J105" s="317">
        <v>0</v>
      </c>
      <c r="K105" s="317">
        <f t="shared" si="3"/>
        <v>0</v>
      </c>
      <c r="L105" s="8"/>
    </row>
    <row r="106" spans="1:12">
      <c r="A106" s="118">
        <v>37</v>
      </c>
      <c r="B106" s="54" t="s">
        <v>344</v>
      </c>
      <c r="C106" s="317">
        <v>0</v>
      </c>
      <c r="D106" s="317">
        <v>0</v>
      </c>
      <c r="E106" s="317">
        <f t="shared" si="2"/>
        <v>0</v>
      </c>
      <c r="F106" s="8"/>
      <c r="G106" s="118">
        <v>37</v>
      </c>
      <c r="H106" s="54" t="s">
        <v>344</v>
      </c>
      <c r="I106" s="317">
        <v>0</v>
      </c>
      <c r="J106" s="317">
        <v>0</v>
      </c>
      <c r="K106" s="317">
        <f t="shared" si="3"/>
        <v>0</v>
      </c>
      <c r="L106" s="8"/>
    </row>
    <row r="107" spans="1:12">
      <c r="A107" s="118">
        <v>38</v>
      </c>
      <c r="B107" s="54" t="s">
        <v>345</v>
      </c>
      <c r="C107" s="317">
        <v>0</v>
      </c>
      <c r="D107" s="317">
        <v>0</v>
      </c>
      <c r="E107" s="317">
        <f t="shared" si="2"/>
        <v>0</v>
      </c>
      <c r="F107" s="8"/>
      <c r="G107" s="118">
        <v>38</v>
      </c>
      <c r="H107" s="54" t="s">
        <v>345</v>
      </c>
      <c r="I107" s="317">
        <v>0</v>
      </c>
      <c r="J107" s="317">
        <v>0</v>
      </c>
      <c r="K107" s="317">
        <f t="shared" si="3"/>
        <v>0</v>
      </c>
      <c r="L107" s="8"/>
    </row>
    <row r="108" spans="1:12">
      <c r="A108" s="118">
        <v>39</v>
      </c>
      <c r="B108" s="54" t="s">
        <v>345</v>
      </c>
      <c r="C108" s="317">
        <v>0</v>
      </c>
      <c r="D108" s="317">
        <v>0</v>
      </c>
      <c r="E108" s="317">
        <f t="shared" si="2"/>
        <v>0</v>
      </c>
      <c r="F108" s="8"/>
      <c r="G108" s="118">
        <v>39</v>
      </c>
      <c r="H108" s="54" t="s">
        <v>345</v>
      </c>
      <c r="I108" s="317">
        <v>0</v>
      </c>
      <c r="J108" s="317">
        <v>0</v>
      </c>
      <c r="K108" s="317">
        <f t="shared" si="3"/>
        <v>0</v>
      </c>
      <c r="L108" s="8"/>
    </row>
    <row r="109" spans="1:12">
      <c r="A109" s="118">
        <v>40</v>
      </c>
      <c r="B109" s="54" t="s">
        <v>345</v>
      </c>
      <c r="C109" s="317">
        <v>0</v>
      </c>
      <c r="D109" s="317">
        <v>0</v>
      </c>
      <c r="E109" s="317">
        <f t="shared" si="2"/>
        <v>0</v>
      </c>
      <c r="F109" s="8"/>
      <c r="G109" s="118">
        <v>40</v>
      </c>
      <c r="H109" s="54" t="s">
        <v>345</v>
      </c>
      <c r="I109" s="317">
        <v>0</v>
      </c>
      <c r="J109" s="317">
        <v>0</v>
      </c>
      <c r="K109" s="317">
        <f t="shared" si="3"/>
        <v>0</v>
      </c>
      <c r="L109" s="8"/>
    </row>
    <row r="110" spans="1:12">
      <c r="A110" s="118">
        <v>41</v>
      </c>
      <c r="B110" s="54" t="s">
        <v>345</v>
      </c>
      <c r="C110" s="317">
        <v>0</v>
      </c>
      <c r="D110" s="317">
        <v>0</v>
      </c>
      <c r="E110" s="317">
        <f t="shared" si="2"/>
        <v>0</v>
      </c>
      <c r="F110" s="8"/>
      <c r="G110" s="118">
        <v>41</v>
      </c>
      <c r="H110" s="54" t="s">
        <v>345</v>
      </c>
      <c r="I110" s="317">
        <v>0</v>
      </c>
      <c r="J110" s="317">
        <v>0</v>
      </c>
      <c r="K110" s="317">
        <f t="shared" si="3"/>
        <v>0</v>
      </c>
      <c r="L110" s="8"/>
    </row>
    <row r="111" spans="1:12">
      <c r="A111" s="118">
        <v>42</v>
      </c>
      <c r="B111" s="54" t="s">
        <v>345</v>
      </c>
      <c r="C111" s="317">
        <v>0</v>
      </c>
      <c r="D111" s="317">
        <v>0</v>
      </c>
      <c r="E111" s="317">
        <f t="shared" si="2"/>
        <v>0</v>
      </c>
      <c r="F111" s="8"/>
      <c r="G111" s="118">
        <v>42</v>
      </c>
      <c r="H111" s="54" t="s">
        <v>345</v>
      </c>
      <c r="I111" s="317">
        <v>0</v>
      </c>
      <c r="J111" s="317">
        <v>0</v>
      </c>
      <c r="K111" s="317">
        <f t="shared" si="3"/>
        <v>0</v>
      </c>
      <c r="L111" s="8"/>
    </row>
    <row r="112" spans="1:12">
      <c r="A112" s="118">
        <v>43</v>
      </c>
      <c r="B112" s="54" t="s">
        <v>345</v>
      </c>
      <c r="C112" s="317">
        <v>0</v>
      </c>
      <c r="D112" s="317">
        <v>0</v>
      </c>
      <c r="E112" s="317">
        <f t="shared" si="2"/>
        <v>0</v>
      </c>
      <c r="F112" s="8"/>
      <c r="G112" s="118">
        <v>43</v>
      </c>
      <c r="H112" s="54" t="s">
        <v>345</v>
      </c>
      <c r="I112" s="317">
        <v>0</v>
      </c>
      <c r="J112" s="317">
        <v>0</v>
      </c>
      <c r="K112" s="317">
        <f t="shared" si="3"/>
        <v>0</v>
      </c>
      <c r="L112" s="8"/>
    </row>
    <row r="113" spans="1:12">
      <c r="A113" s="118">
        <v>44</v>
      </c>
      <c r="B113" s="54" t="s">
        <v>345</v>
      </c>
      <c r="C113" s="317">
        <v>0</v>
      </c>
      <c r="D113" s="317">
        <v>0</v>
      </c>
      <c r="E113" s="317">
        <f t="shared" si="2"/>
        <v>0</v>
      </c>
      <c r="F113" s="8"/>
      <c r="G113" s="118">
        <v>44</v>
      </c>
      <c r="H113" s="54" t="s">
        <v>345</v>
      </c>
      <c r="I113" s="317">
        <v>0</v>
      </c>
      <c r="J113" s="317">
        <v>0</v>
      </c>
      <c r="K113" s="317">
        <f t="shared" si="3"/>
        <v>0</v>
      </c>
      <c r="L113" s="8"/>
    </row>
    <row r="114" spans="1:12">
      <c r="A114" s="118">
        <v>45</v>
      </c>
      <c r="B114" s="54" t="s">
        <v>345</v>
      </c>
      <c r="C114" s="317">
        <v>0</v>
      </c>
      <c r="D114" s="317">
        <v>0</v>
      </c>
      <c r="E114" s="317">
        <f t="shared" si="2"/>
        <v>0</v>
      </c>
      <c r="F114" s="8"/>
      <c r="G114" s="118">
        <v>45</v>
      </c>
      <c r="H114" s="54" t="s">
        <v>345</v>
      </c>
      <c r="I114" s="317">
        <v>0</v>
      </c>
      <c r="J114" s="317">
        <v>0</v>
      </c>
      <c r="K114" s="317">
        <f t="shared" si="3"/>
        <v>0</v>
      </c>
      <c r="L114" s="8"/>
    </row>
    <row r="115" spans="1:12">
      <c r="A115" s="118">
        <v>46</v>
      </c>
      <c r="B115" s="54" t="s">
        <v>345</v>
      </c>
      <c r="C115" s="317">
        <v>0</v>
      </c>
      <c r="D115" s="317">
        <v>0</v>
      </c>
      <c r="E115" s="317">
        <f t="shared" si="2"/>
        <v>0</v>
      </c>
      <c r="F115" s="8"/>
      <c r="G115" s="118">
        <v>46</v>
      </c>
      <c r="H115" s="54" t="s">
        <v>345</v>
      </c>
      <c r="I115" s="317">
        <v>0</v>
      </c>
      <c r="J115" s="317">
        <v>0</v>
      </c>
      <c r="K115" s="317">
        <f t="shared" si="3"/>
        <v>0</v>
      </c>
      <c r="L115" s="8"/>
    </row>
    <row r="116" spans="1:12">
      <c r="A116" s="118">
        <v>47</v>
      </c>
      <c r="B116" s="54" t="s">
        <v>345</v>
      </c>
      <c r="C116" s="317">
        <v>0</v>
      </c>
      <c r="D116" s="317">
        <v>0</v>
      </c>
      <c r="E116" s="317">
        <f t="shared" si="2"/>
        <v>0</v>
      </c>
      <c r="F116" s="8"/>
      <c r="G116" s="118">
        <v>47</v>
      </c>
      <c r="H116" s="54" t="s">
        <v>345</v>
      </c>
      <c r="I116" s="317">
        <v>0</v>
      </c>
      <c r="J116" s="317">
        <v>0</v>
      </c>
      <c r="K116" s="317">
        <f t="shared" si="3"/>
        <v>0</v>
      </c>
      <c r="L116" s="8"/>
    </row>
    <row r="117" spans="1:12">
      <c r="A117" s="118">
        <v>48</v>
      </c>
      <c r="B117" s="54" t="s">
        <v>345</v>
      </c>
      <c r="C117" s="317">
        <v>0</v>
      </c>
      <c r="D117" s="317">
        <v>0</v>
      </c>
      <c r="E117" s="317">
        <f t="shared" si="2"/>
        <v>0</v>
      </c>
      <c r="F117" s="8"/>
      <c r="G117" s="118">
        <v>48</v>
      </c>
      <c r="H117" s="54" t="s">
        <v>345</v>
      </c>
      <c r="I117" s="317">
        <v>0</v>
      </c>
      <c r="J117" s="317">
        <v>0</v>
      </c>
      <c r="K117" s="317">
        <f t="shared" si="3"/>
        <v>0</v>
      </c>
      <c r="L117" s="8"/>
    </row>
    <row r="118" spans="1:12">
      <c r="A118" s="118">
        <v>49</v>
      </c>
      <c r="B118" s="54" t="s">
        <v>345</v>
      </c>
      <c r="C118" s="317">
        <v>0</v>
      </c>
      <c r="D118" s="317">
        <v>0</v>
      </c>
      <c r="E118" s="317">
        <f t="shared" si="2"/>
        <v>0</v>
      </c>
      <c r="F118" s="8"/>
      <c r="G118" s="118">
        <v>49</v>
      </c>
      <c r="H118" s="54" t="s">
        <v>345</v>
      </c>
      <c r="I118" s="317">
        <v>0</v>
      </c>
      <c r="J118" s="317">
        <v>0</v>
      </c>
      <c r="K118" s="317">
        <f t="shared" si="3"/>
        <v>0</v>
      </c>
      <c r="L118" s="8"/>
    </row>
    <row r="119" spans="1:12">
      <c r="A119" s="118">
        <v>50</v>
      </c>
      <c r="B119" s="54" t="s">
        <v>345</v>
      </c>
      <c r="C119" s="317">
        <v>0</v>
      </c>
      <c r="D119" s="317">
        <v>0</v>
      </c>
      <c r="E119" s="317">
        <f t="shared" si="2"/>
        <v>0</v>
      </c>
      <c r="F119" s="8"/>
      <c r="G119" s="118">
        <v>50</v>
      </c>
      <c r="H119" s="54" t="s">
        <v>345</v>
      </c>
      <c r="I119" s="317">
        <v>0</v>
      </c>
      <c r="J119" s="317">
        <v>0</v>
      </c>
      <c r="K119" s="317">
        <f t="shared" si="3"/>
        <v>0</v>
      </c>
      <c r="L119" s="8"/>
    </row>
    <row r="120" spans="1:12">
      <c r="A120" s="118">
        <v>51</v>
      </c>
      <c r="B120" s="54" t="s">
        <v>345</v>
      </c>
      <c r="C120" s="317">
        <v>0</v>
      </c>
      <c r="D120" s="317">
        <v>0</v>
      </c>
      <c r="E120" s="317">
        <f t="shared" si="2"/>
        <v>0</v>
      </c>
      <c r="F120" s="8"/>
      <c r="G120" s="118">
        <v>51</v>
      </c>
      <c r="H120" s="54" t="s">
        <v>345</v>
      </c>
      <c r="I120" s="317">
        <v>0</v>
      </c>
      <c r="J120" s="317">
        <v>0</v>
      </c>
      <c r="K120" s="317">
        <f t="shared" si="3"/>
        <v>0</v>
      </c>
      <c r="L120" s="8"/>
    </row>
    <row r="121" spans="1:12">
      <c r="A121" s="118">
        <v>52</v>
      </c>
      <c r="B121" s="54" t="s">
        <v>230</v>
      </c>
      <c r="C121" s="317">
        <v>0</v>
      </c>
      <c r="D121" s="317">
        <v>0</v>
      </c>
      <c r="E121" s="317">
        <f t="shared" si="2"/>
        <v>0</v>
      </c>
      <c r="F121" s="8"/>
      <c r="G121" s="118">
        <v>52</v>
      </c>
      <c r="H121" s="54" t="s">
        <v>230</v>
      </c>
      <c r="I121" s="317">
        <v>0</v>
      </c>
      <c r="J121" s="317">
        <v>0</v>
      </c>
      <c r="K121" s="317">
        <f t="shared" si="3"/>
        <v>0</v>
      </c>
      <c r="L121" s="8"/>
    </row>
    <row r="122" spans="1:12">
      <c r="A122" s="118">
        <v>53</v>
      </c>
      <c r="B122" s="54" t="s">
        <v>232</v>
      </c>
      <c r="C122" s="317">
        <v>0</v>
      </c>
      <c r="D122" s="317">
        <v>0</v>
      </c>
      <c r="E122" s="317">
        <f t="shared" si="2"/>
        <v>0</v>
      </c>
      <c r="F122" s="8"/>
      <c r="G122" s="118">
        <v>53</v>
      </c>
      <c r="H122" s="54" t="s">
        <v>232</v>
      </c>
      <c r="I122" s="317">
        <v>0</v>
      </c>
      <c r="J122" s="317">
        <v>0</v>
      </c>
      <c r="K122" s="317">
        <f t="shared" si="3"/>
        <v>0</v>
      </c>
      <c r="L122" s="8"/>
    </row>
    <row r="123" spans="1:12">
      <c r="A123" s="118">
        <v>54</v>
      </c>
      <c r="B123" s="54" t="s">
        <v>233</v>
      </c>
      <c r="C123" s="317">
        <v>0</v>
      </c>
      <c r="D123" s="317">
        <v>0</v>
      </c>
      <c r="E123" s="317">
        <f t="shared" si="2"/>
        <v>0</v>
      </c>
      <c r="F123" s="8"/>
      <c r="G123" s="118">
        <v>54</v>
      </c>
      <c r="H123" s="54" t="s">
        <v>233</v>
      </c>
      <c r="I123" s="317">
        <v>0</v>
      </c>
      <c r="J123" s="317">
        <v>0</v>
      </c>
      <c r="K123" s="317">
        <f t="shared" si="3"/>
        <v>0</v>
      </c>
      <c r="L123" s="8"/>
    </row>
    <row r="124" spans="1:12">
      <c r="A124" s="118">
        <v>55</v>
      </c>
      <c r="B124" s="54"/>
      <c r="C124" s="317"/>
      <c r="D124" s="317"/>
      <c r="E124" s="317" t="str">
        <f t="shared" si="2"/>
        <v/>
      </c>
      <c r="F124" s="8"/>
      <c r="G124" s="118">
        <v>55</v>
      </c>
      <c r="H124" s="54"/>
      <c r="I124" s="317"/>
      <c r="J124" s="317"/>
      <c r="K124" s="317" t="str">
        <f t="shared" si="3"/>
        <v/>
      </c>
      <c r="L124" s="8"/>
    </row>
    <row r="125" spans="1:12">
      <c r="A125" s="118">
        <v>56</v>
      </c>
      <c r="B125" s="54"/>
      <c r="C125" s="317"/>
      <c r="D125" s="317"/>
      <c r="E125" s="317" t="str">
        <f t="shared" si="2"/>
        <v/>
      </c>
      <c r="F125" s="8"/>
      <c r="G125" s="118">
        <v>56</v>
      </c>
      <c r="H125" s="54"/>
      <c r="I125" s="317"/>
      <c r="J125" s="317"/>
      <c r="K125" s="317" t="str">
        <f t="shared" si="3"/>
        <v/>
      </c>
      <c r="L125" s="8"/>
    </row>
    <row r="126" spans="1:12">
      <c r="A126" s="118">
        <v>57</v>
      </c>
      <c r="B126" s="54"/>
      <c r="C126" s="317"/>
      <c r="D126" s="317"/>
      <c r="E126" s="317" t="str">
        <f t="shared" si="2"/>
        <v/>
      </c>
      <c r="F126" s="8"/>
      <c r="G126" s="118">
        <v>57</v>
      </c>
      <c r="H126" s="54"/>
      <c r="I126" s="317"/>
      <c r="J126" s="317"/>
      <c r="K126" s="317" t="str">
        <f t="shared" si="3"/>
        <v/>
      </c>
      <c r="L126" s="8"/>
    </row>
    <row r="127" spans="1:12">
      <c r="A127" s="118">
        <v>58</v>
      </c>
      <c r="B127" s="54"/>
      <c r="C127" s="317"/>
      <c r="D127" s="317"/>
      <c r="E127" s="317" t="str">
        <f t="shared" si="2"/>
        <v/>
      </c>
      <c r="F127" s="8"/>
      <c r="G127" s="118">
        <v>58</v>
      </c>
      <c r="H127" s="54"/>
      <c r="I127" s="317"/>
      <c r="J127" s="317"/>
      <c r="K127" s="317" t="str">
        <f t="shared" si="3"/>
        <v/>
      </c>
      <c r="L127" s="8"/>
    </row>
    <row r="128" spans="1:12">
      <c r="A128" s="118">
        <v>59</v>
      </c>
      <c r="B128" s="54"/>
      <c r="C128" s="317"/>
      <c r="D128" s="317"/>
      <c r="E128" s="317" t="str">
        <f t="shared" si="2"/>
        <v/>
      </c>
      <c r="F128" s="8"/>
      <c r="G128" s="118">
        <v>59</v>
      </c>
      <c r="H128" s="54"/>
      <c r="I128" s="317"/>
      <c r="J128" s="317"/>
      <c r="K128" s="317" t="str">
        <f t="shared" si="3"/>
        <v/>
      </c>
      <c r="L128" s="8"/>
    </row>
    <row r="129" spans="1:19">
      <c r="A129" s="118">
        <v>60</v>
      </c>
      <c r="B129" s="54"/>
      <c r="C129" s="317"/>
      <c r="D129" s="317"/>
      <c r="E129" s="317" t="str">
        <f t="shared" si="2"/>
        <v/>
      </c>
      <c r="F129" s="8"/>
      <c r="G129" s="118">
        <v>60</v>
      </c>
      <c r="H129" s="54"/>
      <c r="I129" s="317"/>
      <c r="J129" s="317"/>
      <c r="K129" s="317" t="str">
        <f t="shared" si="3"/>
        <v/>
      </c>
      <c r="L129" s="8"/>
    </row>
    <row r="137" spans="1:19" s="3" customFormat="1" ht="13.95" customHeight="1">
      <c r="B137" s="7"/>
      <c r="C137" s="7"/>
      <c r="D137" s="7"/>
      <c r="E137" s="7"/>
      <c r="F137" s="7"/>
      <c r="G137" s="7"/>
      <c r="H137" s="7"/>
      <c r="I137" s="7"/>
      <c r="J137" s="7"/>
      <c r="K137" s="7"/>
      <c r="L137" s="142"/>
      <c r="M137" s="9"/>
      <c r="N137" s="9"/>
      <c r="O137" s="9"/>
      <c r="P137" s="9"/>
      <c r="Q137" s="9"/>
      <c r="R137" s="9"/>
      <c r="S137" s="9"/>
    </row>
    <row r="138" spans="1:19" s="3" customFormat="1">
      <c r="B138" s="65"/>
      <c r="C138" s="65"/>
      <c r="D138" s="65"/>
      <c r="E138" s="65"/>
      <c r="F138" s="65"/>
      <c r="G138" s="65"/>
      <c r="H138" s="65"/>
      <c r="I138" s="65"/>
      <c r="J138" s="65"/>
      <c r="K138" s="65"/>
      <c r="L138" s="65"/>
    </row>
    <row r="139" spans="1:19" s="3" customFormat="1" ht="14.55" customHeight="1">
      <c r="B139" s="406" t="s">
        <v>77</v>
      </c>
      <c r="C139" s="406"/>
      <c r="D139" s="406"/>
      <c r="E139" s="406"/>
      <c r="F139" s="406"/>
      <c r="G139" s="406"/>
      <c r="H139" s="406"/>
      <c r="I139" s="406"/>
      <c r="J139" s="406"/>
      <c r="K139" s="406"/>
      <c r="L139" s="406"/>
    </row>
    <row r="140" spans="1:19" s="3" customFormat="1">
      <c r="B140" s="378"/>
      <c r="C140" s="378"/>
      <c r="D140" s="378"/>
      <c r="E140" s="378"/>
      <c r="F140" s="378"/>
      <c r="G140" s="378"/>
      <c r="H140" s="378"/>
      <c r="I140" s="378"/>
      <c r="J140" s="378"/>
      <c r="K140" s="378"/>
      <c r="L140" s="378"/>
    </row>
    <row r="141" spans="1:19" ht="85.95" customHeight="1">
      <c r="A141" s="1"/>
      <c r="B141" s="405" t="e" vm="1">
        <v>#VALUE!</v>
      </c>
      <c r="C141" s="405"/>
      <c r="D141" s="405"/>
      <c r="E141" s="405"/>
      <c r="F141" s="405"/>
      <c r="G141" s="405"/>
      <c r="H141" s="405"/>
      <c r="I141" s="405"/>
      <c r="J141" s="405"/>
      <c r="K141" s="405"/>
      <c r="L141" s="405"/>
    </row>
  </sheetData>
  <mergeCells count="2">
    <mergeCell ref="B139:L139"/>
    <mergeCell ref="B141:L14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15</vt:i4>
      </vt:variant>
      <vt:variant>
        <vt:lpstr>Intervalos Nomeados</vt:lpstr>
      </vt:variant>
      <vt:variant>
        <vt:i4>189</vt:i4>
      </vt:variant>
    </vt:vector>
  </HeadingPairs>
  <TitlesOfParts>
    <vt:vector size="204" baseType="lpstr">
      <vt:lpstr>Introduction</vt:lpstr>
      <vt:lpstr>Definitions</vt:lpstr>
      <vt:lpstr>Mkt share</vt:lpstr>
      <vt:lpstr>Population</vt:lpstr>
      <vt:lpstr>Costs</vt:lpstr>
      <vt:lpstr>Time on treatment</vt:lpstr>
      <vt:lpstr>Results</vt:lpstr>
      <vt:lpstr>SensibilityAn</vt:lpstr>
      <vt:lpstr>PSA</vt:lpstr>
      <vt:lpstr>Data</vt:lpstr>
      <vt:lpstr>Calculations</vt:lpstr>
      <vt:lpstr>Calculations2</vt:lpstr>
      <vt:lpstr>Calculations3</vt:lpstr>
      <vt:lpstr>Parameters</vt:lpstr>
      <vt:lpstr>DSA</vt:lpstr>
      <vt:lpstr>ano_1</vt:lpstr>
      <vt:lpstr>c_inicial</vt:lpstr>
      <vt:lpstr>c_off</vt:lpstr>
      <vt:lpstr>c_on</vt:lpstr>
      <vt:lpstr>ca_comp1</vt:lpstr>
      <vt:lpstr>ca_comp10</vt:lpstr>
      <vt:lpstr>ca_comp2</vt:lpstr>
      <vt:lpstr>ca_comp3</vt:lpstr>
      <vt:lpstr>ca_comp4</vt:lpstr>
      <vt:lpstr>ca_comp5</vt:lpstr>
      <vt:lpstr>ca_comp6</vt:lpstr>
      <vt:lpstr>ca_comp7</vt:lpstr>
      <vt:lpstr>ca_comp8</vt:lpstr>
      <vt:lpstr>ca_comp9</vt:lpstr>
      <vt:lpstr>ca_int1</vt:lpstr>
      <vt:lpstr>ca_int2</vt:lpstr>
      <vt:lpstr>ca_int3</vt:lpstr>
      <vt:lpstr>ca_int4</vt:lpstr>
      <vt:lpstr>calculo</vt:lpstr>
      <vt:lpstr>cen_atual</vt:lpstr>
      <vt:lpstr>cen_prop1</vt:lpstr>
      <vt:lpstr>cen_prop2</vt:lpstr>
      <vt:lpstr>cen_prop3</vt:lpstr>
      <vt:lpstr>ci_comp1</vt:lpstr>
      <vt:lpstr>ci_comp10</vt:lpstr>
      <vt:lpstr>ci_comp2</vt:lpstr>
      <vt:lpstr>ci_comp3</vt:lpstr>
      <vt:lpstr>ci_comp4</vt:lpstr>
      <vt:lpstr>ci_comp5</vt:lpstr>
      <vt:lpstr>ci_comp6</vt:lpstr>
      <vt:lpstr>ci_comp7</vt:lpstr>
      <vt:lpstr>ci_comp8</vt:lpstr>
      <vt:lpstr>ci_comp9</vt:lpstr>
      <vt:lpstr>ci_int1</vt:lpstr>
      <vt:lpstr>ci_int2</vt:lpstr>
      <vt:lpstr>ci_int3</vt:lpstr>
      <vt:lpstr>ci_int4</vt:lpstr>
      <vt:lpstr>comparador1</vt:lpstr>
      <vt:lpstr>comparador10</vt:lpstr>
      <vt:lpstr>comparador2</vt:lpstr>
      <vt:lpstr>comparador3</vt:lpstr>
      <vt:lpstr>comparador4</vt:lpstr>
      <vt:lpstr>comparador5</vt:lpstr>
      <vt:lpstr>comparador6</vt:lpstr>
      <vt:lpstr>comparador7</vt:lpstr>
      <vt:lpstr>comparador8</vt:lpstr>
      <vt:lpstr>comparador9</vt:lpstr>
      <vt:lpstr>ct_comp1</vt:lpstr>
      <vt:lpstr>ct_comp10</vt:lpstr>
      <vt:lpstr>ct_comp2</vt:lpstr>
      <vt:lpstr>ct_comp3</vt:lpstr>
      <vt:lpstr>ct_comp4</vt:lpstr>
      <vt:lpstr>ct_comp5</vt:lpstr>
      <vt:lpstr>ct_comp6</vt:lpstr>
      <vt:lpstr>ct_comp7</vt:lpstr>
      <vt:lpstr>ct_comp8</vt:lpstr>
      <vt:lpstr>ct_comp9</vt:lpstr>
      <vt:lpstr>ct_int1</vt:lpstr>
      <vt:lpstr>ct_int2</vt:lpstr>
      <vt:lpstr>ct_int3</vt:lpstr>
      <vt:lpstr>ct_int4</vt:lpstr>
      <vt:lpstr>demanda</vt:lpstr>
      <vt:lpstr>desc_por_ob</vt:lpstr>
      <vt:lpstr>desc1_1</vt:lpstr>
      <vt:lpstr>desc1_2</vt:lpstr>
      <vt:lpstr>desc1_3</vt:lpstr>
      <vt:lpstr>desc1_4</vt:lpstr>
      <vt:lpstr>desc10_1</vt:lpstr>
      <vt:lpstr>desc10_2</vt:lpstr>
      <vt:lpstr>desc10_3</vt:lpstr>
      <vt:lpstr>desc10_4</vt:lpstr>
      <vt:lpstr>desc11_1</vt:lpstr>
      <vt:lpstr>desc11_2</vt:lpstr>
      <vt:lpstr>desc11_3</vt:lpstr>
      <vt:lpstr>desc11_4</vt:lpstr>
      <vt:lpstr>desc12_1</vt:lpstr>
      <vt:lpstr>desc12_2</vt:lpstr>
      <vt:lpstr>desc12_3</vt:lpstr>
      <vt:lpstr>desc12_4</vt:lpstr>
      <vt:lpstr>desc13_1</vt:lpstr>
      <vt:lpstr>desc13_2</vt:lpstr>
      <vt:lpstr>desc13_3</vt:lpstr>
      <vt:lpstr>desc13_4</vt:lpstr>
      <vt:lpstr>desc14_1</vt:lpstr>
      <vt:lpstr>desc14_2</vt:lpstr>
      <vt:lpstr>desc14_3</vt:lpstr>
      <vt:lpstr>desc14_4</vt:lpstr>
      <vt:lpstr>desc2_1</vt:lpstr>
      <vt:lpstr>desc2_2</vt:lpstr>
      <vt:lpstr>desc2_3</vt:lpstr>
      <vt:lpstr>desc2_4</vt:lpstr>
      <vt:lpstr>desc3_1</vt:lpstr>
      <vt:lpstr>desc3_2</vt:lpstr>
      <vt:lpstr>desc3_3</vt:lpstr>
      <vt:lpstr>desc3_4</vt:lpstr>
      <vt:lpstr>desc4_1</vt:lpstr>
      <vt:lpstr>desc4_2</vt:lpstr>
      <vt:lpstr>desc4_3</vt:lpstr>
      <vt:lpstr>desc4_4</vt:lpstr>
      <vt:lpstr>desc5_1</vt:lpstr>
      <vt:lpstr>desc5_2</vt:lpstr>
      <vt:lpstr>desc5_3</vt:lpstr>
      <vt:lpstr>desc5_4</vt:lpstr>
      <vt:lpstr>desc6_1</vt:lpstr>
      <vt:lpstr>desc6_2</vt:lpstr>
      <vt:lpstr>desc6_3</vt:lpstr>
      <vt:lpstr>desc6_4</vt:lpstr>
      <vt:lpstr>desc7_1</vt:lpstr>
      <vt:lpstr>desc7_2</vt:lpstr>
      <vt:lpstr>desc7_3</vt:lpstr>
      <vt:lpstr>desc7_4</vt:lpstr>
      <vt:lpstr>desc8_1</vt:lpstr>
      <vt:lpstr>desc8_2</vt:lpstr>
      <vt:lpstr>desc8_3</vt:lpstr>
      <vt:lpstr>desc8_4</vt:lpstr>
      <vt:lpstr>desc9_1</vt:lpstr>
      <vt:lpstr>desc9_2</vt:lpstr>
      <vt:lpstr>desc9_3</vt:lpstr>
      <vt:lpstr>desc9_4</vt:lpstr>
      <vt:lpstr>descontinua</vt:lpstr>
      <vt:lpstr>dynamic</vt:lpstr>
      <vt:lpstr>horizonte</vt:lpstr>
      <vt:lpstr>intervencao1</vt:lpstr>
      <vt:lpstr>intervencao2</vt:lpstr>
      <vt:lpstr>intervencao3</vt:lpstr>
      <vt:lpstr>intervencao4</vt:lpstr>
      <vt:lpstr>line</vt:lpstr>
      <vt:lpstr>morte</vt:lpstr>
      <vt:lpstr>n_compar</vt:lpstr>
      <vt:lpstr>n_interv</vt:lpstr>
      <vt:lpstr>ob1_1</vt:lpstr>
      <vt:lpstr>ob1_2</vt:lpstr>
      <vt:lpstr>ob1_3</vt:lpstr>
      <vt:lpstr>ob1_4</vt:lpstr>
      <vt:lpstr>ob10_1</vt:lpstr>
      <vt:lpstr>ob10_2</vt:lpstr>
      <vt:lpstr>ob10_3</vt:lpstr>
      <vt:lpstr>ob10_4</vt:lpstr>
      <vt:lpstr>ob11_1</vt:lpstr>
      <vt:lpstr>ob11_2</vt:lpstr>
      <vt:lpstr>ob11_3</vt:lpstr>
      <vt:lpstr>ob11_4</vt:lpstr>
      <vt:lpstr>ob12_1</vt:lpstr>
      <vt:lpstr>ob12_2</vt:lpstr>
      <vt:lpstr>ob12_3</vt:lpstr>
      <vt:lpstr>ob12_4</vt:lpstr>
      <vt:lpstr>ob13_1</vt:lpstr>
      <vt:lpstr>ob13_2</vt:lpstr>
      <vt:lpstr>ob13_3</vt:lpstr>
      <vt:lpstr>ob13_4</vt:lpstr>
      <vt:lpstr>ob14_1</vt:lpstr>
      <vt:lpstr>ob14_2</vt:lpstr>
      <vt:lpstr>ob14_3</vt:lpstr>
      <vt:lpstr>ob14_4</vt:lpstr>
      <vt:lpstr>ob2_1</vt:lpstr>
      <vt:lpstr>ob2_2</vt:lpstr>
      <vt:lpstr>ob2_3</vt:lpstr>
      <vt:lpstr>ob2_4</vt:lpstr>
      <vt:lpstr>ob3_1</vt:lpstr>
      <vt:lpstr>ob3_2</vt:lpstr>
      <vt:lpstr>ob3_3</vt:lpstr>
      <vt:lpstr>ob3_4</vt:lpstr>
      <vt:lpstr>ob4_1</vt:lpstr>
      <vt:lpstr>ob4_2</vt:lpstr>
      <vt:lpstr>ob4_3</vt:lpstr>
      <vt:lpstr>ob4_4</vt:lpstr>
      <vt:lpstr>ob5_1</vt:lpstr>
      <vt:lpstr>ob5_2</vt:lpstr>
      <vt:lpstr>ob5_3</vt:lpstr>
      <vt:lpstr>ob5_4</vt:lpstr>
      <vt:lpstr>ob6_1</vt:lpstr>
      <vt:lpstr>ob6_2</vt:lpstr>
      <vt:lpstr>ob6_3</vt:lpstr>
      <vt:lpstr>ob6_4</vt:lpstr>
      <vt:lpstr>ob7_1</vt:lpstr>
      <vt:lpstr>ob7_2</vt:lpstr>
      <vt:lpstr>ob7_3</vt:lpstr>
      <vt:lpstr>ob7_4</vt:lpstr>
      <vt:lpstr>ob8_1</vt:lpstr>
      <vt:lpstr>ob8_2</vt:lpstr>
      <vt:lpstr>ob8_3</vt:lpstr>
      <vt:lpstr>ob8_4</vt:lpstr>
      <vt:lpstr>ob9_1</vt:lpstr>
      <vt:lpstr>ob9_2</vt:lpstr>
      <vt:lpstr>ob9_3</vt:lpstr>
      <vt:lpstr>ob9_4</vt:lpstr>
      <vt:lpstr>obito</vt:lpstr>
      <vt:lpstr>populacao</vt:lpstr>
      <vt:lpstr>uso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Layssa Andrade Oliveira; Ludmila Peres Gargano</dc:creator>
  <cp:keywords/>
  <dc:description/>
  <cp:lastModifiedBy>Revisor</cp:lastModifiedBy>
  <cp:revision/>
  <dcterms:created xsi:type="dcterms:W3CDTF">2024-03-04T15:47:50Z</dcterms:created>
  <dcterms:modified xsi:type="dcterms:W3CDTF">2026-09-24T20:36:32Z</dcterms:modified>
  <cp:category/>
  <cp:contentStatus/>
</cp:coreProperties>
</file>